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1955" firstSheet="2" activeTab="3"/>
  </bookViews>
  <sheets>
    <sheet name="DADOS-CADASTRAIS" sheetId="1" r:id="rId1"/>
    <sheet name="CAMPUS.CONTRATANTE" sheetId="2" r:id="rId2"/>
    <sheet name="1-ABA-DE-CARREGAMENTO" sheetId="3" r:id="rId3"/>
    <sheet name="PROPOSTA DO SERVIÇO" sheetId="4" r:id="rId4"/>
    <sheet name="Uniformes - EPIs_TODOS" sheetId="5" r:id="rId5"/>
    <sheet name="Insumos_Base" sheetId="6" r:id="rId6"/>
    <sheet name="2614-25_INTERP.LIBRAS_30hs" sheetId="7" r:id="rId7"/>
    <sheet name="2614-25_INTERP.LIBRAS_20hs" sheetId="8" r:id="rId8"/>
    <sheet name="TOTALIZADORES_IFFar" sheetId="9" r:id="rId9"/>
    <sheet name="A NÃO TEM MAIS POSTOS-00" sheetId="10" state="hidden" r:id="rId10"/>
    <sheet name="A NÃO TEM MAIS POSTOS-11" sheetId="11" state="hidden" r:id="rId11"/>
    <sheet name="A NÃO TEM MAIS POSTOS-22" sheetId="12" state="hidden" r:id="rId12"/>
    <sheet name="A NÃO TEM MAIS POSTOS-33" sheetId="13" state="hidden" r:id="rId13"/>
    <sheet name="A NÃO TEM MAIS POSTOS-44" sheetId="14" state="hidden" r:id="rId14"/>
    <sheet name="A NAO TEM MAIS POSTO 55" sheetId="15" state="hidden" r:id="rId15"/>
    <sheet name="A NAO TEM MAIS POSTO 66" sheetId="16" state="hidden" r:id="rId16"/>
    <sheet name="A NAO TEM MAIS POSTO 77" sheetId="17" state="hidden" r:id="rId17"/>
    <sheet name="A NÃO TEM MAIS POSTOS-88" sheetId="18" state="hidden" r:id="rId18"/>
    <sheet name="A NÃO TEM MAIS POSTOS-99" sheetId="19" state="hidden" r:id="rId19"/>
  </sheets>
  <definedNames>
    <definedName name="_xlnm._FilterDatabase" localSheetId="8" hidden="1">TOTALIZADORES_IFFar!$A$6:$Z$186</definedName>
  </definedNames>
  <calcPr calcId="144525"/>
</workbook>
</file>

<file path=xl/calcChain.xml><?xml version="1.0" encoding="utf-8"?>
<calcChain xmlns="http://schemas.openxmlformats.org/spreadsheetml/2006/main">
  <c r="H206" i="19" l="1"/>
  <c r="I206" i="19" s="1"/>
  <c r="H205" i="19"/>
  <c r="I205" i="19" s="1"/>
  <c r="H204" i="19"/>
  <c r="I204" i="19" s="1"/>
  <c r="H202" i="19"/>
  <c r="I202" i="19" s="1"/>
  <c r="I201" i="19"/>
  <c r="H201" i="19"/>
  <c r="I171" i="19"/>
  <c r="I170" i="19"/>
  <c r="I166" i="19"/>
  <c r="I164" i="19"/>
  <c r="J157" i="19"/>
  <c r="J192" i="19" s="1"/>
  <c r="J149" i="19"/>
  <c r="I49" i="19"/>
  <c r="I48" i="19"/>
  <c r="I40" i="19"/>
  <c r="I9" i="19"/>
  <c r="I8" i="19"/>
  <c r="B6" i="19"/>
  <c r="G5" i="19"/>
  <c r="G4" i="19"/>
  <c r="H206" i="18"/>
  <c r="I206" i="18" s="1"/>
  <c r="H205" i="18"/>
  <c r="I205" i="18" s="1"/>
  <c r="H204" i="18"/>
  <c r="I204" i="18" s="1"/>
  <c r="H202" i="18"/>
  <c r="I202" i="18" s="1"/>
  <c r="H201" i="18"/>
  <c r="I201" i="18" s="1"/>
  <c r="I171" i="18"/>
  <c r="I170" i="18"/>
  <c r="I166" i="18"/>
  <c r="I164" i="18"/>
  <c r="J157" i="18"/>
  <c r="J192" i="18" s="1"/>
  <c r="J149" i="18"/>
  <c r="I49" i="18"/>
  <c r="I48" i="18"/>
  <c r="I40" i="18"/>
  <c r="I9" i="18"/>
  <c r="I8" i="18"/>
  <c r="B6" i="18"/>
  <c r="G5" i="18"/>
  <c r="G4" i="18"/>
  <c r="I206" i="17"/>
  <c r="H206" i="17"/>
  <c r="H205" i="17"/>
  <c r="I205" i="17" s="1"/>
  <c r="H204" i="17"/>
  <c r="I204" i="17" s="1"/>
  <c r="H202" i="17"/>
  <c r="I202" i="17" s="1"/>
  <c r="I201" i="17"/>
  <c r="H201" i="17"/>
  <c r="I171" i="17"/>
  <c r="I170" i="17"/>
  <c r="I166" i="17"/>
  <c r="I164" i="17"/>
  <c r="J157" i="17"/>
  <c r="J192" i="17" s="1"/>
  <c r="J149" i="17"/>
  <c r="I49" i="17"/>
  <c r="I48" i="17"/>
  <c r="I40" i="17"/>
  <c r="I9" i="17"/>
  <c r="I8" i="17"/>
  <c r="B6" i="17"/>
  <c r="G5" i="17"/>
  <c r="G4" i="17"/>
  <c r="I206" i="16"/>
  <c r="H206" i="16"/>
  <c r="I205" i="16"/>
  <c r="H205" i="16"/>
  <c r="I204" i="16"/>
  <c r="H204" i="16"/>
  <c r="H202" i="16"/>
  <c r="I202" i="16" s="1"/>
  <c r="H201" i="16"/>
  <c r="I171" i="16"/>
  <c r="I170" i="16"/>
  <c r="I166" i="16"/>
  <c r="I164" i="16"/>
  <c r="J157" i="16"/>
  <c r="J192" i="16" s="1"/>
  <c r="J149" i="16"/>
  <c r="I49" i="16"/>
  <c r="I48" i="16"/>
  <c r="I40" i="16"/>
  <c r="I9" i="16"/>
  <c r="I8" i="16"/>
  <c r="B6" i="16"/>
  <c r="G5" i="16"/>
  <c r="G4" i="16"/>
  <c r="H206" i="15"/>
  <c r="I206" i="15" s="1"/>
  <c r="H205" i="15"/>
  <c r="I205" i="15" s="1"/>
  <c r="H204" i="15"/>
  <c r="I204" i="15" s="1"/>
  <c r="H202" i="15"/>
  <c r="I202" i="15" s="1"/>
  <c r="H201" i="15"/>
  <c r="I201" i="15" s="1"/>
  <c r="J192" i="15"/>
  <c r="I171" i="15"/>
  <c r="I170" i="15"/>
  <c r="I166" i="15"/>
  <c r="I164" i="15"/>
  <c r="J157" i="15"/>
  <c r="J149" i="15"/>
  <c r="I49" i="15"/>
  <c r="I48" i="15"/>
  <c r="I40" i="15"/>
  <c r="I9" i="15"/>
  <c r="I8" i="15"/>
  <c r="B6" i="15"/>
  <c r="G5" i="15"/>
  <c r="G4" i="15"/>
  <c r="I206" i="14"/>
  <c r="H206" i="14"/>
  <c r="I205" i="14"/>
  <c r="H205" i="14"/>
  <c r="H204" i="14"/>
  <c r="I204" i="14" s="1"/>
  <c r="H202" i="14"/>
  <c r="I202" i="14" s="1"/>
  <c r="I201" i="14"/>
  <c r="H201" i="14"/>
  <c r="I171" i="14"/>
  <c r="I170" i="14"/>
  <c r="I166" i="14"/>
  <c r="I164" i="14"/>
  <c r="J154" i="14"/>
  <c r="J157" i="14" s="1"/>
  <c r="J192" i="14" s="1"/>
  <c r="J149" i="14"/>
  <c r="I49" i="14"/>
  <c r="I48" i="14"/>
  <c r="I40" i="14"/>
  <c r="I11" i="14"/>
  <c r="H213" i="14" s="1"/>
  <c r="I9" i="14"/>
  <c r="I8" i="14"/>
  <c r="B6" i="14"/>
  <c r="G5" i="14"/>
  <c r="G4" i="14"/>
  <c r="I206" i="13"/>
  <c r="H206" i="13"/>
  <c r="I205" i="13"/>
  <c r="H205" i="13"/>
  <c r="H204" i="13"/>
  <c r="I204" i="13" s="1"/>
  <c r="H202" i="13"/>
  <c r="I202" i="13" s="1"/>
  <c r="I201" i="13"/>
  <c r="H201" i="13"/>
  <c r="I171" i="13"/>
  <c r="I170" i="13"/>
  <c r="I166" i="13"/>
  <c r="I164" i="13"/>
  <c r="J154" i="13"/>
  <c r="J157" i="13" s="1"/>
  <c r="J192" i="13" s="1"/>
  <c r="J149" i="13"/>
  <c r="I49" i="13"/>
  <c r="I40" i="13"/>
  <c r="I11" i="13"/>
  <c r="H213" i="13" s="1"/>
  <c r="I9" i="13"/>
  <c r="I8" i="13"/>
  <c r="B6" i="13"/>
  <c r="G5" i="13"/>
  <c r="G4" i="13"/>
  <c r="I206" i="12"/>
  <c r="H206" i="12"/>
  <c r="H205" i="12"/>
  <c r="I205" i="12" s="1"/>
  <c r="H204" i="12"/>
  <c r="I204" i="12" s="1"/>
  <c r="H202" i="12"/>
  <c r="I202" i="12" s="1"/>
  <c r="I201" i="12"/>
  <c r="H201" i="12"/>
  <c r="I171" i="12"/>
  <c r="I170" i="12"/>
  <c r="I166" i="12"/>
  <c r="I164" i="12"/>
  <c r="J154" i="12"/>
  <c r="J157" i="12" s="1"/>
  <c r="J192" i="12" s="1"/>
  <c r="J149" i="12"/>
  <c r="I49" i="12"/>
  <c r="I40" i="12"/>
  <c r="I11" i="12"/>
  <c r="I9" i="12"/>
  <c r="I8" i="12"/>
  <c r="B6" i="12"/>
  <c r="G5" i="12"/>
  <c r="G4" i="12"/>
  <c r="H206" i="11"/>
  <c r="I206" i="11" s="1"/>
  <c r="H205" i="11"/>
  <c r="I205" i="11" s="1"/>
  <c r="H204" i="11"/>
  <c r="I204" i="11" s="1"/>
  <c r="H202" i="11"/>
  <c r="I202" i="11" s="1"/>
  <c r="H201" i="11"/>
  <c r="I201" i="11" s="1"/>
  <c r="I171" i="11"/>
  <c r="I170" i="11"/>
  <c r="I166" i="11"/>
  <c r="I164" i="11"/>
  <c r="J154" i="11"/>
  <c r="J157" i="11" s="1"/>
  <c r="J192" i="11" s="1"/>
  <c r="J149" i="11"/>
  <c r="I49" i="11"/>
  <c r="I40" i="11"/>
  <c r="I11" i="11"/>
  <c r="H213" i="11" s="1"/>
  <c r="I9" i="11"/>
  <c r="I8" i="11"/>
  <c r="B6" i="11"/>
  <c r="G5" i="11"/>
  <c r="G4" i="11"/>
  <c r="I206" i="10"/>
  <c r="H206" i="10"/>
  <c r="H205" i="10"/>
  <c r="I205" i="10" s="1"/>
  <c r="I204" i="10"/>
  <c r="H204" i="10"/>
  <c r="I202" i="10"/>
  <c r="H202" i="10"/>
  <c r="H201" i="10"/>
  <c r="I171" i="10"/>
  <c r="I170" i="10"/>
  <c r="I166" i="10"/>
  <c r="I164" i="10"/>
  <c r="J155" i="10"/>
  <c r="J157" i="10" s="1"/>
  <c r="J192" i="10" s="1"/>
  <c r="J149" i="10"/>
  <c r="I49" i="10"/>
  <c r="I40" i="10"/>
  <c r="I11" i="10"/>
  <c r="H213" i="10" s="1"/>
  <c r="I9" i="10"/>
  <c r="I8" i="10"/>
  <c r="B6" i="10"/>
  <c r="G5" i="10"/>
  <c r="G4" i="10"/>
  <c r="D173" i="9"/>
  <c r="G162" i="9"/>
  <c r="H162" i="9" s="1"/>
  <c r="H173" i="9" s="1"/>
  <c r="H161" i="9"/>
  <c r="G161" i="9"/>
  <c r="B161" i="9"/>
  <c r="B162" i="9" s="1"/>
  <c r="B163" i="9" s="1"/>
  <c r="B164" i="9" s="1"/>
  <c r="B165" i="9" s="1"/>
  <c r="B166" i="9" s="1"/>
  <c r="B167" i="9" s="1"/>
  <c r="B168" i="9" s="1"/>
  <c r="B169" i="9" s="1"/>
  <c r="B170" i="9" s="1"/>
  <c r="B171" i="9" s="1"/>
  <c r="B172" i="9" s="1"/>
  <c r="B173" i="9" s="1"/>
  <c r="H159" i="9"/>
  <c r="D159" i="9"/>
  <c r="G148" i="9"/>
  <c r="H148" i="9" s="1"/>
  <c r="H147" i="9"/>
  <c r="G147" i="9"/>
  <c r="B147" i="9"/>
  <c r="B148" i="9" s="1"/>
  <c r="B149" i="9" s="1"/>
  <c r="B150" i="9" s="1"/>
  <c r="B151" i="9" s="1"/>
  <c r="B152" i="9" s="1"/>
  <c r="B153" i="9" s="1"/>
  <c r="B154" i="9" s="1"/>
  <c r="B155" i="9" s="1"/>
  <c r="B156" i="9" s="1"/>
  <c r="B157" i="9" s="1"/>
  <c r="B158" i="9" s="1"/>
  <c r="B159" i="9" s="1"/>
  <c r="D145" i="9"/>
  <c r="G134" i="9"/>
  <c r="H134" i="9" s="1"/>
  <c r="G133" i="9"/>
  <c r="H133" i="9" s="1"/>
  <c r="H145" i="9" s="1"/>
  <c r="B133" i="9"/>
  <c r="B134" i="9" s="1"/>
  <c r="B135" i="9" s="1"/>
  <c r="B136" i="9" s="1"/>
  <c r="B137" i="9" s="1"/>
  <c r="B138" i="9" s="1"/>
  <c r="B139" i="9" s="1"/>
  <c r="B140" i="9" s="1"/>
  <c r="B141" i="9" s="1"/>
  <c r="B142" i="9" s="1"/>
  <c r="B143" i="9" s="1"/>
  <c r="B144" i="9" s="1"/>
  <c r="B145" i="9" s="1"/>
  <c r="D131" i="9"/>
  <c r="B123" i="9"/>
  <c r="B124" i="9" s="1"/>
  <c r="B125" i="9" s="1"/>
  <c r="B126" i="9" s="1"/>
  <c r="B127" i="9" s="1"/>
  <c r="B128" i="9" s="1"/>
  <c r="B129" i="9" s="1"/>
  <c r="B130" i="9" s="1"/>
  <c r="B131" i="9" s="1"/>
  <c r="G120" i="9"/>
  <c r="H120" i="9" s="1"/>
  <c r="G119" i="9"/>
  <c r="H119" i="9" s="1"/>
  <c r="B119" i="9"/>
  <c r="B120" i="9" s="1"/>
  <c r="B121" i="9" s="1"/>
  <c r="B122" i="9" s="1"/>
  <c r="D117" i="9"/>
  <c r="G106" i="9"/>
  <c r="H106" i="9" s="1"/>
  <c r="H117" i="9" s="1"/>
  <c r="H105" i="9"/>
  <c r="G105" i="9"/>
  <c r="B105" i="9"/>
  <c r="B106" i="9" s="1"/>
  <c r="B107" i="9" s="1"/>
  <c r="B108" i="9" s="1"/>
  <c r="B109" i="9" s="1"/>
  <c r="B110" i="9" s="1"/>
  <c r="B111" i="9" s="1"/>
  <c r="B112" i="9" s="1"/>
  <c r="B113" i="9" s="1"/>
  <c r="B114" i="9" s="1"/>
  <c r="B115" i="9" s="1"/>
  <c r="B116" i="9" s="1"/>
  <c r="B117" i="9" s="1"/>
  <c r="D103" i="9"/>
  <c r="B95" i="9"/>
  <c r="B96" i="9" s="1"/>
  <c r="B97" i="9" s="1"/>
  <c r="B98" i="9" s="1"/>
  <c r="B99" i="9" s="1"/>
  <c r="B100" i="9" s="1"/>
  <c r="B101" i="9" s="1"/>
  <c r="B102" i="9" s="1"/>
  <c r="B103" i="9" s="1"/>
  <c r="G92" i="9"/>
  <c r="H92" i="9" s="1"/>
  <c r="G91" i="9"/>
  <c r="H91" i="9" s="1"/>
  <c r="B91" i="9"/>
  <c r="B92" i="9" s="1"/>
  <c r="B93" i="9" s="1"/>
  <c r="B94" i="9" s="1"/>
  <c r="D89" i="9"/>
  <c r="H78" i="9"/>
  <c r="G78" i="9"/>
  <c r="G77" i="9"/>
  <c r="H77" i="9" s="1"/>
  <c r="B77" i="9"/>
  <c r="B78" i="9" s="1"/>
  <c r="B79" i="9" s="1"/>
  <c r="B80" i="9" s="1"/>
  <c r="B81" i="9" s="1"/>
  <c r="B82" i="9" s="1"/>
  <c r="B83" i="9" s="1"/>
  <c r="B84" i="9" s="1"/>
  <c r="B85" i="9" s="1"/>
  <c r="B86" i="9" s="1"/>
  <c r="B87" i="9" s="1"/>
  <c r="B88" i="9" s="1"/>
  <c r="B89" i="9" s="1"/>
  <c r="D75" i="9"/>
  <c r="G64" i="9"/>
  <c r="H64" i="9" s="1"/>
  <c r="G63" i="9"/>
  <c r="H63" i="9" s="1"/>
  <c r="H75" i="9" s="1"/>
  <c r="B63" i="9"/>
  <c r="B64" i="9" s="1"/>
  <c r="B65" i="9" s="1"/>
  <c r="B66" i="9" s="1"/>
  <c r="B67" i="9" s="1"/>
  <c r="B68" i="9" s="1"/>
  <c r="B69" i="9" s="1"/>
  <c r="B70" i="9" s="1"/>
  <c r="B71" i="9" s="1"/>
  <c r="B72" i="9" s="1"/>
  <c r="B73" i="9" s="1"/>
  <c r="B74" i="9" s="1"/>
  <c r="B75" i="9" s="1"/>
  <c r="D61" i="9"/>
  <c r="H50" i="9"/>
  <c r="G50" i="9"/>
  <c r="B50" i="9"/>
  <c r="B51" i="9" s="1"/>
  <c r="B52" i="9" s="1"/>
  <c r="B53" i="9" s="1"/>
  <c r="B54" i="9" s="1"/>
  <c r="B55" i="9" s="1"/>
  <c r="B56" i="9" s="1"/>
  <c r="B57" i="9" s="1"/>
  <c r="B58" i="9" s="1"/>
  <c r="B59" i="9" s="1"/>
  <c r="B60" i="9" s="1"/>
  <c r="B61" i="9" s="1"/>
  <c r="H49" i="9"/>
  <c r="H61" i="9" s="1"/>
  <c r="G49" i="9"/>
  <c r="B49" i="9"/>
  <c r="D47" i="9"/>
  <c r="B38" i="9"/>
  <c r="B39" i="9" s="1"/>
  <c r="B40" i="9" s="1"/>
  <c r="B41" i="9" s="1"/>
  <c r="B42" i="9" s="1"/>
  <c r="B43" i="9" s="1"/>
  <c r="B44" i="9" s="1"/>
  <c r="B45" i="9" s="1"/>
  <c r="B46" i="9" s="1"/>
  <c r="B47" i="9" s="1"/>
  <c r="G36" i="9"/>
  <c r="H36" i="9" s="1"/>
  <c r="B36" i="9"/>
  <c r="B37" i="9" s="1"/>
  <c r="G35" i="9"/>
  <c r="H35" i="9" s="1"/>
  <c r="B35" i="9"/>
  <c r="D33" i="9"/>
  <c r="G22" i="9"/>
  <c r="H22" i="9" s="1"/>
  <c r="H33" i="9" s="1"/>
  <c r="H21" i="9"/>
  <c r="G21" i="9"/>
  <c r="B21" i="9"/>
  <c r="B22" i="9" s="1"/>
  <c r="B23" i="9" s="1"/>
  <c r="B24" i="9" s="1"/>
  <c r="B25" i="9" s="1"/>
  <c r="B26" i="9" s="1"/>
  <c r="B27" i="9" s="1"/>
  <c r="B28" i="9" s="1"/>
  <c r="B29" i="9" s="1"/>
  <c r="B30" i="9" s="1"/>
  <c r="B31" i="9" s="1"/>
  <c r="B32" i="9" s="1"/>
  <c r="B33" i="9" s="1"/>
  <c r="D19" i="9"/>
  <c r="G8" i="9"/>
  <c r="H8" i="9" s="1"/>
  <c r="G7" i="9"/>
  <c r="H7" i="9" s="1"/>
  <c r="H19" i="9" s="1"/>
  <c r="B7" i="9"/>
  <c r="H240" i="8"/>
  <c r="B226" i="8"/>
  <c r="B225" i="8"/>
  <c r="B224" i="8"/>
  <c r="B223" i="8"/>
  <c r="B222" i="8"/>
  <c r="B221" i="8"/>
  <c r="H206" i="8"/>
  <c r="I206" i="8" s="1"/>
  <c r="H205" i="8"/>
  <c r="I205" i="8" s="1"/>
  <c r="I204" i="8"/>
  <c r="H204" i="8"/>
  <c r="I202" i="8"/>
  <c r="H202" i="8"/>
  <c r="H201" i="8"/>
  <c r="I201" i="8" s="1"/>
  <c r="I171" i="8"/>
  <c r="I170" i="8"/>
  <c r="I166" i="8"/>
  <c r="I164" i="8"/>
  <c r="J149" i="8"/>
  <c r="J133" i="8"/>
  <c r="G56" i="8"/>
  <c r="I40" i="8"/>
  <c r="G203" i="8" s="1"/>
  <c r="I11" i="8"/>
  <c r="H213" i="8" s="1"/>
  <c r="I9" i="8"/>
  <c r="I8" i="8"/>
  <c r="B6" i="8"/>
  <c r="G5" i="8"/>
  <c r="G4" i="8"/>
  <c r="H240" i="7"/>
  <c r="B226" i="7"/>
  <c r="B225" i="7"/>
  <c r="B224" i="7"/>
  <c r="B223" i="7"/>
  <c r="B222" i="7"/>
  <c r="B221" i="7"/>
  <c r="I206" i="7"/>
  <c r="H206" i="7"/>
  <c r="I205" i="7"/>
  <c r="H205" i="7"/>
  <c r="H204" i="7"/>
  <c r="I204" i="7" s="1"/>
  <c r="H202" i="7"/>
  <c r="I202" i="7" s="1"/>
  <c r="H201" i="7"/>
  <c r="I201" i="7" s="1"/>
  <c r="I171" i="7"/>
  <c r="I170" i="7"/>
  <c r="I166" i="7"/>
  <c r="I164" i="7"/>
  <c r="J155" i="7"/>
  <c r="J149" i="7"/>
  <c r="J133" i="7"/>
  <c r="I94" i="7"/>
  <c r="H80" i="7"/>
  <c r="I80" i="7" s="1"/>
  <c r="I86" i="7" s="1"/>
  <c r="F80" i="7"/>
  <c r="G56" i="7"/>
  <c r="I41" i="7"/>
  <c r="I40" i="7"/>
  <c r="G203" i="7" s="1"/>
  <c r="I11" i="7"/>
  <c r="H213" i="7" s="1"/>
  <c r="I9" i="7"/>
  <c r="I8" i="7"/>
  <c r="B6" i="7"/>
  <c r="G5" i="7"/>
  <c r="G4" i="7"/>
  <c r="B18" i="6"/>
  <c r="B17" i="6"/>
  <c r="B16" i="6"/>
  <c r="C23" i="5"/>
  <c r="J154" i="8" s="1"/>
  <c r="J157" i="8" s="1"/>
  <c r="H18" i="5"/>
  <c r="G18" i="5"/>
  <c r="E18" i="5"/>
  <c r="D18" i="5"/>
  <c r="C18" i="5"/>
  <c r="B18" i="5"/>
  <c r="A18" i="5"/>
  <c r="H17" i="5"/>
  <c r="G17" i="5"/>
  <c r="E17" i="5"/>
  <c r="D17" i="5"/>
  <c r="C17" i="5"/>
  <c r="B17" i="5"/>
  <c r="A17" i="5"/>
  <c r="H16" i="5"/>
  <c r="G16" i="5"/>
  <c r="E16" i="5"/>
  <c r="D16" i="5"/>
  <c r="C16" i="5"/>
  <c r="B16" i="5"/>
  <c r="A16" i="5"/>
  <c r="H15" i="5"/>
  <c r="G15" i="5"/>
  <c r="E15" i="5"/>
  <c r="D15" i="5"/>
  <c r="C15" i="5"/>
  <c r="B15" i="5"/>
  <c r="A15" i="5"/>
  <c r="H14" i="5"/>
  <c r="G14" i="5"/>
  <c r="E14" i="5"/>
  <c r="D14" i="5"/>
  <c r="C14" i="5"/>
  <c r="B14" i="5"/>
  <c r="A14" i="5"/>
  <c r="H13" i="5"/>
  <c r="G13" i="5"/>
  <c r="E13" i="5"/>
  <c r="D13" i="5"/>
  <c r="C13" i="5"/>
  <c r="B13" i="5"/>
  <c r="A13" i="5"/>
  <c r="H12" i="5"/>
  <c r="G12" i="5"/>
  <c r="E12" i="5"/>
  <c r="D12" i="5"/>
  <c r="C12" i="5"/>
  <c r="B12" i="5"/>
  <c r="A12" i="5"/>
  <c r="H11" i="5"/>
  <c r="G11" i="5"/>
  <c r="E11" i="5"/>
  <c r="D11" i="5"/>
  <c r="C11" i="5"/>
  <c r="B11" i="5"/>
  <c r="A11" i="5"/>
  <c r="H10" i="5"/>
  <c r="G10" i="5"/>
  <c r="E10" i="5"/>
  <c r="D10" i="5"/>
  <c r="C10" i="5"/>
  <c r="B10" i="5"/>
  <c r="A10" i="5"/>
  <c r="H9" i="5"/>
  <c r="G9" i="5"/>
  <c r="E9" i="5"/>
  <c r="D9" i="5"/>
  <c r="C9" i="5"/>
  <c r="B9" i="5"/>
  <c r="A9" i="5"/>
  <c r="H8" i="5"/>
  <c r="G8" i="5"/>
  <c r="E8" i="5"/>
  <c r="D8" i="5"/>
  <c r="C8" i="5"/>
  <c r="B8" i="5"/>
  <c r="A8" i="5"/>
  <c r="H7" i="5"/>
  <c r="G7" i="5"/>
  <c r="F25" i="4"/>
  <c r="F24" i="4"/>
  <c r="F23" i="4"/>
  <c r="F22" i="4"/>
  <c r="J21" i="4"/>
  <c r="F21" i="4"/>
  <c r="J20" i="4"/>
  <c r="F20" i="4"/>
  <c r="J19" i="4"/>
  <c r="F19" i="4"/>
  <c r="J18" i="4"/>
  <c r="F18" i="4"/>
  <c r="J17" i="4"/>
  <c r="F17" i="4"/>
  <c r="J16" i="4"/>
  <c r="F16" i="4"/>
  <c r="J15" i="4"/>
  <c r="F15" i="4"/>
  <c r="J14" i="4"/>
  <c r="F14" i="4"/>
  <c r="D10" i="4"/>
  <c r="J9" i="4"/>
  <c r="D9" i="4"/>
  <c r="D8" i="4"/>
  <c r="D7" i="4"/>
  <c r="J6" i="4"/>
  <c r="D6" i="4"/>
  <c r="D4" i="4"/>
  <c r="J94" i="3"/>
  <c r="I11" i="15" s="1"/>
  <c r="N92" i="3"/>
  <c r="I17" i="19" s="1"/>
  <c r="M92" i="3"/>
  <c r="I17" i="18" s="1"/>
  <c r="L92" i="3"/>
  <c r="K92" i="3"/>
  <c r="I17" i="16" s="1"/>
  <c r="J92" i="3"/>
  <c r="I17" i="15" s="1"/>
  <c r="I92" i="3"/>
  <c r="I17" i="14" s="1"/>
  <c r="H92" i="3"/>
  <c r="I17" i="13" s="1"/>
  <c r="G92" i="3"/>
  <c r="I17" i="12" s="1"/>
  <c r="F92" i="3"/>
  <c r="E92" i="3"/>
  <c r="I17" i="10" s="1"/>
  <c r="D92" i="3"/>
  <c r="I17" i="8" s="1"/>
  <c r="C92" i="3"/>
  <c r="I17" i="7" s="1"/>
  <c r="I20" i="7" s="1"/>
  <c r="C87" i="3"/>
  <c r="D87" i="3" s="1"/>
  <c r="N74" i="3"/>
  <c r="I95" i="19" s="1"/>
  <c r="M74" i="3"/>
  <c r="I95" i="18" s="1"/>
  <c r="L74" i="3"/>
  <c r="I95" i="17" s="1"/>
  <c r="K74" i="3"/>
  <c r="I95" i="16" s="1"/>
  <c r="J74" i="3"/>
  <c r="I95" i="15" s="1"/>
  <c r="I74" i="3"/>
  <c r="I95" i="14" s="1"/>
  <c r="H74" i="3"/>
  <c r="I95" i="13" s="1"/>
  <c r="G74" i="3"/>
  <c r="I95" i="12" s="1"/>
  <c r="F74" i="3"/>
  <c r="I95" i="11" s="1"/>
  <c r="E74" i="3"/>
  <c r="I95" i="10" s="1"/>
  <c r="D74" i="3"/>
  <c r="I95" i="8" s="1"/>
  <c r="C74" i="3"/>
  <c r="I95" i="7" s="1"/>
  <c r="D73" i="3"/>
  <c r="C72" i="3"/>
  <c r="D72" i="3" s="1"/>
  <c r="E71" i="3"/>
  <c r="D71" i="3"/>
  <c r="C71" i="3"/>
  <c r="N70" i="3"/>
  <c r="M70" i="3"/>
  <c r="L70" i="3"/>
  <c r="K70" i="3"/>
  <c r="J70" i="3"/>
  <c r="I70" i="3"/>
  <c r="H70" i="3"/>
  <c r="G70" i="3"/>
  <c r="F70" i="3"/>
  <c r="E70" i="3"/>
  <c r="D70" i="3"/>
  <c r="C70" i="3"/>
  <c r="E69" i="3"/>
  <c r="F68" i="3"/>
  <c r="E67" i="3"/>
  <c r="D67" i="3"/>
  <c r="C67" i="3"/>
  <c r="E66" i="3"/>
  <c r="K65" i="3"/>
  <c r="I54" i="16" s="1"/>
  <c r="C64" i="3"/>
  <c r="I62" i="3"/>
  <c r="H62" i="3"/>
  <c r="I99" i="13" s="1"/>
  <c r="G62" i="3"/>
  <c r="I99" i="12" s="1"/>
  <c r="F62" i="3"/>
  <c r="I99" i="11" s="1"/>
  <c r="E62" i="3"/>
  <c r="I99" i="10" s="1"/>
  <c r="D62" i="3"/>
  <c r="I99" i="8" s="1"/>
  <c r="C62" i="3"/>
  <c r="I99" i="7" s="1"/>
  <c r="C60" i="3"/>
  <c r="F58" i="3"/>
  <c r="H80" i="11" s="1"/>
  <c r="E58" i="3"/>
  <c r="H80" i="10" s="1"/>
  <c r="D58" i="3"/>
  <c r="H80" i="8" s="1"/>
  <c r="E57" i="3"/>
  <c r="F80" i="10" s="1"/>
  <c r="I80" i="10" s="1"/>
  <c r="I86" i="10" s="1"/>
  <c r="D57" i="3"/>
  <c r="F80" i="8" s="1"/>
  <c r="I80" i="8" s="1"/>
  <c r="I86" i="8" s="1"/>
  <c r="M56" i="3"/>
  <c r="M84" i="3" s="1"/>
  <c r="M91" i="3" s="1"/>
  <c r="G56" i="3"/>
  <c r="G84" i="3" s="1"/>
  <c r="G91" i="3" s="1"/>
  <c r="D52" i="3"/>
  <c r="C52" i="3"/>
  <c r="H29" i="7" s="1"/>
  <c r="N51" i="3"/>
  <c r="N52" i="3" s="1"/>
  <c r="M51" i="3"/>
  <c r="M52" i="3" s="1"/>
  <c r="L51" i="3"/>
  <c r="L52" i="3" s="1"/>
  <c r="K51" i="3"/>
  <c r="K52" i="3" s="1"/>
  <c r="J51" i="3"/>
  <c r="J52" i="3" s="1"/>
  <c r="I51" i="3"/>
  <c r="I52" i="3" s="1"/>
  <c r="H51" i="3"/>
  <c r="H52" i="3" s="1"/>
  <c r="G51" i="3"/>
  <c r="G52" i="3" s="1"/>
  <c r="F51" i="3"/>
  <c r="F52" i="3" s="1"/>
  <c r="E51" i="3"/>
  <c r="E52" i="3" s="1"/>
  <c r="K49" i="3"/>
  <c r="K56" i="3" s="1"/>
  <c r="K84" i="3" s="1"/>
  <c r="K91" i="3" s="1"/>
  <c r="E49" i="3"/>
  <c r="E56" i="3" s="1"/>
  <c r="E84" i="3" s="1"/>
  <c r="E91" i="3" s="1"/>
  <c r="E43" i="3"/>
  <c r="D43" i="3"/>
  <c r="C43" i="3"/>
  <c r="D42" i="3"/>
  <c r="N40" i="3"/>
  <c r="G50" i="19" s="1"/>
  <c r="M40" i="3"/>
  <c r="G50" i="18" s="1"/>
  <c r="L40" i="3"/>
  <c r="G50" i="17" s="1"/>
  <c r="K40" i="3"/>
  <c r="G50" i="16" s="1"/>
  <c r="J40" i="3"/>
  <c r="G50" i="15" s="1"/>
  <c r="I40" i="3"/>
  <c r="G50" i="14" s="1"/>
  <c r="H40" i="3"/>
  <c r="G50" i="13" s="1"/>
  <c r="G40" i="3"/>
  <c r="G50" i="12" s="1"/>
  <c r="F40" i="3"/>
  <c r="G50" i="11" s="1"/>
  <c r="E40" i="3"/>
  <c r="G50" i="10" s="1"/>
  <c r="D40" i="3"/>
  <c r="G50" i="8" s="1"/>
  <c r="C40" i="3"/>
  <c r="N38" i="3"/>
  <c r="F48" i="19" s="1"/>
  <c r="M38" i="3"/>
  <c r="F48" i="18" s="1"/>
  <c r="L38" i="3"/>
  <c r="F48" i="17" s="1"/>
  <c r="K38" i="3"/>
  <c r="F48" i="16" s="1"/>
  <c r="J38" i="3"/>
  <c r="F48" i="15" s="1"/>
  <c r="I38" i="3"/>
  <c r="F48" i="14" s="1"/>
  <c r="H38" i="3"/>
  <c r="F48" i="13" s="1"/>
  <c r="G38" i="3"/>
  <c r="F48" i="12" s="1"/>
  <c r="F38" i="3"/>
  <c r="F48" i="11" s="1"/>
  <c r="E38" i="3"/>
  <c r="F48" i="10" s="1"/>
  <c r="D38" i="3"/>
  <c r="F48" i="8" s="1"/>
  <c r="C38" i="3"/>
  <c r="F48" i="7" s="1"/>
  <c r="N37" i="3"/>
  <c r="F29" i="19" s="1"/>
  <c r="M37" i="3"/>
  <c r="F29" i="18" s="1"/>
  <c r="L37" i="3"/>
  <c r="F29" i="17" s="1"/>
  <c r="K37" i="3"/>
  <c r="F29" i="16" s="1"/>
  <c r="J37" i="3"/>
  <c r="F29" i="15" s="1"/>
  <c r="I37" i="3"/>
  <c r="F29" i="14" s="1"/>
  <c r="H37" i="3"/>
  <c r="F29" i="13" s="1"/>
  <c r="G37" i="3"/>
  <c r="F29" i="12" s="1"/>
  <c r="F37" i="3"/>
  <c r="F29" i="11" s="1"/>
  <c r="E37" i="3"/>
  <c r="F29" i="10" s="1"/>
  <c r="D37" i="3"/>
  <c r="F29" i="8" s="1"/>
  <c r="C37" i="3"/>
  <c r="F29" i="7" s="1"/>
  <c r="I29" i="7" s="1"/>
  <c r="N35" i="3"/>
  <c r="I10" i="19" s="1"/>
  <c r="M35" i="3"/>
  <c r="I10" i="18" s="1"/>
  <c r="L35" i="3"/>
  <c r="K35" i="3"/>
  <c r="J35" i="3"/>
  <c r="I35" i="3"/>
  <c r="I61" i="3" s="1"/>
  <c r="I100" i="14" s="1"/>
  <c r="H35" i="3"/>
  <c r="G35" i="3"/>
  <c r="F35" i="3"/>
  <c r="E35" i="3"/>
  <c r="D35" i="3"/>
  <c r="C35" i="3"/>
  <c r="C63" i="3" s="1"/>
  <c r="N33" i="3"/>
  <c r="N49" i="3" s="1"/>
  <c r="N56" i="3" s="1"/>
  <c r="N84" i="3" s="1"/>
  <c r="N91" i="3" s="1"/>
  <c r="M33" i="3"/>
  <c r="M49" i="3" s="1"/>
  <c r="L33" i="3"/>
  <c r="L49" i="3" s="1"/>
  <c r="L56" i="3" s="1"/>
  <c r="L84" i="3" s="1"/>
  <c r="L91" i="3" s="1"/>
  <c r="K33" i="3"/>
  <c r="J33" i="3"/>
  <c r="I33" i="3"/>
  <c r="H33" i="3"/>
  <c r="H49" i="3" s="1"/>
  <c r="H56" i="3" s="1"/>
  <c r="H84" i="3" s="1"/>
  <c r="H91" i="3" s="1"/>
  <c r="G33" i="3"/>
  <c r="G49" i="3" s="1"/>
  <c r="F33" i="3"/>
  <c r="F49" i="3" s="1"/>
  <c r="F56" i="3" s="1"/>
  <c r="F84" i="3" s="1"/>
  <c r="F91" i="3" s="1"/>
  <c r="E33" i="3"/>
  <c r="D33" i="3"/>
  <c r="C33" i="3"/>
  <c r="C11" i="3"/>
  <c r="B40" i="2"/>
  <c r="B41" i="2" s="1"/>
  <c r="B42" i="2" s="1"/>
  <c r="B43" i="2" s="1"/>
  <c r="B44" i="2" s="1"/>
  <c r="K37" i="2"/>
  <c r="K36" i="2"/>
  <c r="K35" i="2"/>
  <c r="BN29" i="2"/>
  <c r="B29" i="2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28" i="2"/>
  <c r="HM25" i="2"/>
  <c r="HL25" i="2"/>
  <c r="HK25" i="2"/>
  <c r="HJ25" i="2"/>
  <c r="HI25" i="2"/>
  <c r="HH25" i="2"/>
  <c r="HG25" i="2"/>
  <c r="HF25" i="2"/>
  <c r="HE25" i="2"/>
  <c r="HD25" i="2"/>
  <c r="HC25" i="2"/>
  <c r="HB25" i="2"/>
  <c r="HA25" i="2"/>
  <c r="GZ25" i="2"/>
  <c r="GY25" i="2"/>
  <c r="GX25" i="2"/>
  <c r="GW25" i="2"/>
  <c r="GV25" i="2"/>
  <c r="GU25" i="2"/>
  <c r="GT25" i="2"/>
  <c r="GS25" i="2"/>
  <c r="GR25" i="2"/>
  <c r="GQ25" i="2"/>
  <c r="GP25" i="2"/>
  <c r="GO25" i="2"/>
  <c r="GN25" i="2"/>
  <c r="GM25" i="2"/>
  <c r="GL22" i="2"/>
  <c r="FU22" i="2"/>
  <c r="FD22" i="2"/>
  <c r="EM22" i="2"/>
  <c r="DV22" i="2"/>
  <c r="DE22" i="2"/>
  <c r="DD22" i="2"/>
  <c r="DC22" i="2"/>
  <c r="DB22" i="2"/>
  <c r="DA22" i="2"/>
  <c r="CZ22" i="2"/>
  <c r="CW22" i="2"/>
  <c r="CV22" i="2"/>
  <c r="CU22" i="2"/>
  <c r="CT22" i="2"/>
  <c r="CS22" i="2"/>
  <c r="CR22" i="2"/>
  <c r="CQ22" i="2"/>
  <c r="CP22" i="2"/>
  <c r="CO22" i="2"/>
  <c r="CN22" i="2"/>
  <c r="CM22" i="2"/>
  <c r="CL22" i="2"/>
  <c r="CK22" i="2"/>
  <c r="CJ22" i="2"/>
  <c r="CI22" i="2"/>
  <c r="CF22" i="2"/>
  <c r="CE22" i="2"/>
  <c r="CD22" i="2"/>
  <c r="CC22" i="2"/>
  <c r="CB22" i="2"/>
  <c r="CA22" i="2"/>
  <c r="BZ22" i="2"/>
  <c r="BY22" i="2"/>
  <c r="BX22" i="2"/>
  <c r="BW22" i="2"/>
  <c r="BV22" i="2"/>
  <c r="BU22" i="2"/>
  <c r="BT22" i="2"/>
  <c r="BS22" i="2"/>
  <c r="BR22" i="2"/>
  <c r="BO22" i="2"/>
  <c r="BN22" i="2"/>
  <c r="BM22" i="2"/>
  <c r="BL22" i="2"/>
  <c r="BK22" i="2"/>
  <c r="BJ22" i="2"/>
  <c r="BI22" i="2"/>
  <c r="BH22" i="2"/>
  <c r="BG22" i="2"/>
  <c r="BF22" i="2"/>
  <c r="BE22" i="2"/>
  <c r="BD22" i="2"/>
  <c r="BC22" i="2"/>
  <c r="BB22" i="2"/>
  <c r="BA22" i="2"/>
  <c r="AX22" i="2"/>
  <c r="AW22" i="2"/>
  <c r="AV22" i="2"/>
  <c r="AU22" i="2"/>
  <c r="AT22" i="2"/>
  <c r="AS22" i="2"/>
  <c r="AR22" i="2"/>
  <c r="AQ22" i="2"/>
  <c r="AP22" i="2"/>
  <c r="AO22" i="2"/>
  <c r="X22" i="2"/>
  <c r="G22" i="2"/>
  <c r="HN21" i="2"/>
  <c r="HC21" i="2"/>
  <c r="GW21" i="2"/>
  <c r="GV21" i="2"/>
  <c r="GF21" i="2"/>
  <c r="GE21" i="2"/>
  <c r="FO21" i="2"/>
  <c r="FN21" i="2"/>
  <c r="EX21" i="2"/>
  <c r="EW21" i="2"/>
  <c r="EG21" i="2"/>
  <c r="EF21" i="2"/>
  <c r="DP21" i="2"/>
  <c r="DO21" i="2"/>
  <c r="CY21" i="2"/>
  <c r="CX21" i="2"/>
  <c r="CH21" i="2"/>
  <c r="CG21" i="2"/>
  <c r="BQ21" i="2"/>
  <c r="BP21" i="2"/>
  <c r="AZ21" i="2"/>
  <c r="AY21" i="2"/>
  <c r="AI21" i="2"/>
  <c r="AH21" i="2"/>
  <c r="R21" i="2"/>
  <c r="Q21" i="2"/>
  <c r="HN20" i="2"/>
  <c r="HC20" i="2"/>
  <c r="GW20" i="2"/>
  <c r="GV20" i="2"/>
  <c r="GF20" i="2"/>
  <c r="GE20" i="2"/>
  <c r="FO20" i="2"/>
  <c r="FN20" i="2"/>
  <c r="EX20" i="2"/>
  <c r="EW20" i="2"/>
  <c r="EG20" i="2"/>
  <c r="EF20" i="2"/>
  <c r="DP20" i="2"/>
  <c r="DO20" i="2"/>
  <c r="CY20" i="2"/>
  <c r="CX20" i="2"/>
  <c r="CH20" i="2"/>
  <c r="CG20" i="2"/>
  <c r="BQ20" i="2"/>
  <c r="BP20" i="2"/>
  <c r="AZ20" i="2"/>
  <c r="AY20" i="2"/>
  <c r="AI20" i="2"/>
  <c r="AH20" i="2"/>
  <c r="R20" i="2"/>
  <c r="Q20" i="2"/>
  <c r="HN19" i="2"/>
  <c r="HC19" i="2"/>
  <c r="GW19" i="2"/>
  <c r="GV19" i="2"/>
  <c r="GF19" i="2"/>
  <c r="GE19" i="2"/>
  <c r="FO19" i="2"/>
  <c r="FN19" i="2"/>
  <c r="EX19" i="2"/>
  <c r="EW19" i="2"/>
  <c r="EG19" i="2"/>
  <c r="EF19" i="2"/>
  <c r="DP19" i="2"/>
  <c r="DO19" i="2"/>
  <c r="CY19" i="2"/>
  <c r="CX19" i="2"/>
  <c r="CH19" i="2"/>
  <c r="CG19" i="2"/>
  <c r="BQ19" i="2"/>
  <c r="BP19" i="2"/>
  <c r="AZ19" i="2"/>
  <c r="AY19" i="2"/>
  <c r="AI19" i="2"/>
  <c r="AH19" i="2"/>
  <c r="R19" i="2"/>
  <c r="Q19" i="2"/>
  <c r="HN18" i="2"/>
  <c r="HC18" i="2"/>
  <c r="GW18" i="2"/>
  <c r="GV18" i="2"/>
  <c r="GF18" i="2"/>
  <c r="GE18" i="2"/>
  <c r="FO18" i="2"/>
  <c r="FN18" i="2"/>
  <c r="EX18" i="2"/>
  <c r="EW18" i="2"/>
  <c r="EG18" i="2"/>
  <c r="EF18" i="2"/>
  <c r="DP18" i="2"/>
  <c r="DO18" i="2"/>
  <c r="CY18" i="2"/>
  <c r="CX18" i="2"/>
  <c r="CH18" i="2"/>
  <c r="CG18" i="2"/>
  <c r="BQ18" i="2"/>
  <c r="BP18" i="2"/>
  <c r="AZ18" i="2"/>
  <c r="AY18" i="2"/>
  <c r="AI18" i="2"/>
  <c r="AH18" i="2"/>
  <c r="R18" i="2"/>
  <c r="Q18" i="2"/>
  <c r="HN17" i="2"/>
  <c r="HC17" i="2"/>
  <c r="GW17" i="2"/>
  <c r="GV17" i="2"/>
  <c r="GF17" i="2"/>
  <c r="GE17" i="2"/>
  <c r="FO17" i="2"/>
  <c r="FN17" i="2"/>
  <c r="EX17" i="2"/>
  <c r="EW17" i="2"/>
  <c r="EG17" i="2"/>
  <c r="EF17" i="2"/>
  <c r="DP17" i="2"/>
  <c r="DO17" i="2"/>
  <c r="CY17" i="2"/>
  <c r="CX17" i="2"/>
  <c r="CH17" i="2"/>
  <c r="CG17" i="2"/>
  <c r="BQ17" i="2"/>
  <c r="BP17" i="2"/>
  <c r="AZ17" i="2"/>
  <c r="AY17" i="2"/>
  <c r="AI17" i="2"/>
  <c r="AH17" i="2"/>
  <c r="R17" i="2"/>
  <c r="Q17" i="2"/>
  <c r="HN16" i="2"/>
  <c r="HC16" i="2"/>
  <c r="GW16" i="2"/>
  <c r="GV16" i="2"/>
  <c r="GF16" i="2"/>
  <c r="GE16" i="2"/>
  <c r="FO16" i="2"/>
  <c r="FN16" i="2"/>
  <c r="EX16" i="2"/>
  <c r="EW16" i="2"/>
  <c r="EG16" i="2"/>
  <c r="EF16" i="2"/>
  <c r="DP16" i="2"/>
  <c r="DO16" i="2"/>
  <c r="CY16" i="2"/>
  <c r="CX16" i="2"/>
  <c r="CH16" i="2"/>
  <c r="CG16" i="2"/>
  <c r="BQ16" i="2"/>
  <c r="BP16" i="2"/>
  <c r="AZ16" i="2"/>
  <c r="AY16" i="2"/>
  <c r="AI16" i="2"/>
  <c r="AH16" i="2"/>
  <c r="R16" i="2"/>
  <c r="Q16" i="2"/>
  <c r="HN15" i="2"/>
  <c r="HC15" i="2"/>
  <c r="GW15" i="2"/>
  <c r="GV15" i="2"/>
  <c r="GF15" i="2"/>
  <c r="GE15" i="2"/>
  <c r="FO15" i="2"/>
  <c r="FN15" i="2"/>
  <c r="EX15" i="2"/>
  <c r="EW15" i="2"/>
  <c r="EG15" i="2"/>
  <c r="EF15" i="2"/>
  <c r="DP15" i="2"/>
  <c r="DO15" i="2"/>
  <c r="CY15" i="2"/>
  <c r="CX15" i="2"/>
  <c r="CH15" i="2"/>
  <c r="CG15" i="2"/>
  <c r="BQ15" i="2"/>
  <c r="BP15" i="2"/>
  <c r="AZ15" i="2"/>
  <c r="AY15" i="2"/>
  <c r="AI15" i="2"/>
  <c r="AH15" i="2"/>
  <c r="R15" i="2"/>
  <c r="Q15" i="2"/>
  <c r="HN14" i="2"/>
  <c r="HC14" i="2"/>
  <c r="GW14" i="2"/>
  <c r="GV14" i="2"/>
  <c r="GF14" i="2"/>
  <c r="GE14" i="2"/>
  <c r="FO14" i="2"/>
  <c r="FN14" i="2"/>
  <c r="EX14" i="2"/>
  <c r="EW14" i="2"/>
  <c r="EG14" i="2"/>
  <c r="EF14" i="2"/>
  <c r="DP14" i="2"/>
  <c r="DO14" i="2"/>
  <c r="CY14" i="2"/>
  <c r="CX14" i="2"/>
  <c r="CH14" i="2"/>
  <c r="CG14" i="2"/>
  <c r="BQ14" i="2"/>
  <c r="BP14" i="2"/>
  <c r="AZ14" i="2"/>
  <c r="AY14" i="2"/>
  <c r="AI14" i="2"/>
  <c r="AH14" i="2"/>
  <c r="R14" i="2"/>
  <c r="Q14" i="2"/>
  <c r="HN13" i="2"/>
  <c r="HC13" i="2"/>
  <c r="GW13" i="2"/>
  <c r="GV13" i="2"/>
  <c r="GF13" i="2"/>
  <c r="GE13" i="2"/>
  <c r="FO13" i="2"/>
  <c r="FN13" i="2"/>
  <c r="EX13" i="2"/>
  <c r="EW13" i="2"/>
  <c r="EG13" i="2"/>
  <c r="EF13" i="2"/>
  <c r="DP13" i="2"/>
  <c r="DO13" i="2"/>
  <c r="CY13" i="2"/>
  <c r="CX13" i="2"/>
  <c r="CH13" i="2"/>
  <c r="CG13" i="2"/>
  <c r="BQ13" i="2"/>
  <c r="BP13" i="2"/>
  <c r="AZ13" i="2"/>
  <c r="AY13" i="2"/>
  <c r="AI13" i="2"/>
  <c r="AH13" i="2"/>
  <c r="R13" i="2"/>
  <c r="Q13" i="2"/>
  <c r="HN12" i="2"/>
  <c r="HC12" i="2"/>
  <c r="GW12" i="2"/>
  <c r="GV12" i="2"/>
  <c r="GF12" i="2"/>
  <c r="GE12" i="2"/>
  <c r="FO12" i="2"/>
  <c r="FN12" i="2"/>
  <c r="EX12" i="2"/>
  <c r="EW12" i="2"/>
  <c r="EG12" i="2"/>
  <c r="EF12" i="2"/>
  <c r="DP12" i="2"/>
  <c r="DO12" i="2"/>
  <c r="CY12" i="2"/>
  <c r="CX12" i="2"/>
  <c r="CH12" i="2"/>
  <c r="CG12" i="2"/>
  <c r="BQ12" i="2"/>
  <c r="BP12" i="2"/>
  <c r="AZ12" i="2"/>
  <c r="AY12" i="2"/>
  <c r="AI12" i="2"/>
  <c r="AH12" i="2"/>
  <c r="R12" i="2"/>
  <c r="Q12" i="2"/>
  <c r="HN11" i="2"/>
  <c r="HC11" i="2"/>
  <c r="GW11" i="2"/>
  <c r="GV11" i="2"/>
  <c r="GF11" i="2"/>
  <c r="M68" i="3" s="1"/>
  <c r="I55" i="18" s="1"/>
  <c r="GE11" i="2"/>
  <c r="M65" i="3" s="1"/>
  <c r="I54" i="18" s="1"/>
  <c r="FO11" i="2"/>
  <c r="L68" i="3" s="1"/>
  <c r="I55" i="17" s="1"/>
  <c r="FN11" i="2"/>
  <c r="L65" i="3" s="1"/>
  <c r="I54" i="17" s="1"/>
  <c r="EX11" i="2"/>
  <c r="K68" i="3" s="1"/>
  <c r="I55" i="16" s="1"/>
  <c r="EW11" i="2"/>
  <c r="EG11" i="2"/>
  <c r="J68" i="3" s="1"/>
  <c r="I55" i="15" s="1"/>
  <c r="EF11" i="2"/>
  <c r="J65" i="3" s="1"/>
  <c r="I54" i="15" s="1"/>
  <c r="DP11" i="2"/>
  <c r="I68" i="3" s="1"/>
  <c r="DO11" i="2"/>
  <c r="I65" i="3" s="1"/>
  <c r="CY11" i="2"/>
  <c r="H68" i="3" s="1"/>
  <c r="CX11" i="2"/>
  <c r="H65" i="3" s="1"/>
  <c r="CH11" i="2"/>
  <c r="G68" i="3" s="1"/>
  <c r="CG11" i="2"/>
  <c r="G65" i="3" s="1"/>
  <c r="BQ11" i="2"/>
  <c r="BP11" i="2"/>
  <c r="F65" i="3" s="1"/>
  <c r="AZ11" i="2"/>
  <c r="E68" i="3" s="1"/>
  <c r="AY11" i="2"/>
  <c r="AI11" i="2"/>
  <c r="D68" i="3" s="1"/>
  <c r="AH11" i="2"/>
  <c r="D65" i="3" s="1"/>
  <c r="R11" i="2"/>
  <c r="Q11" i="2"/>
  <c r="C65" i="3" s="1"/>
  <c r="HN10" i="2"/>
  <c r="HC10" i="2"/>
  <c r="GW10" i="2"/>
  <c r="GV10" i="2"/>
  <c r="GF10" i="2"/>
  <c r="GE10" i="2"/>
  <c r="FO10" i="2"/>
  <c r="FN10" i="2"/>
  <c r="EX10" i="2"/>
  <c r="EW10" i="2"/>
  <c r="EG10" i="2"/>
  <c r="EF10" i="2"/>
  <c r="DP10" i="2"/>
  <c r="DO10" i="2"/>
  <c r="CY10" i="2"/>
  <c r="CY22" i="2" s="1"/>
  <c r="CX10" i="2"/>
  <c r="CH10" i="2"/>
  <c r="CH22" i="2" s="1"/>
  <c r="CG10" i="2"/>
  <c r="CG22" i="2" s="1"/>
  <c r="BQ10" i="2"/>
  <c r="BQ22" i="2" s="1"/>
  <c r="BP10" i="2"/>
  <c r="AZ10" i="2"/>
  <c r="AZ22" i="2" s="1"/>
  <c r="AY10" i="2"/>
  <c r="AI10" i="2"/>
  <c r="AH10" i="2"/>
  <c r="R10" i="2"/>
  <c r="Q10" i="2"/>
  <c r="EM5" i="2"/>
  <c r="AO5" i="2"/>
  <c r="X5" i="2"/>
  <c r="F4" i="2"/>
  <c r="G4" i="2" s="1"/>
  <c r="H4" i="2" s="1"/>
  <c r="I4" i="2" s="1"/>
  <c r="J4" i="2" s="1"/>
  <c r="K4" i="2" s="1"/>
  <c r="L4" i="2" s="1"/>
  <c r="M4" i="2" s="1"/>
  <c r="N4" i="2" s="1"/>
  <c r="O4" i="2" s="1"/>
  <c r="P4" i="2" s="1"/>
  <c r="Q4" i="2" s="1"/>
  <c r="R4" i="2" s="1"/>
  <c r="S4" i="2" s="1"/>
  <c r="T4" i="2" s="1"/>
  <c r="U4" i="2" s="1"/>
  <c r="V4" i="2" s="1"/>
  <c r="W4" i="2" s="1"/>
  <c r="X4" i="2" s="1"/>
  <c r="Y4" i="2" s="1"/>
  <c r="Z4" i="2" s="1"/>
  <c r="AA4" i="2" s="1"/>
  <c r="AB4" i="2" s="1"/>
  <c r="AC4" i="2" s="1"/>
  <c r="AD4" i="2" s="1"/>
  <c r="AE4" i="2" s="1"/>
  <c r="AF4" i="2" s="1"/>
  <c r="AG4" i="2" s="1"/>
  <c r="AH4" i="2" s="1"/>
  <c r="AI4" i="2" s="1"/>
  <c r="AJ4" i="2" s="1"/>
  <c r="AK4" i="2" s="1"/>
  <c r="AL4" i="2" s="1"/>
  <c r="AM4" i="2" s="1"/>
  <c r="AN4" i="2" s="1"/>
  <c r="AO4" i="2" s="1"/>
  <c r="AP4" i="2" s="1"/>
  <c r="AQ4" i="2" s="1"/>
  <c r="AR4" i="2" s="1"/>
  <c r="AS4" i="2" s="1"/>
  <c r="AT4" i="2" s="1"/>
  <c r="AU4" i="2" s="1"/>
  <c r="AV4" i="2" s="1"/>
  <c r="AW4" i="2" s="1"/>
  <c r="AX4" i="2" s="1"/>
  <c r="AY4" i="2" s="1"/>
  <c r="AZ4" i="2" s="1"/>
  <c r="BA4" i="2" s="1"/>
  <c r="BB4" i="2" s="1"/>
  <c r="BC4" i="2" s="1"/>
  <c r="BD4" i="2" s="1"/>
  <c r="BE4" i="2" s="1"/>
  <c r="BF4" i="2" s="1"/>
  <c r="BG4" i="2" s="1"/>
  <c r="BH4" i="2" s="1"/>
  <c r="BI4" i="2" s="1"/>
  <c r="BJ4" i="2" s="1"/>
  <c r="BK4" i="2" s="1"/>
  <c r="BL4" i="2" s="1"/>
  <c r="BM4" i="2" s="1"/>
  <c r="BN4" i="2" s="1"/>
  <c r="BO4" i="2" s="1"/>
  <c r="BP4" i="2" s="1"/>
  <c r="BQ4" i="2" s="1"/>
  <c r="BR4" i="2" s="1"/>
  <c r="BS4" i="2" s="1"/>
  <c r="BT4" i="2" s="1"/>
  <c r="BU4" i="2" s="1"/>
  <c r="BV4" i="2" s="1"/>
  <c r="BW4" i="2" s="1"/>
  <c r="BX4" i="2" s="1"/>
  <c r="BY4" i="2" s="1"/>
  <c r="BZ4" i="2" s="1"/>
  <c r="CA4" i="2" s="1"/>
  <c r="CB4" i="2" s="1"/>
  <c r="CC4" i="2" s="1"/>
  <c r="CD4" i="2" s="1"/>
  <c r="CE4" i="2" s="1"/>
  <c r="CF4" i="2" s="1"/>
  <c r="CG4" i="2" s="1"/>
  <c r="CH4" i="2" s="1"/>
  <c r="CI4" i="2" s="1"/>
  <c r="CJ4" i="2" s="1"/>
  <c r="CK4" i="2" s="1"/>
  <c r="CL4" i="2" s="1"/>
  <c r="CM4" i="2" s="1"/>
  <c r="CN4" i="2" s="1"/>
  <c r="CO4" i="2" s="1"/>
  <c r="CP4" i="2" s="1"/>
  <c r="CQ4" i="2" s="1"/>
  <c r="CR4" i="2" s="1"/>
  <c r="CS4" i="2" s="1"/>
  <c r="CT4" i="2" s="1"/>
  <c r="CU4" i="2" s="1"/>
  <c r="CV4" i="2" s="1"/>
  <c r="CW4" i="2" s="1"/>
  <c r="CX4" i="2" s="1"/>
  <c r="CY4" i="2" s="1"/>
  <c r="CZ4" i="2" s="1"/>
  <c r="DA4" i="2" s="1"/>
  <c r="DB4" i="2" s="1"/>
  <c r="DC4" i="2" s="1"/>
  <c r="DD4" i="2" s="1"/>
  <c r="DE4" i="2" s="1"/>
  <c r="DF4" i="2" s="1"/>
  <c r="DG4" i="2" s="1"/>
  <c r="DH4" i="2" s="1"/>
  <c r="DI4" i="2" s="1"/>
  <c r="DJ4" i="2" s="1"/>
  <c r="DK4" i="2" s="1"/>
  <c r="DL4" i="2" s="1"/>
  <c r="DM4" i="2" s="1"/>
  <c r="DN4" i="2" s="1"/>
  <c r="DO4" i="2" s="1"/>
  <c r="DP4" i="2" s="1"/>
  <c r="DQ4" i="2" s="1"/>
  <c r="DR4" i="2" s="1"/>
  <c r="DS4" i="2" s="1"/>
  <c r="DT4" i="2" s="1"/>
  <c r="DU4" i="2" s="1"/>
  <c r="DV4" i="2" s="1"/>
  <c r="DW4" i="2" s="1"/>
  <c r="DX4" i="2" s="1"/>
  <c r="DY4" i="2" s="1"/>
  <c r="DZ4" i="2" s="1"/>
  <c r="EA4" i="2" s="1"/>
  <c r="EB4" i="2" s="1"/>
  <c r="EC4" i="2" s="1"/>
  <c r="ED4" i="2" s="1"/>
  <c r="EE4" i="2" s="1"/>
  <c r="EF4" i="2" s="1"/>
  <c r="EG4" i="2" s="1"/>
  <c r="EH4" i="2" s="1"/>
  <c r="EI4" i="2" s="1"/>
  <c r="EJ4" i="2" s="1"/>
  <c r="EK4" i="2" s="1"/>
  <c r="EL4" i="2" s="1"/>
  <c r="EM4" i="2" s="1"/>
  <c r="EN4" i="2" s="1"/>
  <c r="EO4" i="2" s="1"/>
  <c r="EP4" i="2" s="1"/>
  <c r="EQ4" i="2" s="1"/>
  <c r="ER4" i="2" s="1"/>
  <c r="ES4" i="2" s="1"/>
  <c r="ET4" i="2" s="1"/>
  <c r="EU4" i="2" s="1"/>
  <c r="EV4" i="2" s="1"/>
  <c r="EW4" i="2" s="1"/>
  <c r="EX4" i="2" s="1"/>
  <c r="EY4" i="2" s="1"/>
  <c r="EZ4" i="2" s="1"/>
  <c r="FA4" i="2" s="1"/>
  <c r="FB4" i="2" s="1"/>
  <c r="FC4" i="2" s="1"/>
  <c r="FD4" i="2" s="1"/>
  <c r="FE4" i="2" s="1"/>
  <c r="FF4" i="2" s="1"/>
  <c r="FG4" i="2" s="1"/>
  <c r="FH4" i="2" s="1"/>
  <c r="FI4" i="2" s="1"/>
  <c r="FJ4" i="2" s="1"/>
  <c r="FK4" i="2" s="1"/>
  <c r="FL4" i="2" s="1"/>
  <c r="FM4" i="2" s="1"/>
  <c r="FN4" i="2" s="1"/>
  <c r="FO4" i="2" s="1"/>
  <c r="FP4" i="2" s="1"/>
  <c r="FQ4" i="2" s="1"/>
  <c r="FR4" i="2" s="1"/>
  <c r="FS4" i="2" s="1"/>
  <c r="FT4" i="2" s="1"/>
  <c r="FU4" i="2" s="1"/>
  <c r="FV4" i="2" s="1"/>
  <c r="FW4" i="2" s="1"/>
  <c r="FX4" i="2" s="1"/>
  <c r="FY4" i="2" s="1"/>
  <c r="FZ4" i="2" s="1"/>
  <c r="GA4" i="2" s="1"/>
  <c r="GB4" i="2" s="1"/>
  <c r="GC4" i="2" s="1"/>
  <c r="GD4" i="2" s="1"/>
  <c r="GE4" i="2" s="1"/>
  <c r="GF4" i="2" s="1"/>
  <c r="GG4" i="2" s="1"/>
  <c r="GH4" i="2" s="1"/>
  <c r="GI4" i="2" s="1"/>
  <c r="GJ4" i="2" s="1"/>
  <c r="GK4" i="2" s="1"/>
  <c r="GL4" i="2" s="1"/>
  <c r="GM4" i="2" s="1"/>
  <c r="GN4" i="2" s="1"/>
  <c r="GO4" i="2" s="1"/>
  <c r="GP4" i="2" s="1"/>
  <c r="GQ4" i="2" s="1"/>
  <c r="GR4" i="2" s="1"/>
  <c r="GS4" i="2" s="1"/>
  <c r="GT4" i="2" s="1"/>
  <c r="GU4" i="2" s="1"/>
  <c r="GV4" i="2" s="1"/>
  <c r="GW4" i="2" s="1"/>
  <c r="GX4" i="2" s="1"/>
  <c r="GY4" i="2" s="1"/>
  <c r="GZ4" i="2" s="1"/>
  <c r="HA4" i="2" s="1"/>
  <c r="HB4" i="2" s="1"/>
  <c r="HC4" i="2" s="1"/>
  <c r="BG3" i="2"/>
  <c r="J3" i="2"/>
  <c r="K3" i="2" s="1"/>
  <c r="L3" i="2" s="1"/>
  <c r="M3" i="2" s="1"/>
  <c r="N3" i="2" s="1"/>
  <c r="O3" i="2" s="1"/>
  <c r="P3" i="2" s="1"/>
  <c r="Q3" i="2" s="1"/>
  <c r="R3" i="2" s="1"/>
  <c r="S3" i="2" s="1"/>
  <c r="T3" i="2" s="1"/>
  <c r="U3" i="2" s="1"/>
  <c r="V3" i="2" s="1"/>
  <c r="W3" i="2" s="1"/>
  <c r="I3" i="2"/>
  <c r="F1" i="2"/>
  <c r="G1" i="2" s="1"/>
  <c r="H1" i="2" s="1"/>
  <c r="I1" i="2" s="1"/>
  <c r="J1" i="2" s="1"/>
  <c r="K1" i="2" s="1"/>
  <c r="L1" i="2" s="1"/>
  <c r="M1" i="2" s="1"/>
  <c r="N1" i="2" s="1"/>
  <c r="O1" i="2" s="1"/>
  <c r="P1" i="2" s="1"/>
  <c r="Q1" i="2" s="1"/>
  <c r="R1" i="2" s="1"/>
  <c r="S1" i="2" s="1"/>
  <c r="T1" i="2" s="1"/>
  <c r="U1" i="2" s="1"/>
  <c r="V1" i="2" s="1"/>
  <c r="W1" i="2" s="1"/>
  <c r="X1" i="2" s="1"/>
  <c r="Y1" i="2" s="1"/>
  <c r="Z1" i="2" s="1"/>
  <c r="AA1" i="2" s="1"/>
  <c r="AB1" i="2" s="1"/>
  <c r="AC1" i="2" s="1"/>
  <c r="AD1" i="2" s="1"/>
  <c r="AE1" i="2" s="1"/>
  <c r="AF1" i="2" s="1"/>
  <c r="AG1" i="2" s="1"/>
  <c r="AH1" i="2" s="1"/>
  <c r="AI1" i="2" s="1"/>
  <c r="AJ1" i="2" s="1"/>
  <c r="AK1" i="2" s="1"/>
  <c r="AL1" i="2" s="1"/>
  <c r="AM1" i="2" s="1"/>
  <c r="AN1" i="2" s="1"/>
  <c r="AO1" i="2" s="1"/>
  <c r="AP1" i="2" s="1"/>
  <c r="AQ1" i="2" s="1"/>
  <c r="AR1" i="2" s="1"/>
  <c r="AS1" i="2" s="1"/>
  <c r="AT1" i="2" s="1"/>
  <c r="AU1" i="2" s="1"/>
  <c r="AV1" i="2" s="1"/>
  <c r="AW1" i="2" s="1"/>
  <c r="AX1" i="2" s="1"/>
  <c r="AY1" i="2" s="1"/>
  <c r="AZ1" i="2" s="1"/>
  <c r="BA1" i="2" s="1"/>
  <c r="BB1" i="2" s="1"/>
  <c r="BC1" i="2" s="1"/>
  <c r="BD1" i="2" s="1"/>
  <c r="BE1" i="2" s="1"/>
  <c r="BF1" i="2" s="1"/>
  <c r="BG1" i="2" s="1"/>
  <c r="BH1" i="2" s="1"/>
  <c r="BI1" i="2" s="1"/>
  <c r="BJ1" i="2" s="1"/>
  <c r="BK1" i="2" s="1"/>
  <c r="BL1" i="2" s="1"/>
  <c r="BM1" i="2" s="1"/>
  <c r="BN1" i="2" s="1"/>
  <c r="BO1" i="2" s="1"/>
  <c r="BP1" i="2" s="1"/>
  <c r="BQ1" i="2" s="1"/>
  <c r="BR1" i="2" s="1"/>
  <c r="BS1" i="2" s="1"/>
  <c r="BT1" i="2" s="1"/>
  <c r="BU1" i="2" s="1"/>
  <c r="BV1" i="2" s="1"/>
  <c r="BW1" i="2" s="1"/>
  <c r="BX1" i="2" s="1"/>
  <c r="BY1" i="2" s="1"/>
  <c r="BZ1" i="2" s="1"/>
  <c r="CA1" i="2" s="1"/>
  <c r="CB1" i="2" s="1"/>
  <c r="CC1" i="2" s="1"/>
  <c r="CD1" i="2" s="1"/>
  <c r="CE1" i="2" s="1"/>
  <c r="CF1" i="2" s="1"/>
  <c r="CG1" i="2" s="1"/>
  <c r="CH1" i="2" s="1"/>
  <c r="CI1" i="2" s="1"/>
  <c r="CJ1" i="2" s="1"/>
  <c r="CK1" i="2" s="1"/>
  <c r="CL1" i="2" s="1"/>
  <c r="CM1" i="2" s="1"/>
  <c r="CN1" i="2" s="1"/>
  <c r="CO1" i="2" s="1"/>
  <c r="CP1" i="2" s="1"/>
  <c r="CQ1" i="2" s="1"/>
  <c r="CR1" i="2" s="1"/>
  <c r="CS1" i="2" s="1"/>
  <c r="CT1" i="2" s="1"/>
  <c r="CU1" i="2" s="1"/>
  <c r="CV1" i="2" s="1"/>
  <c r="CW1" i="2" s="1"/>
  <c r="CX1" i="2" s="1"/>
  <c r="CY1" i="2" s="1"/>
  <c r="CZ1" i="2" s="1"/>
  <c r="DA1" i="2" s="1"/>
  <c r="DB1" i="2" s="1"/>
  <c r="DC1" i="2" s="1"/>
  <c r="DD1" i="2" s="1"/>
  <c r="DE1" i="2" s="1"/>
  <c r="DF1" i="2" s="1"/>
  <c r="DG1" i="2" s="1"/>
  <c r="DH1" i="2" s="1"/>
  <c r="DI1" i="2" s="1"/>
  <c r="DJ1" i="2" s="1"/>
  <c r="DK1" i="2" s="1"/>
  <c r="DL1" i="2" s="1"/>
  <c r="DM1" i="2" s="1"/>
  <c r="DN1" i="2" s="1"/>
  <c r="DO1" i="2" s="1"/>
  <c r="DP1" i="2" s="1"/>
  <c r="DQ1" i="2" s="1"/>
  <c r="DR1" i="2" s="1"/>
  <c r="DS1" i="2" s="1"/>
  <c r="DT1" i="2" s="1"/>
  <c r="DU1" i="2" s="1"/>
  <c r="DV1" i="2" s="1"/>
  <c r="DW1" i="2" s="1"/>
  <c r="DX1" i="2" s="1"/>
  <c r="DY1" i="2" s="1"/>
  <c r="DZ1" i="2" s="1"/>
  <c r="EA1" i="2" s="1"/>
  <c r="EB1" i="2" s="1"/>
  <c r="EC1" i="2" s="1"/>
  <c r="ED1" i="2" s="1"/>
  <c r="EE1" i="2" s="1"/>
  <c r="EF1" i="2" s="1"/>
  <c r="EG1" i="2" s="1"/>
  <c r="EH1" i="2" s="1"/>
  <c r="EI1" i="2" s="1"/>
  <c r="EJ1" i="2" s="1"/>
  <c r="EK1" i="2" s="1"/>
  <c r="EL1" i="2" s="1"/>
  <c r="EM1" i="2" s="1"/>
  <c r="EN1" i="2" s="1"/>
  <c r="EO1" i="2" s="1"/>
  <c r="EP1" i="2" s="1"/>
  <c r="EQ1" i="2" s="1"/>
  <c r="ER1" i="2" s="1"/>
  <c r="ES1" i="2" s="1"/>
  <c r="ET1" i="2" s="1"/>
  <c r="EU1" i="2" s="1"/>
  <c r="EV1" i="2" s="1"/>
  <c r="EW1" i="2" s="1"/>
  <c r="EX1" i="2" s="1"/>
  <c r="EY1" i="2" s="1"/>
  <c r="EZ1" i="2" s="1"/>
  <c r="FA1" i="2" s="1"/>
  <c r="FB1" i="2" s="1"/>
  <c r="FC1" i="2" s="1"/>
  <c r="FD1" i="2" s="1"/>
  <c r="FE1" i="2" s="1"/>
  <c r="FF1" i="2" s="1"/>
  <c r="FG1" i="2" s="1"/>
  <c r="FH1" i="2" s="1"/>
  <c r="FI1" i="2" s="1"/>
  <c r="FJ1" i="2" s="1"/>
  <c r="FK1" i="2" s="1"/>
  <c r="FL1" i="2" s="1"/>
  <c r="FM1" i="2" s="1"/>
  <c r="FN1" i="2" s="1"/>
  <c r="FO1" i="2" s="1"/>
  <c r="FP1" i="2" s="1"/>
  <c r="FQ1" i="2" s="1"/>
  <c r="FR1" i="2" s="1"/>
  <c r="FS1" i="2" s="1"/>
  <c r="FT1" i="2" s="1"/>
  <c r="FU1" i="2" s="1"/>
  <c r="FV1" i="2" s="1"/>
  <c r="FW1" i="2" s="1"/>
  <c r="FX1" i="2" s="1"/>
  <c r="FY1" i="2" s="1"/>
  <c r="FZ1" i="2" s="1"/>
  <c r="GA1" i="2" s="1"/>
  <c r="GB1" i="2" s="1"/>
  <c r="GC1" i="2" s="1"/>
  <c r="GD1" i="2" s="1"/>
  <c r="GE1" i="2" s="1"/>
  <c r="GF1" i="2" s="1"/>
  <c r="GG1" i="2" s="1"/>
  <c r="GH1" i="2" s="1"/>
  <c r="GI1" i="2" s="1"/>
  <c r="GJ1" i="2" s="1"/>
  <c r="GK1" i="2" s="1"/>
  <c r="GL1" i="2" s="1"/>
  <c r="GM1" i="2" s="1"/>
  <c r="GN1" i="2" s="1"/>
  <c r="GO1" i="2" s="1"/>
  <c r="GP1" i="2" s="1"/>
  <c r="GQ1" i="2" s="1"/>
  <c r="GR1" i="2" s="1"/>
  <c r="GS1" i="2" s="1"/>
  <c r="GT1" i="2" s="1"/>
  <c r="GU1" i="2" s="1"/>
  <c r="GV1" i="2" s="1"/>
  <c r="GW1" i="2" s="1"/>
  <c r="GX1" i="2" s="1"/>
  <c r="GY1" i="2" s="1"/>
  <c r="GZ1" i="2" s="1"/>
  <c r="HA1" i="2" s="1"/>
  <c r="HB1" i="2" s="1"/>
  <c r="HC1" i="2" s="1"/>
  <c r="O31" i="1"/>
  <c r="D4" i="1"/>
  <c r="E4" i="1" s="1"/>
  <c r="F4" i="1" s="1"/>
  <c r="G4" i="1" s="1"/>
  <c r="H4" i="1" s="1"/>
  <c r="I4" i="1" s="1"/>
  <c r="J4" i="1" s="1"/>
  <c r="K4" i="1" s="1"/>
  <c r="L4" i="1" s="1"/>
  <c r="M4" i="1" s="1"/>
  <c r="N4" i="1" s="1"/>
  <c r="O4" i="1" s="1"/>
  <c r="P4" i="1" s="1"/>
  <c r="Q4" i="1" s="1"/>
  <c r="D31" i="2"/>
  <c r="D37" i="2"/>
  <c r="D38" i="2"/>
  <c r="D36" i="2"/>
  <c r="D39" i="2"/>
  <c r="D27" i="2"/>
  <c r="D33" i="2"/>
  <c r="D43" i="2"/>
  <c r="D30" i="2"/>
  <c r="D41" i="2"/>
  <c r="D44" i="2"/>
  <c r="D34" i="2"/>
  <c r="C44" i="2"/>
  <c r="D28" i="2"/>
  <c r="D32" i="2"/>
  <c r="D29" i="2"/>
  <c r="D42" i="2"/>
  <c r="D35" i="2"/>
  <c r="D40" i="2"/>
  <c r="E65" i="3" l="1"/>
  <c r="C68" i="3"/>
  <c r="I98" i="7"/>
  <c r="C61" i="3"/>
  <c r="I100" i="7" s="1"/>
  <c r="E15" i="4"/>
  <c r="K15" i="4" s="1"/>
  <c r="E20" i="4"/>
  <c r="K20" i="4" s="1"/>
  <c r="D63" i="3"/>
  <c r="E14" i="4"/>
  <c r="K14" i="4" s="1"/>
  <c r="E21" i="4"/>
  <c r="K21" i="4" s="1"/>
  <c r="I93" i="7"/>
  <c r="C76" i="3"/>
  <c r="J104" i="7" s="1"/>
  <c r="C32" i="2"/>
  <c r="C30" i="2"/>
  <c r="C27" i="2"/>
  <c r="C29" i="2"/>
  <c r="C31" i="2"/>
  <c r="C28" i="2"/>
  <c r="H29" i="18"/>
  <c r="H47" i="18"/>
  <c r="D24" i="4"/>
  <c r="M63" i="3"/>
  <c r="H47" i="12"/>
  <c r="H29" i="12"/>
  <c r="D18" i="4"/>
  <c r="G63" i="3"/>
  <c r="G60" i="3"/>
  <c r="I98" i="12" s="1"/>
  <c r="I32" i="7"/>
  <c r="J47" i="7"/>
  <c r="C39" i="3"/>
  <c r="I48" i="7" s="1"/>
  <c r="G50" i="7"/>
  <c r="D44" i="3"/>
  <c r="I49" i="8" s="1"/>
  <c r="C44" i="3"/>
  <c r="I49" i="7" s="1"/>
  <c r="C41" i="3"/>
  <c r="I50" i="7" s="1"/>
  <c r="J50" i="7" s="1"/>
  <c r="H47" i="13"/>
  <c r="H29" i="13"/>
  <c r="D19" i="4"/>
  <c r="H63" i="3"/>
  <c r="H60" i="3"/>
  <c r="H47" i="19"/>
  <c r="H29" i="19"/>
  <c r="I29" i="19" s="1"/>
  <c r="D25" i="4"/>
  <c r="N63" i="3"/>
  <c r="DV5" i="2"/>
  <c r="DE5" i="2"/>
  <c r="GL5" i="2"/>
  <c r="CN5" i="2"/>
  <c r="FU5" i="2"/>
  <c r="BW5" i="2"/>
  <c r="FD5" i="2"/>
  <c r="BF5" i="2"/>
  <c r="AY22" i="2"/>
  <c r="CX22" i="2"/>
  <c r="I41" i="3"/>
  <c r="I50" i="14" s="1"/>
  <c r="H47" i="14"/>
  <c r="H29" i="14"/>
  <c r="D20" i="4"/>
  <c r="I99" i="14"/>
  <c r="J62" i="3"/>
  <c r="C79" i="3"/>
  <c r="J101" i="7" s="1"/>
  <c r="I17" i="11"/>
  <c r="E17" i="4"/>
  <c r="K17" i="4" s="1"/>
  <c r="I17" i="17"/>
  <c r="E23" i="4"/>
  <c r="I41" i="8"/>
  <c r="E42" i="3"/>
  <c r="H47" i="15"/>
  <c r="H29" i="15"/>
  <c r="I29" i="15" s="1"/>
  <c r="D21" i="4"/>
  <c r="J63" i="3"/>
  <c r="J60" i="3"/>
  <c r="BP22" i="2"/>
  <c r="HC22" i="2"/>
  <c r="HN22" i="2"/>
  <c r="C7" i="9"/>
  <c r="C21" i="9" s="1"/>
  <c r="C35" i="9" s="1"/>
  <c r="C49" i="9" s="1"/>
  <c r="C63" i="9" s="1"/>
  <c r="C77" i="9" s="1"/>
  <c r="C91" i="9" s="1"/>
  <c r="C105" i="9" s="1"/>
  <c r="C119" i="9" s="1"/>
  <c r="C133" i="9" s="1"/>
  <c r="C147" i="9" s="1"/>
  <c r="C161" i="9" s="1"/>
  <c r="C14" i="4"/>
  <c r="I27" i="7"/>
  <c r="B3" i="7"/>
  <c r="C49" i="3"/>
  <c r="C56" i="3" s="1"/>
  <c r="C84" i="3" s="1"/>
  <c r="C91" i="3" s="1"/>
  <c r="I27" i="14"/>
  <c r="B3" i="14"/>
  <c r="C13" i="9"/>
  <c r="C27" i="9" s="1"/>
  <c r="C41" i="9" s="1"/>
  <c r="C55" i="9" s="1"/>
  <c r="C69" i="9" s="1"/>
  <c r="C83" i="9" s="1"/>
  <c r="C97" i="9" s="1"/>
  <c r="C111" i="9" s="1"/>
  <c r="C125" i="9" s="1"/>
  <c r="C139" i="9" s="1"/>
  <c r="C153" i="9" s="1"/>
  <c r="C167" i="9" s="1"/>
  <c r="C20" i="4"/>
  <c r="I49" i="3"/>
  <c r="I56" i="3" s="1"/>
  <c r="I84" i="3" s="1"/>
  <c r="I91" i="3" s="1"/>
  <c r="I10" i="7"/>
  <c r="E78" i="3"/>
  <c r="J103" i="10" s="1"/>
  <c r="D78" i="3"/>
  <c r="J103" i="8" s="1"/>
  <c r="C78" i="3"/>
  <c r="J103" i="7" s="1"/>
  <c r="C75" i="3"/>
  <c r="I96" i="7" s="1"/>
  <c r="C77" i="3"/>
  <c r="J102" i="7" s="1"/>
  <c r="I10" i="14"/>
  <c r="I64" i="3"/>
  <c r="I98" i="14" s="1"/>
  <c r="I75" i="3"/>
  <c r="I96" i="14" s="1"/>
  <c r="I77" i="3"/>
  <c r="I79" i="3"/>
  <c r="J101" i="14" s="1"/>
  <c r="I76" i="3"/>
  <c r="J104" i="14" s="1"/>
  <c r="C36" i="3"/>
  <c r="I31" i="7" s="1"/>
  <c r="H47" i="10"/>
  <c r="H29" i="10"/>
  <c r="I29" i="10" s="1"/>
  <c r="D16" i="4"/>
  <c r="E63" i="3"/>
  <c r="E60" i="3"/>
  <c r="I98" i="10" s="1"/>
  <c r="H47" i="16"/>
  <c r="H29" i="16"/>
  <c r="I29" i="16" s="1"/>
  <c r="D22" i="4"/>
  <c r="K63" i="3"/>
  <c r="K60" i="3"/>
  <c r="I63" i="3"/>
  <c r="I94" i="8"/>
  <c r="E73" i="3"/>
  <c r="I36" i="3"/>
  <c r="I31" i="14" s="1"/>
  <c r="H47" i="11"/>
  <c r="H29" i="11"/>
  <c r="D17" i="4"/>
  <c r="F63" i="3"/>
  <c r="F60" i="3"/>
  <c r="H47" i="17"/>
  <c r="H29" i="17"/>
  <c r="I29" i="17" s="1"/>
  <c r="D23" i="4"/>
  <c r="N61" i="3"/>
  <c r="I100" i="19" s="1"/>
  <c r="N60" i="3"/>
  <c r="M61" i="3"/>
  <c r="I100" i="18" s="1"/>
  <c r="M60" i="3"/>
  <c r="L63" i="3"/>
  <c r="L60" i="3"/>
  <c r="I60" i="3"/>
  <c r="C8" i="9"/>
  <c r="C22" i="9" s="1"/>
  <c r="C36" i="9" s="1"/>
  <c r="C50" i="9" s="1"/>
  <c r="C64" i="9" s="1"/>
  <c r="C78" i="9" s="1"/>
  <c r="C92" i="9" s="1"/>
  <c r="C106" i="9" s="1"/>
  <c r="C120" i="9" s="1"/>
  <c r="C134" i="9" s="1"/>
  <c r="C148" i="9" s="1"/>
  <c r="C162" i="9" s="1"/>
  <c r="C15" i="4"/>
  <c r="I27" i="8"/>
  <c r="B3" i="8"/>
  <c r="I27" i="15"/>
  <c r="B3" i="15"/>
  <c r="C14" i="9"/>
  <c r="C28" i="9" s="1"/>
  <c r="C42" i="9" s="1"/>
  <c r="C56" i="9" s="1"/>
  <c r="C70" i="9" s="1"/>
  <c r="C84" i="9" s="1"/>
  <c r="C98" i="9" s="1"/>
  <c r="C112" i="9" s="1"/>
  <c r="C126" i="9" s="1"/>
  <c r="C140" i="9" s="1"/>
  <c r="C154" i="9" s="1"/>
  <c r="C168" i="9" s="1"/>
  <c r="C21" i="4"/>
  <c r="F78" i="3"/>
  <c r="I10" i="8"/>
  <c r="D79" i="3"/>
  <c r="J101" i="8" s="1"/>
  <c r="D77" i="3"/>
  <c r="J102" i="8" s="1"/>
  <c r="D76" i="3"/>
  <c r="J104" i="8" s="1"/>
  <c r="I10" i="15"/>
  <c r="J78" i="3"/>
  <c r="J103" i="15" s="1"/>
  <c r="J77" i="3"/>
  <c r="J102" i="15" s="1"/>
  <c r="J76" i="3"/>
  <c r="J104" i="15" s="1"/>
  <c r="J75" i="3"/>
  <c r="I96" i="15" s="1"/>
  <c r="D36" i="3"/>
  <c r="I31" i="8" s="1"/>
  <c r="J36" i="3"/>
  <c r="I31" i="15" s="1"/>
  <c r="D39" i="3"/>
  <c r="I48" i="8" s="1"/>
  <c r="J48" i="8" s="1"/>
  <c r="D41" i="3"/>
  <c r="I50" i="8" s="1"/>
  <c r="J50" i="8" s="1"/>
  <c r="J41" i="3"/>
  <c r="I50" i="15" s="1"/>
  <c r="D60" i="3"/>
  <c r="D61" i="3"/>
  <c r="I100" i="8" s="1"/>
  <c r="J61" i="3"/>
  <c r="I100" i="15" s="1"/>
  <c r="D64" i="3"/>
  <c r="D14" i="4"/>
  <c r="C19" i="4"/>
  <c r="J192" i="8"/>
  <c r="G225" i="8"/>
  <c r="H103" i="9"/>
  <c r="I27" i="10"/>
  <c r="B3" i="10"/>
  <c r="C9" i="9"/>
  <c r="C23" i="9" s="1"/>
  <c r="C37" i="9" s="1"/>
  <c r="C51" i="9" s="1"/>
  <c r="C65" i="9" s="1"/>
  <c r="C79" i="9" s="1"/>
  <c r="C93" i="9" s="1"/>
  <c r="C107" i="9" s="1"/>
  <c r="C121" i="9" s="1"/>
  <c r="C135" i="9" s="1"/>
  <c r="C149" i="9" s="1"/>
  <c r="C163" i="9" s="1"/>
  <c r="C16" i="4"/>
  <c r="I27" i="16"/>
  <c r="B3" i="16"/>
  <c r="C15" i="9"/>
  <c r="C29" i="9" s="1"/>
  <c r="C43" i="9" s="1"/>
  <c r="C57" i="9" s="1"/>
  <c r="C71" i="9" s="1"/>
  <c r="C85" i="9" s="1"/>
  <c r="C99" i="9" s="1"/>
  <c r="C113" i="9" s="1"/>
  <c r="C127" i="9" s="1"/>
  <c r="C141" i="9" s="1"/>
  <c r="C155" i="9" s="1"/>
  <c r="C169" i="9" s="1"/>
  <c r="C22" i="4"/>
  <c r="I10" i="10"/>
  <c r="H78" i="3"/>
  <c r="G78" i="3"/>
  <c r="F75" i="3"/>
  <c r="I96" i="11" s="1"/>
  <c r="E79" i="3"/>
  <c r="E77" i="3"/>
  <c r="J102" i="10" s="1"/>
  <c r="E76" i="3"/>
  <c r="J104" i="10" s="1"/>
  <c r="E75" i="3"/>
  <c r="I96" i="10" s="1"/>
  <c r="I10" i="16"/>
  <c r="K78" i="3"/>
  <c r="J103" i="16" s="1"/>
  <c r="K77" i="3"/>
  <c r="J102" i="16" s="1"/>
  <c r="K76" i="3"/>
  <c r="J104" i="16" s="1"/>
  <c r="K75" i="3"/>
  <c r="I96" i="16" s="1"/>
  <c r="E36" i="3"/>
  <c r="I31" i="10" s="1"/>
  <c r="K36" i="3"/>
  <c r="I31" i="16" s="1"/>
  <c r="E39" i="3"/>
  <c r="I48" i="10" s="1"/>
  <c r="E41" i="3"/>
  <c r="I50" i="10" s="1"/>
  <c r="K41" i="3"/>
  <c r="I50" i="16" s="1"/>
  <c r="I133" i="8"/>
  <c r="E61" i="3"/>
  <c r="I100" i="10" s="1"/>
  <c r="K61" i="3"/>
  <c r="I100" i="16" s="1"/>
  <c r="E64" i="3"/>
  <c r="I93" i="8"/>
  <c r="E72" i="3"/>
  <c r="C25" i="4"/>
  <c r="I27" i="11"/>
  <c r="B3" i="11"/>
  <c r="C10" i="9"/>
  <c r="C24" i="9" s="1"/>
  <c r="C38" i="9" s="1"/>
  <c r="C52" i="9" s="1"/>
  <c r="C66" i="9" s="1"/>
  <c r="C80" i="9" s="1"/>
  <c r="C94" i="9" s="1"/>
  <c r="C108" i="9" s="1"/>
  <c r="C122" i="9" s="1"/>
  <c r="C136" i="9" s="1"/>
  <c r="C150" i="9" s="1"/>
  <c r="C164" i="9" s="1"/>
  <c r="C17" i="4"/>
  <c r="I27" i="17"/>
  <c r="B3" i="17"/>
  <c r="C16" i="9"/>
  <c r="C30" i="9" s="1"/>
  <c r="C44" i="9" s="1"/>
  <c r="C58" i="9" s="1"/>
  <c r="C72" i="9" s="1"/>
  <c r="C86" i="9" s="1"/>
  <c r="C100" i="9" s="1"/>
  <c r="C114" i="9" s="1"/>
  <c r="C128" i="9" s="1"/>
  <c r="C142" i="9" s="1"/>
  <c r="C156" i="9" s="1"/>
  <c r="C170" i="9" s="1"/>
  <c r="C23" i="4"/>
  <c r="I10" i="11"/>
  <c r="F79" i="3"/>
  <c r="J101" i="11" s="1"/>
  <c r="F76" i="3"/>
  <c r="J104" i="11" s="1"/>
  <c r="I10" i="17"/>
  <c r="N78" i="3"/>
  <c r="J103" i="19" s="1"/>
  <c r="N77" i="3"/>
  <c r="J102" i="19" s="1"/>
  <c r="N76" i="3"/>
  <c r="J104" i="19" s="1"/>
  <c r="N75" i="3"/>
  <c r="I96" i="19" s="1"/>
  <c r="M78" i="3"/>
  <c r="J103" i="18" s="1"/>
  <c r="M77" i="3"/>
  <c r="J102" i="18" s="1"/>
  <c r="M76" i="3"/>
  <c r="J104" i="18" s="1"/>
  <c r="M75" i="3"/>
  <c r="I96" i="18" s="1"/>
  <c r="L78" i="3"/>
  <c r="J103" i="17" s="1"/>
  <c r="L77" i="3"/>
  <c r="J102" i="17" s="1"/>
  <c r="L76" i="3"/>
  <c r="J104" i="17" s="1"/>
  <c r="L75" i="3"/>
  <c r="I96" i="17" s="1"/>
  <c r="F36" i="3"/>
  <c r="I31" i="11" s="1"/>
  <c r="L36" i="3"/>
  <c r="I31" i="17" s="1"/>
  <c r="F39" i="3"/>
  <c r="I48" i="11" s="1"/>
  <c r="F41" i="3"/>
  <c r="I50" i="11" s="1"/>
  <c r="L41" i="3"/>
  <c r="I50" i="17" s="1"/>
  <c r="H47" i="8"/>
  <c r="H29" i="8"/>
  <c r="I29" i="8" s="1"/>
  <c r="D15" i="4"/>
  <c r="I133" i="10"/>
  <c r="F61" i="3"/>
  <c r="I100" i="11" s="1"/>
  <c r="L61" i="3"/>
  <c r="I100" i="17" s="1"/>
  <c r="F64" i="3"/>
  <c r="H207" i="7"/>
  <c r="I27" i="12"/>
  <c r="B3" i="12"/>
  <c r="C11" i="9"/>
  <c r="C25" i="9" s="1"/>
  <c r="C39" i="9" s="1"/>
  <c r="C53" i="9" s="1"/>
  <c r="C67" i="9" s="1"/>
  <c r="C81" i="9" s="1"/>
  <c r="C95" i="9" s="1"/>
  <c r="C109" i="9" s="1"/>
  <c r="C123" i="9" s="1"/>
  <c r="C137" i="9" s="1"/>
  <c r="C151" i="9" s="1"/>
  <c r="C165" i="9" s="1"/>
  <c r="C18" i="4"/>
  <c r="I27" i="18"/>
  <c r="B3" i="18"/>
  <c r="C17" i="9"/>
  <c r="C31" i="9" s="1"/>
  <c r="C45" i="9" s="1"/>
  <c r="C59" i="9" s="1"/>
  <c r="C73" i="9" s="1"/>
  <c r="C87" i="9" s="1"/>
  <c r="C101" i="9" s="1"/>
  <c r="C115" i="9" s="1"/>
  <c r="C129" i="9" s="1"/>
  <c r="C143" i="9" s="1"/>
  <c r="C157" i="9" s="1"/>
  <c r="C171" i="9" s="1"/>
  <c r="C24" i="4"/>
  <c r="I10" i="12"/>
  <c r="G79" i="3"/>
  <c r="J101" i="12" s="1"/>
  <c r="G75" i="3"/>
  <c r="I96" i="12" s="1"/>
  <c r="G80" i="3"/>
  <c r="J105" i="12" s="1"/>
  <c r="G36" i="3"/>
  <c r="I31" i="12" s="1"/>
  <c r="M36" i="3"/>
  <c r="I31" i="18" s="1"/>
  <c r="I29" i="18"/>
  <c r="G39" i="3"/>
  <c r="I48" i="12" s="1"/>
  <c r="G41" i="3"/>
  <c r="I50" i="12" s="1"/>
  <c r="M41" i="3"/>
  <c r="I50" i="18" s="1"/>
  <c r="F57" i="3"/>
  <c r="G58" i="3"/>
  <c r="G61" i="3"/>
  <c r="I100" i="12" s="1"/>
  <c r="G64" i="3"/>
  <c r="D75" i="3"/>
  <c r="I96" i="8" s="1"/>
  <c r="I176" i="18"/>
  <c r="I179" i="18" s="1"/>
  <c r="I176" i="19"/>
  <c r="I179" i="19" s="1"/>
  <c r="I176" i="16"/>
  <c r="I179" i="16" s="1"/>
  <c r="I176" i="17"/>
  <c r="I179" i="17" s="1"/>
  <c r="I176" i="14"/>
  <c r="I179" i="14" s="1"/>
  <c r="I176" i="13"/>
  <c r="I179" i="13" s="1"/>
  <c r="I176" i="12"/>
  <c r="I179" i="12" s="1"/>
  <c r="I176" i="15"/>
  <c r="I179" i="15" s="1"/>
  <c r="I176" i="11"/>
  <c r="I179" i="11" s="1"/>
  <c r="I176" i="10"/>
  <c r="I179" i="10" s="1"/>
  <c r="I176" i="8"/>
  <c r="I179" i="8" s="1"/>
  <c r="I176" i="7"/>
  <c r="I179" i="7" s="1"/>
  <c r="E87" i="3"/>
  <c r="F87" i="3" s="1"/>
  <c r="G87" i="3" s="1"/>
  <c r="H87" i="3" s="1"/>
  <c r="I87" i="3" s="1"/>
  <c r="J87" i="3" s="1"/>
  <c r="K87" i="3" s="1"/>
  <c r="L87" i="3" s="1"/>
  <c r="M87" i="3" s="1"/>
  <c r="N87" i="3" s="1"/>
  <c r="H47" i="7"/>
  <c r="I133" i="7"/>
  <c r="N65" i="3"/>
  <c r="I54" i="19" s="1"/>
  <c r="N68" i="3"/>
  <c r="I55" i="19" s="1"/>
  <c r="B13" i="18"/>
  <c r="B13" i="19"/>
  <c r="B2" i="17"/>
  <c r="B2" i="18"/>
  <c r="B2" i="19"/>
  <c r="B13" i="17"/>
  <c r="B2" i="16"/>
  <c r="B13" i="15"/>
  <c r="B13" i="14"/>
  <c r="B13" i="13"/>
  <c r="B13" i="16"/>
  <c r="B2" i="15"/>
  <c r="B2" i="12"/>
  <c r="B2" i="14"/>
  <c r="B2" i="13"/>
  <c r="B2" i="11"/>
  <c r="B2" i="10"/>
  <c r="B13" i="12"/>
  <c r="B13" i="11"/>
  <c r="B13" i="10"/>
  <c r="B2" i="8"/>
  <c r="B13" i="8"/>
  <c r="B13" i="7"/>
  <c r="C12" i="4"/>
  <c r="B2" i="7"/>
  <c r="B83" i="3"/>
  <c r="I27" i="13"/>
  <c r="B3" i="13"/>
  <c r="C12" i="9"/>
  <c r="C26" i="9" s="1"/>
  <c r="C40" i="9" s="1"/>
  <c r="C54" i="9" s="1"/>
  <c r="C68" i="9" s="1"/>
  <c r="C82" i="9" s="1"/>
  <c r="C96" i="9" s="1"/>
  <c r="C110" i="9" s="1"/>
  <c r="C124" i="9" s="1"/>
  <c r="C138" i="9" s="1"/>
  <c r="C152" i="9" s="1"/>
  <c r="C166" i="9" s="1"/>
  <c r="I27" i="19"/>
  <c r="B3" i="19"/>
  <c r="C18" i="9"/>
  <c r="C32" i="9" s="1"/>
  <c r="C46" i="9" s="1"/>
  <c r="C60" i="9" s="1"/>
  <c r="C74" i="9" s="1"/>
  <c r="C88" i="9" s="1"/>
  <c r="C102" i="9" s="1"/>
  <c r="C116" i="9" s="1"/>
  <c r="C130" i="9" s="1"/>
  <c r="C144" i="9" s="1"/>
  <c r="C158" i="9" s="1"/>
  <c r="C172" i="9" s="1"/>
  <c r="I10" i="13"/>
  <c r="H79" i="3"/>
  <c r="J101" i="13" s="1"/>
  <c r="H77" i="3"/>
  <c r="H76" i="3"/>
  <c r="J104" i="13" s="1"/>
  <c r="H75" i="3"/>
  <c r="I96" i="13" s="1"/>
  <c r="G76" i="3"/>
  <c r="J104" i="12" s="1"/>
  <c r="H36" i="3"/>
  <c r="I31" i="13" s="1"/>
  <c r="N36" i="3"/>
  <c r="I31" i="19" s="1"/>
  <c r="I29" i="13"/>
  <c r="H39" i="3"/>
  <c r="I48" i="13" s="1"/>
  <c r="H41" i="3"/>
  <c r="I50" i="13" s="1"/>
  <c r="N41" i="3"/>
  <c r="I50" i="19" s="1"/>
  <c r="D49" i="3"/>
  <c r="D56" i="3" s="1"/>
  <c r="D84" i="3" s="1"/>
  <c r="D91" i="3" s="1"/>
  <c r="J49" i="3"/>
  <c r="J56" i="3" s="1"/>
  <c r="J84" i="3" s="1"/>
  <c r="J91" i="3" s="1"/>
  <c r="H61" i="3"/>
  <c r="I100" i="13" s="1"/>
  <c r="H64" i="3"/>
  <c r="I98" i="13" s="1"/>
  <c r="I78" i="3"/>
  <c r="H203" i="12"/>
  <c r="H207" i="12" s="1"/>
  <c r="I20" i="12"/>
  <c r="I20" i="18"/>
  <c r="H203" i="18"/>
  <c r="H207" i="18" s="1"/>
  <c r="H203" i="13"/>
  <c r="H207" i="13" s="1"/>
  <c r="I20" i="13"/>
  <c r="H203" i="19"/>
  <c r="H207" i="19" s="1"/>
  <c r="I20" i="19"/>
  <c r="E19" i="4"/>
  <c r="K19" i="4" s="1"/>
  <c r="E25" i="4"/>
  <c r="H203" i="14"/>
  <c r="H207" i="14" s="1"/>
  <c r="I20" i="14"/>
  <c r="H213" i="15"/>
  <c r="E18" i="4"/>
  <c r="K18" i="4" s="1"/>
  <c r="E24" i="4"/>
  <c r="J154" i="7"/>
  <c r="J157" i="7" s="1"/>
  <c r="H89" i="9"/>
  <c r="H207" i="8"/>
  <c r="I20" i="8"/>
  <c r="H203" i="15"/>
  <c r="H207" i="15" s="1"/>
  <c r="I20" i="15"/>
  <c r="K94" i="3"/>
  <c r="B19" i="9"/>
  <c r="B8" i="9"/>
  <c r="B9" i="9" s="1"/>
  <c r="B10" i="9" s="1"/>
  <c r="B11" i="9" s="1"/>
  <c r="B12" i="9" s="1"/>
  <c r="B13" i="9" s="1"/>
  <c r="B14" i="9" s="1"/>
  <c r="B15" i="9" s="1"/>
  <c r="B16" i="9" s="1"/>
  <c r="B17" i="9" s="1"/>
  <c r="B18" i="9" s="1"/>
  <c r="H47" i="9"/>
  <c r="H175" i="9" s="1"/>
  <c r="H186" i="9" s="1"/>
  <c r="H131" i="9"/>
  <c r="H203" i="10"/>
  <c r="H207" i="10" s="1"/>
  <c r="I20" i="10"/>
  <c r="H203" i="16"/>
  <c r="H207" i="16" s="1"/>
  <c r="I20" i="16"/>
  <c r="E16" i="4"/>
  <c r="K16" i="4" s="1"/>
  <c r="E22" i="4"/>
  <c r="D175" i="9"/>
  <c r="H213" i="12"/>
  <c r="I201" i="10"/>
  <c r="I201" i="16"/>
  <c r="I98" i="11" l="1"/>
  <c r="J97" i="11" s="1"/>
  <c r="J97" i="7"/>
  <c r="I98" i="18"/>
  <c r="I98" i="19"/>
  <c r="J97" i="14"/>
  <c r="J97" i="13"/>
  <c r="I98" i="17"/>
  <c r="I98" i="15"/>
  <c r="J47" i="8"/>
  <c r="J92" i="8" s="1"/>
  <c r="I32" i="8"/>
  <c r="I38" i="8"/>
  <c r="J47" i="15"/>
  <c r="I38" i="15"/>
  <c r="I32" i="15"/>
  <c r="G225" i="7"/>
  <c r="J192" i="7"/>
  <c r="B203" i="16"/>
  <c r="B17" i="16"/>
  <c r="B17" i="8"/>
  <c r="B203" i="8"/>
  <c r="J97" i="10"/>
  <c r="B203" i="7"/>
  <c r="B17" i="7"/>
  <c r="I34" i="7"/>
  <c r="J60" i="7" s="1"/>
  <c r="J61" i="7" s="1"/>
  <c r="I39" i="7"/>
  <c r="J53" i="7" s="1"/>
  <c r="J50" i="18"/>
  <c r="B203" i="12"/>
  <c r="B17" i="12"/>
  <c r="I93" i="10"/>
  <c r="F72" i="3"/>
  <c r="I92" i="7"/>
  <c r="J48" i="7"/>
  <c r="J49" i="7"/>
  <c r="B17" i="13"/>
  <c r="B203" i="13"/>
  <c r="B203" i="18"/>
  <c r="B17" i="18"/>
  <c r="B203" i="17"/>
  <c r="B17" i="17"/>
  <c r="H225" i="8"/>
  <c r="I98" i="16"/>
  <c r="I41" i="18"/>
  <c r="I41" i="19"/>
  <c r="J50" i="19" s="1"/>
  <c r="I41" i="17"/>
  <c r="J50" i="17" s="1"/>
  <c r="I41" i="15"/>
  <c r="I41" i="14"/>
  <c r="I41" i="13"/>
  <c r="J50" i="13" s="1"/>
  <c r="I41" i="12"/>
  <c r="J50" i="12" s="1"/>
  <c r="I41" i="16"/>
  <c r="J50" i="16" s="1"/>
  <c r="I41" i="11"/>
  <c r="J50" i="11" s="1"/>
  <c r="I41" i="10"/>
  <c r="F42" i="3"/>
  <c r="G42" i="3" s="1"/>
  <c r="H42" i="3" s="1"/>
  <c r="I42" i="3" s="1"/>
  <c r="J42" i="3" s="1"/>
  <c r="K42" i="3" s="1"/>
  <c r="L42" i="3" s="1"/>
  <c r="M42" i="3" s="1"/>
  <c r="N42" i="3" s="1"/>
  <c r="I20" i="17"/>
  <c r="H203" i="17"/>
  <c r="H207" i="17" s="1"/>
  <c r="I38" i="7"/>
  <c r="I38" i="18"/>
  <c r="I32" i="18"/>
  <c r="J47" i="18"/>
  <c r="I38" i="17"/>
  <c r="I32" i="17"/>
  <c r="J47" i="17"/>
  <c r="J50" i="10"/>
  <c r="I98" i="8"/>
  <c r="J97" i="8" s="1"/>
  <c r="I94" i="10"/>
  <c r="F73" i="3"/>
  <c r="J97" i="12"/>
  <c r="I11" i="16"/>
  <c r="L94" i="3"/>
  <c r="J22" i="4"/>
  <c r="K22" i="4" s="1"/>
  <c r="J47" i="13"/>
  <c r="I38" i="13"/>
  <c r="I32" i="13"/>
  <c r="I99" i="15"/>
  <c r="K62" i="3"/>
  <c r="B17" i="19"/>
  <c r="B203" i="19"/>
  <c r="H80" i="12"/>
  <c r="H58" i="3"/>
  <c r="I29" i="12"/>
  <c r="I29" i="11"/>
  <c r="B203" i="10"/>
  <c r="B17" i="10"/>
  <c r="J50" i="15"/>
  <c r="B17" i="14"/>
  <c r="B203" i="14"/>
  <c r="H203" i="11"/>
  <c r="H207" i="11" s="1"/>
  <c r="I20" i="11"/>
  <c r="I29" i="14"/>
  <c r="B203" i="11"/>
  <c r="B17" i="11"/>
  <c r="I38" i="10"/>
  <c r="I32" i="10"/>
  <c r="J47" i="10"/>
  <c r="I38" i="19"/>
  <c r="I32" i="19"/>
  <c r="J47" i="19"/>
  <c r="F80" i="11"/>
  <c r="I80" i="11" s="1"/>
  <c r="I86" i="11" s="1"/>
  <c r="G57" i="3"/>
  <c r="E26" i="4"/>
  <c r="I38" i="16"/>
  <c r="I32" i="16"/>
  <c r="J47" i="16"/>
  <c r="B17" i="15"/>
  <c r="B203" i="15"/>
  <c r="J92" i="7"/>
  <c r="J106" i="7" s="1"/>
  <c r="J114" i="7" s="1"/>
  <c r="J50" i="14"/>
  <c r="J97" i="15" l="1"/>
  <c r="I33" i="7"/>
  <c r="I35" i="7" s="1"/>
  <c r="J49" i="19"/>
  <c r="J48" i="19"/>
  <c r="I92" i="19"/>
  <c r="H213" i="16"/>
  <c r="J48" i="18"/>
  <c r="I92" i="18"/>
  <c r="J49" i="18"/>
  <c r="J49" i="15"/>
  <c r="J48" i="15"/>
  <c r="I92" i="15"/>
  <c r="I39" i="16"/>
  <c r="J53" i="16" s="1"/>
  <c r="I36" i="16"/>
  <c r="J51" i="16" s="1"/>
  <c r="I93" i="11"/>
  <c r="G72" i="3"/>
  <c r="J106" i="8"/>
  <c r="J114" i="8" s="1"/>
  <c r="E38" i="8"/>
  <c r="I11" i="17"/>
  <c r="J23" i="4"/>
  <c r="K23" i="4" s="1"/>
  <c r="M94" i="3"/>
  <c r="I32" i="11"/>
  <c r="J47" i="11"/>
  <c r="I34" i="13"/>
  <c r="J60" i="13" s="1"/>
  <c r="J61" i="13" s="1"/>
  <c r="I39" i="13"/>
  <c r="J53" i="13" s="1"/>
  <c r="I39" i="18"/>
  <c r="J53" i="18" s="1"/>
  <c r="I36" i="18"/>
  <c r="J51" i="18" s="1"/>
  <c r="F80" i="12"/>
  <c r="I80" i="12" s="1"/>
  <c r="I86" i="12" s="1"/>
  <c r="H57" i="3"/>
  <c r="J92" i="10"/>
  <c r="J106" i="10" s="1"/>
  <c r="J114" i="10" s="1"/>
  <c r="I39" i="8"/>
  <c r="J53" i="8" s="1"/>
  <c r="I34" i="8"/>
  <c r="J60" i="8" s="1"/>
  <c r="J61" i="8" s="1"/>
  <c r="I36" i="19"/>
  <c r="J51" i="19" s="1"/>
  <c r="I39" i="19"/>
  <c r="J53" i="19" s="1"/>
  <c r="I133" i="11"/>
  <c r="J48" i="10"/>
  <c r="I92" i="10"/>
  <c r="J49" i="10"/>
  <c r="J47" i="14"/>
  <c r="I38" i="14"/>
  <c r="I32" i="14"/>
  <c r="I32" i="12"/>
  <c r="J47" i="12"/>
  <c r="I99" i="16"/>
  <c r="J97" i="16" s="1"/>
  <c r="L62" i="3"/>
  <c r="J49" i="13"/>
  <c r="J48" i="13"/>
  <c r="I92" i="13"/>
  <c r="J48" i="17"/>
  <c r="I92" i="17"/>
  <c r="J49" i="17"/>
  <c r="H225" i="7"/>
  <c r="J49" i="8"/>
  <c r="I33" i="8" s="1"/>
  <c r="I92" i="8"/>
  <c r="I92" i="16"/>
  <c r="J49" i="16"/>
  <c r="J48" i="16"/>
  <c r="I34" i="10"/>
  <c r="J60" i="10" s="1"/>
  <c r="J61" i="10" s="1"/>
  <c r="I39" i="10"/>
  <c r="J53" i="10" s="1"/>
  <c r="H80" i="13"/>
  <c r="I58" i="3"/>
  <c r="I94" i="11"/>
  <c r="G73" i="3"/>
  <c r="I39" i="17"/>
  <c r="J53" i="17" s="1"/>
  <c r="I36" i="17"/>
  <c r="J51" i="17" s="1"/>
  <c r="I36" i="15"/>
  <c r="J51" i="15" s="1"/>
  <c r="I39" i="15"/>
  <c r="J53" i="15" s="1"/>
  <c r="I33" i="19" l="1"/>
  <c r="I35" i="19" s="1"/>
  <c r="J52" i="19" s="1"/>
  <c r="I33" i="18"/>
  <c r="I35" i="18" s="1"/>
  <c r="J52" i="18" s="1"/>
  <c r="I36" i="7"/>
  <c r="I51" i="7" s="1"/>
  <c r="J51" i="7" s="1"/>
  <c r="I37" i="7"/>
  <c r="I55" i="7" s="1"/>
  <c r="J55" i="7" s="1"/>
  <c r="I33" i="15"/>
  <c r="I34" i="15" s="1"/>
  <c r="J60" i="15" s="1"/>
  <c r="J61" i="15" s="1"/>
  <c r="I54" i="7"/>
  <c r="J54" i="7" s="1"/>
  <c r="J52" i="7"/>
  <c r="I33" i="13"/>
  <c r="I35" i="13" s="1"/>
  <c r="J52" i="13" s="1"/>
  <c r="J55" i="15"/>
  <c r="J55" i="18"/>
  <c r="J54" i="16"/>
  <c r="J55" i="17"/>
  <c r="J54" i="15"/>
  <c r="J54" i="17"/>
  <c r="I33" i="10"/>
  <c r="I35" i="10" s="1"/>
  <c r="I54" i="10" s="1"/>
  <c r="J54" i="10" s="1"/>
  <c r="J92" i="11"/>
  <c r="I38" i="12"/>
  <c r="I34" i="12"/>
  <c r="J60" i="12" s="1"/>
  <c r="J61" i="12" s="1"/>
  <c r="I39" i="12"/>
  <c r="J53" i="12" s="1"/>
  <c r="I11" i="18"/>
  <c r="J24" i="4"/>
  <c r="K24" i="4" s="1"/>
  <c r="N94" i="3"/>
  <c r="H213" i="17"/>
  <c r="J54" i="18"/>
  <c r="I94" i="12"/>
  <c r="H73" i="3"/>
  <c r="J55" i="19"/>
  <c r="I33" i="17"/>
  <c r="I99" i="17"/>
  <c r="J97" i="17" s="1"/>
  <c r="M62" i="3"/>
  <c r="J49" i="14"/>
  <c r="J48" i="14"/>
  <c r="I92" i="14"/>
  <c r="F80" i="13"/>
  <c r="I80" i="13" s="1"/>
  <c r="I86" i="13" s="1"/>
  <c r="I57" i="3"/>
  <c r="I92" i="11"/>
  <c r="J49" i="11"/>
  <c r="J48" i="11"/>
  <c r="I35" i="15"/>
  <c r="J52" i="15" s="1"/>
  <c r="I93" i="12"/>
  <c r="J92" i="12" s="1"/>
  <c r="H72" i="3"/>
  <c r="I33" i="16"/>
  <c r="I133" i="12"/>
  <c r="I39" i="11"/>
  <c r="J53" i="11" s="1"/>
  <c r="I38" i="11"/>
  <c r="I34" i="11"/>
  <c r="J60" i="11" s="1"/>
  <c r="J61" i="11" s="1"/>
  <c r="I37" i="8"/>
  <c r="I55" i="8" s="1"/>
  <c r="J55" i="8" s="1"/>
  <c r="I36" i="8"/>
  <c r="I51" i="8" s="1"/>
  <c r="J51" i="8" s="1"/>
  <c r="I35" i="8"/>
  <c r="I34" i="14"/>
  <c r="J60" i="14" s="1"/>
  <c r="J61" i="14" s="1"/>
  <c r="I39" i="14"/>
  <c r="J53" i="14" s="1"/>
  <c r="J55" i="16"/>
  <c r="H80" i="14"/>
  <c r="J58" i="3"/>
  <c r="I92" i="12"/>
  <c r="J49" i="12"/>
  <c r="J48" i="12"/>
  <c r="J54" i="19"/>
  <c r="I37" i="15" l="1"/>
  <c r="I37" i="19"/>
  <c r="I36" i="13"/>
  <c r="I51" i="13" s="1"/>
  <c r="J51" i="13" s="1"/>
  <c r="I37" i="13"/>
  <c r="I55" i="13" s="1"/>
  <c r="J55" i="13" s="1"/>
  <c r="I37" i="18"/>
  <c r="I34" i="18"/>
  <c r="J60" i="18" s="1"/>
  <c r="J61" i="18" s="1"/>
  <c r="I34" i="19"/>
  <c r="J60" i="19" s="1"/>
  <c r="J61" i="19" s="1"/>
  <c r="I33" i="11"/>
  <c r="I35" i="11" s="1"/>
  <c r="I36" i="11" s="1"/>
  <c r="I51" i="11" s="1"/>
  <c r="J51" i="11" s="1"/>
  <c r="J52" i="10"/>
  <c r="I36" i="10"/>
  <c r="I51" i="10" s="1"/>
  <c r="J51" i="10" s="1"/>
  <c r="I54" i="13"/>
  <c r="J54" i="13" s="1"/>
  <c r="J56" i="7"/>
  <c r="J58" i="7" s="1"/>
  <c r="J71" i="7" s="1"/>
  <c r="I37" i="10"/>
  <c r="I55" i="10" s="1"/>
  <c r="J55" i="10" s="1"/>
  <c r="J56" i="10" s="1"/>
  <c r="I33" i="14"/>
  <c r="I35" i="14" s="1"/>
  <c r="J52" i="14" s="1"/>
  <c r="I33" i="12"/>
  <c r="I35" i="12" s="1"/>
  <c r="I37" i="12" s="1"/>
  <c r="I54" i="12" s="1"/>
  <c r="J54" i="12" s="1"/>
  <c r="J56" i="19"/>
  <c r="J58" i="19" s="1"/>
  <c r="J56" i="15"/>
  <c r="J58" i="15" s="1"/>
  <c r="J56" i="18"/>
  <c r="J58" i="18" s="1"/>
  <c r="J56" i="17"/>
  <c r="J56" i="16"/>
  <c r="I99" i="18"/>
  <c r="J97" i="18" s="1"/>
  <c r="N62" i="3"/>
  <c r="I99" i="19" s="1"/>
  <c r="J97" i="19" s="1"/>
  <c r="I37" i="16"/>
  <c r="I34" i="16"/>
  <c r="J60" i="16" s="1"/>
  <c r="J61" i="16" s="1"/>
  <c r="I35" i="16"/>
  <c r="J52" i="16" s="1"/>
  <c r="I34" i="17"/>
  <c r="J60" i="17" s="1"/>
  <c r="J61" i="17" s="1"/>
  <c r="I37" i="17"/>
  <c r="I35" i="17"/>
  <c r="J52" i="17" s="1"/>
  <c r="I54" i="8"/>
  <c r="J54" i="8" s="1"/>
  <c r="J56" i="8" s="1"/>
  <c r="J52" i="8"/>
  <c r="I93" i="13"/>
  <c r="I72" i="3"/>
  <c r="I55" i="12"/>
  <c r="J55" i="12" s="1"/>
  <c r="H80" i="15"/>
  <c r="K58" i="3"/>
  <c r="H213" i="18"/>
  <c r="F80" i="14"/>
  <c r="I80" i="14" s="1"/>
  <c r="I86" i="14" s="1"/>
  <c r="J57" i="3"/>
  <c r="I94" i="13"/>
  <c r="I73" i="3"/>
  <c r="I11" i="19"/>
  <c r="J25" i="4"/>
  <c r="K25" i="4" s="1"/>
  <c r="I55" i="11"/>
  <c r="J55" i="11" s="1"/>
  <c r="I133" i="13"/>
  <c r="I36" i="12" l="1"/>
  <c r="I51" i="12" s="1"/>
  <c r="J51" i="12" s="1"/>
  <c r="J58" i="10"/>
  <c r="J63" i="10" s="1"/>
  <c r="I37" i="11"/>
  <c r="I54" i="11" s="1"/>
  <c r="J54" i="11" s="1"/>
  <c r="J56" i="11" s="1"/>
  <c r="J52" i="11"/>
  <c r="J56" i="13"/>
  <c r="J58" i="13" s="1"/>
  <c r="J71" i="13" s="1"/>
  <c r="J63" i="18"/>
  <c r="J188" i="18" s="1"/>
  <c r="I36" i="14"/>
  <c r="I51" i="14" s="1"/>
  <c r="J51" i="14" s="1"/>
  <c r="I37" i="14"/>
  <c r="I55" i="14" s="1"/>
  <c r="J55" i="14" s="1"/>
  <c r="J121" i="7"/>
  <c r="J122" i="7" s="1"/>
  <c r="J123" i="7"/>
  <c r="J52" i="12"/>
  <c r="J70" i="7"/>
  <c r="J72" i="7" s="1"/>
  <c r="J81" i="7" s="1"/>
  <c r="I54" i="14"/>
  <c r="J54" i="14" s="1"/>
  <c r="C129" i="7"/>
  <c r="J70" i="19"/>
  <c r="J123" i="19"/>
  <c r="J63" i="7"/>
  <c r="J188" i="7" s="1"/>
  <c r="G221" i="7"/>
  <c r="H221" i="7" s="1"/>
  <c r="C129" i="15"/>
  <c r="J63" i="15"/>
  <c r="J188" i="15" s="1"/>
  <c r="J70" i="15"/>
  <c r="J71" i="19"/>
  <c r="J71" i="18"/>
  <c r="J71" i="15"/>
  <c r="J121" i="18"/>
  <c r="J123" i="15"/>
  <c r="J121" i="15"/>
  <c r="J70" i="18"/>
  <c r="I121" i="7"/>
  <c r="C129" i="19"/>
  <c r="J63" i="19"/>
  <c r="J188" i="19" s="1"/>
  <c r="J58" i="17"/>
  <c r="C129" i="17" s="1"/>
  <c r="J58" i="16"/>
  <c r="J70" i="16" s="1"/>
  <c r="J123" i="18"/>
  <c r="C129" i="18"/>
  <c r="J58" i="8"/>
  <c r="J71" i="8" s="1"/>
  <c r="J70" i="10"/>
  <c r="I133" i="14"/>
  <c r="H80" i="16"/>
  <c r="L58" i="3"/>
  <c r="J92" i="13"/>
  <c r="J106" i="13" s="1"/>
  <c r="J114" i="13" s="1"/>
  <c r="J112" i="7"/>
  <c r="J83" i="7"/>
  <c r="J80" i="7"/>
  <c r="H213" i="19"/>
  <c r="J121" i="19"/>
  <c r="J56" i="12"/>
  <c r="F80" i="15"/>
  <c r="I80" i="15" s="1"/>
  <c r="K57" i="3"/>
  <c r="I94" i="14"/>
  <c r="J73" i="3"/>
  <c r="I93" i="14"/>
  <c r="J72" i="3"/>
  <c r="J84" i="7" l="1"/>
  <c r="J63" i="13"/>
  <c r="J58" i="11"/>
  <c r="F77" i="3" s="1"/>
  <c r="J102" i="11" s="1"/>
  <c r="J106" i="11" s="1"/>
  <c r="J114" i="11" s="1"/>
  <c r="J79" i="7"/>
  <c r="J123" i="13"/>
  <c r="J119" i="7"/>
  <c r="J120" i="7" s="1"/>
  <c r="J123" i="10"/>
  <c r="J133" i="10"/>
  <c r="J56" i="14"/>
  <c r="J121" i="10"/>
  <c r="J122" i="10" s="1"/>
  <c r="C129" i="10"/>
  <c r="J71" i="10"/>
  <c r="J72" i="10" s="1"/>
  <c r="J58" i="14"/>
  <c r="J71" i="14" s="1"/>
  <c r="J70" i="13"/>
  <c r="J119" i="13" s="1"/>
  <c r="J120" i="13" s="1"/>
  <c r="C129" i="13"/>
  <c r="J133" i="13"/>
  <c r="J58" i="12"/>
  <c r="J121" i="13"/>
  <c r="J122" i="13" s="1"/>
  <c r="J71" i="17"/>
  <c r="J124" i="7"/>
  <c r="G223" i="7" s="1"/>
  <c r="J119" i="19"/>
  <c r="J120" i="19" s="1"/>
  <c r="J119" i="15"/>
  <c r="J120" i="15" s="1"/>
  <c r="J82" i="7"/>
  <c r="J85" i="7"/>
  <c r="J123" i="17"/>
  <c r="J78" i="7"/>
  <c r="J72" i="15"/>
  <c r="J85" i="15" s="1"/>
  <c r="J63" i="17"/>
  <c r="J188" i="17" s="1"/>
  <c r="J121" i="17"/>
  <c r="J70" i="17"/>
  <c r="J72" i="19"/>
  <c r="J112" i="19" s="1"/>
  <c r="J119" i="18"/>
  <c r="J120" i="18" s="1"/>
  <c r="J72" i="18"/>
  <c r="J82" i="18" s="1"/>
  <c r="J123" i="16"/>
  <c r="C129" i="16"/>
  <c r="J123" i="8"/>
  <c r="J121" i="16"/>
  <c r="J63" i="8"/>
  <c r="J188" i="8" s="1"/>
  <c r="J71" i="16"/>
  <c r="J72" i="16" s="1"/>
  <c r="J70" i="8"/>
  <c r="J119" i="8" s="1"/>
  <c r="J120" i="8" s="1"/>
  <c r="J63" i="16"/>
  <c r="J188" i="16" s="1"/>
  <c r="G221" i="8"/>
  <c r="H221" i="8" s="1"/>
  <c r="J121" i="8"/>
  <c r="J122" i="8" s="1"/>
  <c r="C129" i="8"/>
  <c r="J133" i="14"/>
  <c r="C129" i="14"/>
  <c r="C129" i="11"/>
  <c r="J133" i="11"/>
  <c r="J70" i="11"/>
  <c r="J63" i="11"/>
  <c r="J188" i="10"/>
  <c r="J188" i="13"/>
  <c r="J137" i="7"/>
  <c r="I94" i="15"/>
  <c r="K73" i="3"/>
  <c r="J133" i="12"/>
  <c r="C129" i="12"/>
  <c r="J63" i="12"/>
  <c r="F80" i="16"/>
  <c r="I80" i="16" s="1"/>
  <c r="I86" i="16" s="1"/>
  <c r="L57" i="3"/>
  <c r="I86" i="15"/>
  <c r="I93" i="15"/>
  <c r="J92" i="15" s="1"/>
  <c r="J106" i="15" s="1"/>
  <c r="J114" i="15" s="1"/>
  <c r="K72" i="3"/>
  <c r="H80" i="17"/>
  <c r="M58" i="3"/>
  <c r="J72" i="13"/>
  <c r="J92" i="14"/>
  <c r="J106" i="14" s="1"/>
  <c r="J114" i="14" s="1"/>
  <c r="J71" i="11" l="1"/>
  <c r="J119" i="10"/>
  <c r="J120" i="10" s="1"/>
  <c r="J124" i="10" s="1"/>
  <c r="J121" i="11"/>
  <c r="J122" i="11" s="1"/>
  <c r="J123" i="11"/>
  <c r="J124" i="13"/>
  <c r="J190" i="7"/>
  <c r="J84" i="15"/>
  <c r="J71" i="12"/>
  <c r="G77" i="3"/>
  <c r="J102" i="12" s="1"/>
  <c r="J106" i="12" s="1"/>
  <c r="J114" i="12" s="1"/>
  <c r="J70" i="12"/>
  <c r="J70" i="14"/>
  <c r="J72" i="14" s="1"/>
  <c r="J112" i="14" s="1"/>
  <c r="J121" i="14"/>
  <c r="J122" i="14" s="1"/>
  <c r="J123" i="14"/>
  <c r="J123" i="12"/>
  <c r="J63" i="14"/>
  <c r="J188" i="14" s="1"/>
  <c r="I129" i="7"/>
  <c r="J121" i="12"/>
  <c r="J122" i="12" s="1"/>
  <c r="J81" i="15"/>
  <c r="J85" i="19"/>
  <c r="J79" i="15"/>
  <c r="J119" i="17"/>
  <c r="J82" i="15"/>
  <c r="J78" i="14"/>
  <c r="J86" i="7"/>
  <c r="J113" i="7" s="1"/>
  <c r="J115" i="7" s="1"/>
  <c r="J189" i="7" s="1"/>
  <c r="J72" i="11"/>
  <c r="J112" i="11" s="1"/>
  <c r="J83" i="19"/>
  <c r="J119" i="16"/>
  <c r="J120" i="16" s="1"/>
  <c r="J78" i="15"/>
  <c r="J72" i="17"/>
  <c r="J112" i="17" s="1"/>
  <c r="J80" i="15"/>
  <c r="J83" i="15"/>
  <c r="J79" i="19"/>
  <c r="J78" i="19"/>
  <c r="J82" i="19"/>
  <c r="J112" i="15"/>
  <c r="J81" i="18"/>
  <c r="J81" i="19"/>
  <c r="J84" i="19"/>
  <c r="J72" i="8"/>
  <c r="J112" i="8" s="1"/>
  <c r="I121" i="8"/>
  <c r="J112" i="18"/>
  <c r="J85" i="18"/>
  <c r="J78" i="18"/>
  <c r="J84" i="18"/>
  <c r="J83" i="18"/>
  <c r="J79" i="18"/>
  <c r="J124" i="8"/>
  <c r="J190" i="8" s="1"/>
  <c r="J119" i="11"/>
  <c r="J120" i="11" s="1"/>
  <c r="J190" i="13"/>
  <c r="I129" i="13"/>
  <c r="J137" i="13"/>
  <c r="F80" i="17"/>
  <c r="I80" i="17" s="1"/>
  <c r="I86" i="17" s="1"/>
  <c r="M57" i="3"/>
  <c r="J188" i="11"/>
  <c r="J120" i="17"/>
  <c r="H80" i="18"/>
  <c r="N58" i="3"/>
  <c r="H80" i="19" s="1"/>
  <c r="F223" i="7"/>
  <c r="H223" i="7"/>
  <c r="I133" i="15"/>
  <c r="J133" i="15" s="1"/>
  <c r="J122" i="15"/>
  <c r="J124" i="15" s="1"/>
  <c r="J137" i="15" s="1"/>
  <c r="I133" i="16"/>
  <c r="J133" i="16" s="1"/>
  <c r="J122" i="16"/>
  <c r="J112" i="10"/>
  <c r="J82" i="10"/>
  <c r="J80" i="10"/>
  <c r="J79" i="10"/>
  <c r="J85" i="10"/>
  <c r="J83" i="10"/>
  <c r="J81" i="10"/>
  <c r="J78" i="10"/>
  <c r="J84" i="10"/>
  <c r="J188" i="12"/>
  <c r="I94" i="16"/>
  <c r="L73" i="3"/>
  <c r="I93" i="16"/>
  <c r="L72" i="3"/>
  <c r="J112" i="16"/>
  <c r="J78" i="16"/>
  <c r="J81" i="16"/>
  <c r="J82" i="16"/>
  <c r="J80" i="16"/>
  <c r="J79" i="16"/>
  <c r="J85" i="16"/>
  <c r="J83" i="16"/>
  <c r="J84" i="16"/>
  <c r="J112" i="13"/>
  <c r="J84" i="13"/>
  <c r="J81" i="13"/>
  <c r="J80" i="13"/>
  <c r="J83" i="13"/>
  <c r="J78" i="13"/>
  <c r="J79" i="13"/>
  <c r="J85" i="13"/>
  <c r="J82" i="13"/>
  <c r="F129" i="7"/>
  <c r="J129" i="7" s="1"/>
  <c r="J81" i="17"/>
  <c r="G222" i="7" l="1"/>
  <c r="H222" i="7" s="1"/>
  <c r="J124" i="11"/>
  <c r="I129" i="11" s="1"/>
  <c r="J80" i="14"/>
  <c r="J119" i="12"/>
  <c r="J120" i="12" s="1"/>
  <c r="J124" i="12" s="1"/>
  <c r="J79" i="14"/>
  <c r="J81" i="14"/>
  <c r="J72" i="12"/>
  <c r="J80" i="12" s="1"/>
  <c r="J82" i="14"/>
  <c r="J119" i="14"/>
  <c r="J120" i="14" s="1"/>
  <c r="J124" i="14" s="1"/>
  <c r="I129" i="14" s="1"/>
  <c r="J85" i="14"/>
  <c r="J84" i="14"/>
  <c r="J83" i="14"/>
  <c r="J78" i="8"/>
  <c r="J83" i="17"/>
  <c r="J78" i="12"/>
  <c r="J79" i="17"/>
  <c r="J80" i="17"/>
  <c r="J78" i="11"/>
  <c r="J80" i="11"/>
  <c r="J79" i="11"/>
  <c r="J81" i="11"/>
  <c r="J82" i="11"/>
  <c r="J84" i="11"/>
  <c r="J83" i="11"/>
  <c r="J85" i="11"/>
  <c r="J78" i="17"/>
  <c r="J82" i="17"/>
  <c r="J81" i="8"/>
  <c r="J124" i="16"/>
  <c r="J190" i="16" s="1"/>
  <c r="J84" i="17"/>
  <c r="J85" i="17"/>
  <c r="J82" i="8"/>
  <c r="J85" i="8"/>
  <c r="J86" i="15"/>
  <c r="J113" i="15" s="1"/>
  <c r="J115" i="15" s="1"/>
  <c r="F222" i="7"/>
  <c r="J80" i="8"/>
  <c r="J79" i="8"/>
  <c r="J84" i="8"/>
  <c r="J83" i="8"/>
  <c r="J137" i="8"/>
  <c r="G223" i="8"/>
  <c r="F223" i="8" s="1"/>
  <c r="I129" i="8"/>
  <c r="J190" i="14"/>
  <c r="J190" i="11"/>
  <c r="J137" i="11"/>
  <c r="J190" i="12"/>
  <c r="I129" i="12"/>
  <c r="J137" i="12"/>
  <c r="J86" i="10"/>
  <c r="J113" i="10" s="1"/>
  <c r="J115" i="10" s="1"/>
  <c r="J190" i="10"/>
  <c r="I129" i="10"/>
  <c r="J137" i="10"/>
  <c r="F80" i="18"/>
  <c r="I80" i="18" s="1"/>
  <c r="N57" i="3"/>
  <c r="F80" i="19" s="1"/>
  <c r="I80" i="19" s="1"/>
  <c r="J86" i="16"/>
  <c r="J113" i="16" s="1"/>
  <c r="J190" i="15"/>
  <c r="I129" i="15"/>
  <c r="I133" i="17"/>
  <c r="J133" i="17" s="1"/>
  <c r="J122" i="17"/>
  <c r="J124" i="17" s="1"/>
  <c r="I94" i="17"/>
  <c r="M73" i="3"/>
  <c r="J138" i="7"/>
  <c r="J136" i="7"/>
  <c r="J135" i="7"/>
  <c r="J134" i="7"/>
  <c r="I93" i="17"/>
  <c r="J92" i="17" s="1"/>
  <c r="J106" i="17" s="1"/>
  <c r="J114" i="17" s="1"/>
  <c r="M72" i="3"/>
  <c r="J86" i="13"/>
  <c r="J113" i="13" s="1"/>
  <c r="J115" i="13" s="1"/>
  <c r="J92" i="16"/>
  <c r="J106" i="16" s="1"/>
  <c r="I129" i="16" l="1"/>
  <c r="J79" i="12"/>
  <c r="J83" i="12"/>
  <c r="J85" i="12"/>
  <c r="J82" i="12"/>
  <c r="J84" i="12"/>
  <c r="J86" i="14"/>
  <c r="J113" i="14" s="1"/>
  <c r="J115" i="14" s="1"/>
  <c r="J189" i="14" s="1"/>
  <c r="J137" i="14"/>
  <c r="J112" i="12"/>
  <c r="J81" i="12"/>
  <c r="J86" i="11"/>
  <c r="J113" i="11" s="1"/>
  <c r="J115" i="11" s="1"/>
  <c r="J189" i="11" s="1"/>
  <c r="H223" i="8"/>
  <c r="J86" i="17"/>
  <c r="J113" i="17" s="1"/>
  <c r="J115" i="17" s="1"/>
  <c r="J189" i="17" s="1"/>
  <c r="J189" i="15"/>
  <c r="F129" i="15"/>
  <c r="J129" i="15" s="1"/>
  <c r="J135" i="15" s="1"/>
  <c r="J86" i="8"/>
  <c r="J113" i="8" s="1"/>
  <c r="J115" i="8" s="1"/>
  <c r="F129" i="8" s="1"/>
  <c r="J129" i="8" s="1"/>
  <c r="J139" i="7"/>
  <c r="J148" i="7" s="1"/>
  <c r="G224" i="7" s="1"/>
  <c r="J189" i="13"/>
  <c r="F129" i="13"/>
  <c r="J129" i="13" s="1"/>
  <c r="J114" i="16"/>
  <c r="J115" i="16" s="1"/>
  <c r="J137" i="16"/>
  <c r="J137" i="17"/>
  <c r="F129" i="10"/>
  <c r="J129" i="10" s="1"/>
  <c r="J189" i="10"/>
  <c r="I129" i="17"/>
  <c r="J190" i="17"/>
  <c r="I93" i="18"/>
  <c r="J92" i="18" s="1"/>
  <c r="J106" i="18" s="1"/>
  <c r="J114" i="18" s="1"/>
  <c r="N72" i="3"/>
  <c r="I93" i="19" s="1"/>
  <c r="J92" i="19" s="1"/>
  <c r="J106" i="19" s="1"/>
  <c r="J114" i="19" s="1"/>
  <c r="I86" i="19"/>
  <c r="J80" i="19"/>
  <c r="J86" i="19" s="1"/>
  <c r="J113" i="19" s="1"/>
  <c r="I94" i="18"/>
  <c r="N73" i="3"/>
  <c r="I94" i="19" s="1"/>
  <c r="I86" i="18"/>
  <c r="J80" i="18"/>
  <c r="J86" i="18" s="1"/>
  <c r="J113" i="18" s="1"/>
  <c r="J86" i="12" l="1"/>
  <c r="J113" i="12" s="1"/>
  <c r="J115" i="12" s="1"/>
  <c r="F129" i="12" s="1"/>
  <c r="J129" i="12" s="1"/>
  <c r="J134" i="12" s="1"/>
  <c r="F129" i="14"/>
  <c r="J129" i="14" s="1"/>
  <c r="J134" i="14" s="1"/>
  <c r="F129" i="11"/>
  <c r="J129" i="11" s="1"/>
  <c r="J138" i="11" s="1"/>
  <c r="J136" i="15"/>
  <c r="J138" i="15"/>
  <c r="F129" i="17"/>
  <c r="J129" i="17" s="1"/>
  <c r="J150" i="7"/>
  <c r="J163" i="7" s="1"/>
  <c r="J134" i="15"/>
  <c r="J189" i="8"/>
  <c r="G222" i="8"/>
  <c r="H222" i="8" s="1"/>
  <c r="I133" i="19"/>
  <c r="J133" i="19" s="1"/>
  <c r="J122" i="19"/>
  <c r="J124" i="19" s="1"/>
  <c r="J137" i="19" s="1"/>
  <c r="F129" i="16"/>
  <c r="J129" i="16" s="1"/>
  <c r="J189" i="16"/>
  <c r="J134" i="11"/>
  <c r="J136" i="11"/>
  <c r="J135" i="11"/>
  <c r="J135" i="10"/>
  <c r="J134" i="10"/>
  <c r="J138" i="10"/>
  <c r="J136" i="10"/>
  <c r="J138" i="13"/>
  <c r="J136" i="13"/>
  <c r="J135" i="13"/>
  <c r="J134" i="13"/>
  <c r="H224" i="7"/>
  <c r="J122" i="18"/>
  <c r="J124" i="18" s="1"/>
  <c r="J137" i="18" s="1"/>
  <c r="I133" i="18"/>
  <c r="J133" i="18" s="1"/>
  <c r="J115" i="18"/>
  <c r="J115" i="19"/>
  <c r="J135" i="8"/>
  <c r="J134" i="8"/>
  <c r="J138" i="8"/>
  <c r="J136" i="8"/>
  <c r="J139" i="15" l="1"/>
  <c r="J148" i="15" s="1"/>
  <c r="J150" i="15" s="1"/>
  <c r="J191" i="15" s="1"/>
  <c r="J193" i="15" s="1"/>
  <c r="J138" i="14"/>
  <c r="J189" i="12"/>
  <c r="J135" i="14"/>
  <c r="J136" i="14"/>
  <c r="J191" i="7"/>
  <c r="J193" i="7" s="1"/>
  <c r="J136" i="12"/>
  <c r="J135" i="12"/>
  <c r="J138" i="12"/>
  <c r="F222" i="8"/>
  <c r="J164" i="7"/>
  <c r="J135" i="16"/>
  <c r="J134" i="16"/>
  <c r="J138" i="16"/>
  <c r="J136" i="16"/>
  <c r="J163" i="15"/>
  <c r="J136" i="17"/>
  <c r="J135" i="17"/>
  <c r="J134" i="17"/>
  <c r="J138" i="17"/>
  <c r="I129" i="18"/>
  <c r="J190" i="18"/>
  <c r="J139" i="8"/>
  <c r="J148" i="8" s="1"/>
  <c r="J190" i="19"/>
  <c r="I129" i="19"/>
  <c r="J189" i="19"/>
  <c r="F129" i="19"/>
  <c r="J189" i="18"/>
  <c r="F129" i="18"/>
  <c r="J139" i="13"/>
  <c r="J148" i="13" s="1"/>
  <c r="J150" i="13" s="1"/>
  <c r="J139" i="10"/>
  <c r="J148" i="10" s="1"/>
  <c r="J150" i="10" s="1"/>
  <c r="J139" i="11"/>
  <c r="J148" i="11" s="1"/>
  <c r="J150" i="11" s="1"/>
  <c r="J139" i="14" l="1"/>
  <c r="J148" i="14" s="1"/>
  <c r="J150" i="14" s="1"/>
  <c r="J191" i="14" s="1"/>
  <c r="J193" i="14" s="1"/>
  <c r="J139" i="12"/>
  <c r="J148" i="12" s="1"/>
  <c r="J150" i="12" s="1"/>
  <c r="J191" i="12" s="1"/>
  <c r="J193" i="12" s="1"/>
  <c r="J163" i="14"/>
  <c r="J164" i="14" s="1"/>
  <c r="J139" i="16"/>
  <c r="J148" i="16" s="1"/>
  <c r="J150" i="16" s="1"/>
  <c r="J191" i="16" s="1"/>
  <c r="J193" i="16" s="1"/>
  <c r="J129" i="19"/>
  <c r="J134" i="19" s="1"/>
  <c r="G224" i="8"/>
  <c r="J150" i="8"/>
  <c r="J191" i="13"/>
  <c r="J193" i="13" s="1"/>
  <c r="J163" i="13"/>
  <c r="J165" i="7"/>
  <c r="J166" i="7" s="1"/>
  <c r="J167" i="7" s="1"/>
  <c r="J164" i="15"/>
  <c r="J191" i="11"/>
  <c r="J193" i="11" s="1"/>
  <c r="J163" i="11"/>
  <c r="J139" i="17"/>
  <c r="J148" i="17" s="1"/>
  <c r="J150" i="17" s="1"/>
  <c r="J191" i="10"/>
  <c r="J193" i="10" s="1"/>
  <c r="J163" i="10"/>
  <c r="J129" i="18"/>
  <c r="J165" i="14" l="1"/>
  <c r="J166" i="14" s="1"/>
  <c r="J167" i="14" s="1"/>
  <c r="J163" i="12"/>
  <c r="J164" i="12" s="1"/>
  <c r="J135" i="19"/>
  <c r="J138" i="19"/>
  <c r="J136" i="19"/>
  <c r="J163" i="16"/>
  <c r="J171" i="7"/>
  <c r="J170" i="7"/>
  <c r="J176" i="7"/>
  <c r="J176" i="14"/>
  <c r="J171" i="14"/>
  <c r="J170" i="14"/>
  <c r="J179" i="14" s="1"/>
  <c r="J164" i="13"/>
  <c r="J164" i="10"/>
  <c r="H224" i="8"/>
  <c r="J164" i="11"/>
  <c r="J136" i="18"/>
  <c r="J135" i="18"/>
  <c r="J134" i="18"/>
  <c r="J138" i="18"/>
  <c r="J165" i="15"/>
  <c r="J166" i="15" s="1"/>
  <c r="J164" i="16"/>
  <c r="J165" i="12"/>
  <c r="J166" i="12" s="1"/>
  <c r="J167" i="12" s="1"/>
  <c r="J191" i="17"/>
  <c r="J193" i="17" s="1"/>
  <c r="J163" i="17"/>
  <c r="J191" i="8"/>
  <c r="J193" i="8" s="1"/>
  <c r="J163" i="8"/>
  <c r="J139" i="19" l="1"/>
  <c r="J148" i="19" s="1"/>
  <c r="J150" i="19" s="1"/>
  <c r="J179" i="7"/>
  <c r="J177" i="7"/>
  <c r="J194" i="7" s="1"/>
  <c r="J195" i="7" s="1"/>
  <c r="J176" i="12"/>
  <c r="J171" i="12"/>
  <c r="J170" i="12"/>
  <c r="J179" i="12" s="1"/>
  <c r="J177" i="14"/>
  <c r="J194" i="14" s="1"/>
  <c r="J195" i="14" s="1"/>
  <c r="J165" i="16"/>
  <c r="J166" i="16" s="1"/>
  <c r="J165" i="13"/>
  <c r="J166" i="13" s="1"/>
  <c r="J167" i="13" s="1"/>
  <c r="J139" i="18"/>
  <c r="J148" i="18" s="1"/>
  <c r="J150" i="18" s="1"/>
  <c r="J164" i="8"/>
  <c r="J165" i="11"/>
  <c r="J166" i="11" s="1"/>
  <c r="J167" i="11" s="1"/>
  <c r="J191" i="19"/>
  <c r="J193" i="19" s="1"/>
  <c r="J163" i="19"/>
  <c r="J165" i="10"/>
  <c r="J166" i="10" s="1"/>
  <c r="J167" i="10" s="1"/>
  <c r="J164" i="17"/>
  <c r="J167" i="15"/>
  <c r="G226" i="7" l="1"/>
  <c r="F224" i="7" s="1"/>
  <c r="J170" i="10"/>
  <c r="J179" i="10" s="1"/>
  <c r="J176" i="10"/>
  <c r="J171" i="10"/>
  <c r="J176" i="11"/>
  <c r="J171" i="11"/>
  <c r="J170" i="11"/>
  <c r="J179" i="11" s="1"/>
  <c r="J176" i="13"/>
  <c r="J171" i="13"/>
  <c r="J170" i="13"/>
  <c r="J179" i="13" s="1"/>
  <c r="J167" i="16"/>
  <c r="J176" i="15"/>
  <c r="J171" i="15"/>
  <c r="J170" i="15"/>
  <c r="F203" i="7"/>
  <c r="I203" i="7" s="1"/>
  <c r="I207" i="7" s="1"/>
  <c r="G14" i="4"/>
  <c r="H14" i="4" s="1"/>
  <c r="I14" i="4" s="1"/>
  <c r="J164" i="19"/>
  <c r="J165" i="17"/>
  <c r="J166" i="17" s="1"/>
  <c r="J167" i="17" s="1"/>
  <c r="J165" i="8"/>
  <c r="J166" i="8" s="1"/>
  <c r="J167" i="8" s="1"/>
  <c r="F203" i="14"/>
  <c r="I203" i="14" s="1"/>
  <c r="I207" i="14" s="1"/>
  <c r="H211" i="14" s="1"/>
  <c r="H215" i="14" s="1"/>
  <c r="G20" i="4"/>
  <c r="H20" i="4" s="1"/>
  <c r="I20" i="4" s="1"/>
  <c r="J177" i="12"/>
  <c r="J194" i="12" s="1"/>
  <c r="J195" i="12" s="1"/>
  <c r="J191" i="18"/>
  <c r="J193" i="18" s="1"/>
  <c r="J163" i="18"/>
  <c r="G227" i="7"/>
  <c r="F225" i="7" l="1"/>
  <c r="H226" i="7"/>
  <c r="H227" i="7" s="1"/>
  <c r="G230" i="7" s="1"/>
  <c r="F226" i="7"/>
  <c r="J177" i="13"/>
  <c r="J194" i="13" s="1"/>
  <c r="J195" i="13" s="1"/>
  <c r="F203" i="13" s="1"/>
  <c r="I203" i="13" s="1"/>
  <c r="I207" i="13" s="1"/>
  <c r="H211" i="13" s="1"/>
  <c r="H215" i="13" s="1"/>
  <c r="J177" i="10"/>
  <c r="J194" i="10" s="1"/>
  <c r="J195" i="10" s="1"/>
  <c r="F203" i="10" s="1"/>
  <c r="I203" i="10" s="1"/>
  <c r="I207" i="10" s="1"/>
  <c r="H211" i="10" s="1"/>
  <c r="H215" i="10" s="1"/>
  <c r="F203" i="12"/>
  <c r="I203" i="12" s="1"/>
  <c r="I207" i="12" s="1"/>
  <c r="H211" i="12" s="1"/>
  <c r="H215" i="12" s="1"/>
  <c r="G18" i="4"/>
  <c r="H18" i="4" s="1"/>
  <c r="I18" i="4" s="1"/>
  <c r="J171" i="17"/>
  <c r="J170" i="17"/>
  <c r="J176" i="17"/>
  <c r="H211" i="7"/>
  <c r="H215" i="7" s="1"/>
  <c r="G233" i="7"/>
  <c r="J233" i="7" s="1"/>
  <c r="G232" i="7"/>
  <c r="J232" i="7" s="1"/>
  <c r="G234" i="7"/>
  <c r="J234" i="7" s="1"/>
  <c r="G231" i="7"/>
  <c r="J231" i="7" s="1"/>
  <c r="M20" i="4"/>
  <c r="L20" i="4"/>
  <c r="J165" i="19"/>
  <c r="J166" i="19" s="1"/>
  <c r="J179" i="15"/>
  <c r="J177" i="15"/>
  <c r="J194" i="15" s="1"/>
  <c r="J195" i="15" s="1"/>
  <c r="J170" i="16"/>
  <c r="J176" i="16"/>
  <c r="J171" i="16"/>
  <c r="M14" i="4"/>
  <c r="L14" i="4"/>
  <c r="J164" i="18"/>
  <c r="J170" i="8"/>
  <c r="J176" i="8"/>
  <c r="J171" i="8"/>
  <c r="J177" i="11"/>
  <c r="J194" i="11" s="1"/>
  <c r="J195" i="11" s="1"/>
  <c r="G19" i="4" l="1"/>
  <c r="H19" i="4" s="1"/>
  <c r="I19" i="4" s="1"/>
  <c r="F227" i="7"/>
  <c r="G16" i="4"/>
  <c r="H16" i="4" s="1"/>
  <c r="I16" i="4" s="1"/>
  <c r="M16" i="4" s="1"/>
  <c r="J235" i="7"/>
  <c r="J179" i="17"/>
  <c r="F203" i="11"/>
  <c r="I203" i="11" s="1"/>
  <c r="I207" i="11" s="1"/>
  <c r="H211" i="11" s="1"/>
  <c r="H215" i="11" s="1"/>
  <c r="G17" i="4"/>
  <c r="H17" i="4" s="1"/>
  <c r="I17" i="4" s="1"/>
  <c r="J165" i="18"/>
  <c r="J166" i="18" s="1"/>
  <c r="J167" i="18" s="1"/>
  <c r="J167" i="19"/>
  <c r="M18" i="4"/>
  <c r="L18" i="4"/>
  <c r="J179" i="16"/>
  <c r="J177" i="16"/>
  <c r="J194" i="16" s="1"/>
  <c r="J195" i="16" s="1"/>
  <c r="F203" i="15"/>
  <c r="I203" i="15" s="1"/>
  <c r="I207" i="15" s="1"/>
  <c r="H211" i="15" s="1"/>
  <c r="H215" i="15" s="1"/>
  <c r="G21" i="4"/>
  <c r="H21" i="4" s="1"/>
  <c r="I21" i="4" s="1"/>
  <c r="J179" i="8"/>
  <c r="J177" i="8"/>
  <c r="M19" i="4"/>
  <c r="L19" i="4"/>
  <c r="I240" i="7"/>
  <c r="J177" i="17"/>
  <c r="J194" i="17" s="1"/>
  <c r="J195" i="17" s="1"/>
  <c r="L16" i="4" l="1"/>
  <c r="J171" i="18"/>
  <c r="J170" i="18"/>
  <c r="J176" i="18"/>
  <c r="L17" i="4"/>
  <c r="M17" i="4"/>
  <c r="F203" i="16"/>
  <c r="I203" i="16" s="1"/>
  <c r="I207" i="16" s="1"/>
  <c r="H211" i="16" s="1"/>
  <c r="H215" i="16" s="1"/>
  <c r="G22" i="4"/>
  <c r="H22" i="4" s="1"/>
  <c r="I22" i="4" s="1"/>
  <c r="G226" i="8"/>
  <c r="J194" i="8"/>
  <c r="J195" i="8" s="1"/>
  <c r="M21" i="4"/>
  <c r="L21" i="4"/>
  <c r="F203" i="17"/>
  <c r="I203" i="17" s="1"/>
  <c r="I207" i="17" s="1"/>
  <c r="H211" i="17" s="1"/>
  <c r="H215" i="17" s="1"/>
  <c r="G23" i="4"/>
  <c r="H23" i="4" s="1"/>
  <c r="I23" i="4" s="1"/>
  <c r="J176" i="19"/>
  <c r="J171" i="19"/>
  <c r="J170" i="19"/>
  <c r="J177" i="18" l="1"/>
  <c r="J194" i="18" s="1"/>
  <c r="J195" i="18" s="1"/>
  <c r="F203" i="18" s="1"/>
  <c r="I203" i="18" s="1"/>
  <c r="I207" i="18" s="1"/>
  <c r="H211" i="18" s="1"/>
  <c r="H215" i="18" s="1"/>
  <c r="J179" i="19"/>
  <c r="J177" i="19"/>
  <c r="J194" i="19" s="1"/>
  <c r="J195" i="19" s="1"/>
  <c r="F203" i="8"/>
  <c r="I203" i="8" s="1"/>
  <c r="I207" i="8" s="1"/>
  <c r="G15" i="4"/>
  <c r="H15" i="4" s="1"/>
  <c r="I15" i="4" s="1"/>
  <c r="I26" i="4" s="1"/>
  <c r="H226" i="8"/>
  <c r="H227" i="8" s="1"/>
  <c r="G230" i="8" s="1"/>
  <c r="F226" i="8"/>
  <c r="F224" i="8"/>
  <c r="G227" i="8"/>
  <c r="F225" i="8"/>
  <c r="J179" i="18"/>
  <c r="L23" i="4"/>
  <c r="M23" i="4"/>
  <c r="M22" i="4"/>
  <c r="L22" i="4"/>
  <c r="G24" i="4" l="1"/>
  <c r="H24" i="4" s="1"/>
  <c r="I24" i="4" s="1"/>
  <c r="L24" i="4" s="1"/>
  <c r="M15" i="4"/>
  <c r="M26" i="4" s="1"/>
  <c r="L15" i="4"/>
  <c r="L26" i="4" s="1"/>
  <c r="F203" i="19"/>
  <c r="I203" i="19" s="1"/>
  <c r="I207" i="19" s="1"/>
  <c r="H211" i="19" s="1"/>
  <c r="H215" i="19" s="1"/>
  <c r="G25" i="4"/>
  <c r="H25" i="4" s="1"/>
  <c r="I25" i="4" s="1"/>
  <c r="H211" i="8"/>
  <c r="H215" i="8" s="1"/>
  <c r="F227" i="8"/>
  <c r="G233" i="8"/>
  <c r="J233" i="8" s="1"/>
  <c r="G232" i="8"/>
  <c r="J232" i="8" s="1"/>
  <c r="G234" i="8"/>
  <c r="J234" i="8" s="1"/>
  <c r="G231" i="8"/>
  <c r="J231" i="8" s="1"/>
  <c r="M24" i="4" l="1"/>
  <c r="M25" i="4"/>
  <c r="L25" i="4"/>
  <c r="J235" i="8"/>
  <c r="I240" i="8"/>
</calcChain>
</file>

<file path=xl/comments1.xml><?xml version="1.0" encoding="utf-8"?>
<comments xmlns="http://schemas.openxmlformats.org/spreadsheetml/2006/main">
  <authors>
    <author/>
  </authors>
  <commentList>
    <comment ref="O25" authorId="0">
      <text>
        <r>
          <rPr>
            <sz val="11"/>
            <color rgb="FF000000"/>
            <rFont val="Calibri"/>
            <scheme val="minor"/>
          </rPr>
          <t>as
empresas concederão uma ajuda de custo anual, não integrável ao salário, no valor de
R$1.713,35 (um mil e setecentos e treze reais e trinta e cinco centavos), em 2 (duas) parcelas
iguais de R$ 856,68 (oitocentos e cinquenta e seis reais e sessenta e oito centavos) cada
uma, sendo a primeira até 30 de outubro de 2022, referente ao primeiro semestre de 2022 e a
segunda até 30 de abril de 2023, referente ao segundo semestre de 2022, mediante exibição
de comprovantes de matrícula, frequência e aproveitamento.</t>
        </r>
      </text>
    </comment>
    <comment ref="O26" authorId="0">
      <text>
        <r>
          <rPr>
            <sz val="11"/>
            <color rgb="FF000000"/>
            <rFont val="Calibri"/>
            <scheme val="minor"/>
          </rPr>
          <t>as empresas
concederão ao trabalhador estudante, que tenha requerido a concessão desse benefício até o
dia 15 (quinze) do mesmo mês de fevereiro, um auxilio educação, que não terá caráter
salarial, no valor de R$ 197,44 (cento e noventa e sete reais e quarenta e quatro
centavos), desde que o empregado tenha mais de seis meses de serviços contínuos na
empresa e esteja matriculado em estabelecimento de ensino oficial, reconhecido de ensino
médio ou fundamental. Na hipótese de o trabalhador não ser estudante, o auxilio será
concedido a um filho deste, com idade até 14 (quatorze) anos e no valor de R$ 149,44 (cento
e quarenta e nove reais e quarenta e quatro centavos), desde que preenchidas todas as
condições acima capazes de conferirem ao trabalhador o direito à percepção do benefício.</t>
        </r>
      </text>
    </comment>
    <comment ref="O28" authorId="0">
      <text>
        <r>
          <rPr>
            <sz val="11"/>
            <color rgb="FF000000"/>
            <rFont val="Calibri"/>
            <scheme val="minor"/>
          </rPr>
          <t xml:space="preserve">s empresas indenizarão, a título de ajuda de custo educacional no mês de março de 2022 o valor de R$ 130,00 (cento e trinta reais), para o funcionário ou filho de funcionário, limitado a 2 (duas) cotas, desde que comprovem a matrícula no ensino fundamental e/ou comprovem aprovação no ano letivo anterior e nova matrícula, para compra de material escolar.
</t>
        </r>
      </text>
    </comment>
    <comment ref="O29" authorId="0">
      <text>
        <r>
          <rPr>
            <sz val="11"/>
            <color rgb="FF000000"/>
            <rFont val="Calibri"/>
            <scheme val="minor"/>
          </rPr>
          <t xml:space="preserve">CLÁUSULA DÉCIMA NONA - AUXÍLIO EDUCAÇÃO 
As empresas concederão ao trabalhador estudante, que tenha requerido a concessão do benefício até o dia 15 (quinze) do mês de março, um auxílio educação equivalente a R$ 459,52 (quatrocentos e cinquenta e nove reais  e cinquenta e dois centavos) dividido em 2 (duas) parcelas iguais, a primeira paga em março/2022 e a segunda em setembro/2022, desde que o empregado tenha mais de três meses de serviços contínuos na empresa e esteja matriculado em estabelecimento de ensino oficial ou reconhecido de primeiro ou segundo graus. Na hipótese de o trabalhador não ser estudante, o auxílio será concedido a 1 (um) filho deste, com idade até 18 (dezoito) anos e no valor equivalente a R$ 459,52 (quatrocentos e cinquenta e nove reais  e cinquenta e dois centavos), desde que preenchidas todas as condições acima capazes de conferirem no trabalhador o direito à percepção do benefício.
Parágrafo Primeiro: O referido valor será dividido em duas parcelas iguais e pago no final dos meses de março/2022 e de setembro/2022, desde que comprovada a frequência escolar e que estejam na qualidade de empregado ou filho deste, a mais de três meses na respectiva empresa.
</t>
        </r>
      </text>
    </comment>
    <comment ref="O31" authorId="0">
      <text>
        <r>
          <rPr>
            <sz val="11"/>
            <color rgb="FF000000"/>
            <rFont val="Calibri"/>
            <scheme val="minor"/>
          </rPr>
          <t>CLÁUSULA DÉCIMA SEGUNDA - AJUDA DE CUSTO AO ESTUDANTE
Aos empregados admitidos até 01.05.2021, e que estejam matriculados e frequentando estabelecimento de
ensino oficial ou reconhecido, em curso regular, as empresas concederão uma ajuda de custo anual, não
integrável ao salário, no valor equivalente a 80% (oitenta por cento) do salário normativo vigente por
ocasião de cada pagamento, em 2 (duas) parcelas iguais a 40% (quarenta por cento) cada uma, sendo a
primeira até 31 de agosto e a segunda até 30 de novembro do corrente ano, mediante exibição de
comprovantes de matrícula, frequência e aproveitamento
. O valor do salário normativo será de R$ 2.133,73 (dois mil cento e trinta e três reais e
setenta e três centavos) a partir de 01/02/2022.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9" authorId="0">
      <text>
        <r>
          <rPr>
            <sz val="11"/>
            <color rgb="FF000000"/>
            <rFont val="Calibri"/>
            <scheme val="minor"/>
          </rPr>
          <t>Anexo CXI da Medida Provisória n° 1.171/2023 que alterou o Anexo I-C à Lei nº 11.091, de 12/01/2005</t>
        </r>
      </text>
    </comment>
    <comment ref="C48" authorId="0">
      <text>
        <r>
          <rPr>
            <sz val="11"/>
            <color rgb="FF000000"/>
            <rFont val="Calibri"/>
            <scheme val="minor"/>
          </rPr>
          <t>»para o campus de URU adicional de 25% sobre o nimino nacional
»para o campus de panambi paga-se 
0,5 de adicional de 25% sobre o nimino nacional para cada posto,
	-Alex da Luz Pereira</t>
        </r>
      </text>
    </comment>
    <comment ref="J101" authorId="0">
      <text>
        <r>
          <rPr>
            <sz val="11"/>
            <color rgb="FF000000"/>
            <rFont val="Calibri"/>
            <scheme val="minor"/>
          </rPr>
          <t>Conforme previsto em CCT.
-Caso o campus verifique o não atendimento aos critérios 
deverá haver a glosa desta rubrica.</t>
        </r>
      </text>
    </comment>
    <comment ref="C121" authorId="0">
      <text>
        <r>
          <rPr>
            <sz val="11"/>
            <color rgb="FF000000"/>
            <rFont val="Calibri"/>
            <scheme val="minor"/>
          </rPr>
          <t>→NELCA - Núcleo de Apoio aos Compradores Públicos.
"José Hélio Justo - jose.justo@receita.fazenda.gov.br"
... em análise o TCU está equivocado com esse percentual de 0,194% para a prorrogação do APTrab. Mesmo partindo do TCU, temos, na planície, o direito de discordar, desde que devidamente fundamentado. E de revisarmos nosso entendimento se estivermos equivocados.
O TCU calculou o APTrab na prorrogação como se fosse APInd, ou seja, calculou 10% na prorrogação do valor provisionado em APTrab em 12 meses. Pensou e calculou exatamente como se faz na prorrogação com o  APInd de 30 dias em que 3 dias na prorrogação é 10% de 30 dias, ou seja, 3/30x100=10%, multiplicando a fórmula anual do APInd por 10%.
A filosofia do APTrab é completamente distinta do APInd.  Aqui é que está o equívoco.
O APInd se presta para provisionar somente 30 dias nos primeiros 12 meses de contrato, podendo ser acrescidos 3 dias a cada novo período (aliás, não é 3, depois 6, depois 9, depois 12, como tenho visto, pois assim provisionaríamos mais 30 dias ao finas dos 60 meses, sendo que se deve sempre manter os mesmos 3 dias a cada prorrogação, o que daria no máximo 12 dias na última prorrogação, pois, a cada prorrogação, a partir da segunda,  3 dias já foram provisionados nos 12 meses anteriores).
O APTrab serve para provisionar 7 dias ao final do contrato para o empregado procurar emprego  (1,94% significa a concessão de 7 dias para 100% dos empregados, ou seja, (7/30/12)x100), ou conceder os 7 dias após o término do contrato, sendo para a empresa a mesma despesa.
Pelo Acórdão, 0,194% na prorrogação do APTrab é como provisionar na prorrogação para o APTrab  0,7 dias, ou seja, 10% de 1,94% (1,94% representa 7 dias para 100% dos empregados), o que não faz o menor sentido.
Desenvolvi alguns slides sobre esse assunto, porém os estou revisando. Quando concluir posso divulgar se os colegas acharem interessante.
Esse assunto é muito árduo e complexo. Estou aberto ao contraditório. Juntos  aprendemos e crescemos. Por isso o NELCA tem todo esse valor, assim como seus mentores.
"Franklin Brasil"
Não faz sentido deixar só 10% no segundo ano do contrato, porque no Aviso Prévio Trabalhado aqueles 3 dias a mais no aviso não impactam os 7 dias de liberação. 
Mas, embora não concorde com o raciocínio do TCU, prefiro a simplificação. Se todo mundo usar 0,194% na prorrogação, simplifica, padroniza, reduz custos de transação. 
Além disso, esse percentual, embora equivocado, pode servir para equalizar uma distorção. A gente paga 1,94% ao mês no primeiro ano. Mas nesse primeiro ano a remuneração é X. Ficamos com a empresa por 5 anos. No último ano, a remuneração agora é (X + aumentos salariais). E é sobre (X + aumentos salariais) que a empresa vai pagar o APT. 
Essa diferença é minimizada com os 0,194% depois do primeiro ano.
E, sinceramente, o impacto desse elemento é tão pequeno que eu prefiro gastar energia em outros aspectos do contrato, que tenham maior relevância econômica. 
Prezado Franklin, obrigado por manter aceso o debate deste assunto, que penso ser muito importante pelo relato abaixo.
Um problema é que, S.M.J.,  o percentual de 0,194% prejudica a empresa, pois que, se 1,94% representam 7 dias de provisão em 1 ano, então, S.M.J., 0,194% representarão 0,7 dias de provisão por ano, quando a empresa teria direito a 3 dias por ano. Além de que o cálculo também se altera, pois que na fórmula o número de 7 dias não terá mais sentido na prorrogação. Será a provisão de 3 dias por ano sobre a remuneração de 1 mês inteiro e não mais a provisão de 7 dias. Ou seja, muda a filosofia na prorrogação no caso de inclusão dos 3 dias. Que inclusive, na prorrogação, deveria ter uma pequena alteração de nome para fins de entendimento.
O problema em questão não são os valores, que, como bem referiste, são modestos. Se fosse somente pelos valores, sinceramente, nem daria importância para o equívoco do TCU, pois tem outras rubricas mais significativas, como frisaste.
Para mim o importante é entender a filosofia de cada rubrica, para que serve, pois, caso contrário, poderão ocorrer problemas nas repactuações e/ou negociações por ocasião da prorrogação.
Se o servidor não entender a filosofia de cada rubrica, como, por exemplo, o que é custo renovável ou não (e os itens da Provisão para Rescisão se enquadram integralmente neste contexto) poderemos ocasionar prejuízos para as contratadas ou para a Administração.
Se eu não estiver equivocado (tomara que estivesse), o TCU incorreu em equívoco de interpretação da filosofia do Aviso Prévio Trabalhado e isso levará os servidores também a interpretar incorretamente a filosofia desta rubrica. Somente por isso minha preocupação.
Mais uma vez reitero, tens toda a razão quanto aos pequenos valores envolvidos, porém, entendo, S.M.J., o problema, neste caso concreto, não é o valor e sim a correta interpretação da filosofia desta rubrica.
"José Hélio Justo - jose.justo@receita.fazenda.gov.br"
Para mim, a dúvida é, em não tendo sido constatado nenhuma ocorrência de aviso prévio trabalhado no primeiro período de vigência do contrato, na prorrogação, dever-se-ia excluir os 7 dias da planilha, porém, dever-se-ia substituí-los por 3 dias devido à anualidade do contrato (pelos efeitos da Lei nº 12.506), e não 0,196% ou 0,7 dias como disse o TCU. Assim como no aviso prévio indenizado se exclui os 30 dias que são substituídos por 3 dias. Os 3 dias são devidos independentemente se trabalhado ou indenizado.
Outra dúvida é se esses 3 dias na prorrogação também devem ser acrescidos na linha dos 50% da multa sobre o FGTS e contribuição social, mesmo sendo de repercussão inexpressiva.
A Nota Técnica MP 652-2017 esclarece quase tudo, mas não tudo. Aliás, excelente nota técnica. Parabéns ao MPlanejamento.
https://www.gov.br/compras/pt-br/agente-publico/orientacoes-e-procedimentos/midia/notasei-652-2017.pdf</t>
        </r>
      </text>
    </comment>
    <comment ref="B238" authorId="0">
      <text>
        <r>
          <rPr>
            <sz val="11"/>
            <color rgb="FF000000"/>
            <rFont val="Calibri"/>
            <scheme val="minor"/>
          </rPr>
          <t>Decreto 11.117 
dispõe sobre a concessão de diárias no âmbito da administração federal direta, autárquica e fundacional.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C29" authorId="0">
      <text>
        <r>
          <rPr>
            <sz val="11"/>
            <color rgb="FF000000"/>
            <rFont val="Calibri"/>
            <scheme val="minor"/>
          </rPr>
          <t>Anexo CXI da Medida Provisória n° 1.171/2023 que alterou o Anexo I-C à Lei nº 11.091, de 12/01/2005</t>
        </r>
      </text>
    </comment>
    <comment ref="C48" authorId="0">
      <text>
        <r>
          <rPr>
            <sz val="11"/>
            <color rgb="FF000000"/>
            <rFont val="Calibri"/>
            <scheme val="minor"/>
          </rPr>
          <t>»para o campus de URU adicional de 25% sobre o nimino nacional
»para o campus de panambi paga-se 
0,5 de adicional de 25% sobre o nimino nacional para cada posto,
	-Alex da Luz Pereira</t>
        </r>
      </text>
    </comment>
    <comment ref="C121" authorId="0">
      <text>
        <r>
          <rPr>
            <sz val="11"/>
            <color rgb="FF000000"/>
            <rFont val="Calibri"/>
            <scheme val="minor"/>
          </rPr>
          <t>→NELCA - Núcleo de Apoio aos Compradores Públicos.
"José Hélio Justo - jose.justo@receita.fazenda.gov.br"
... em análise o TCU está equivocado com esse percentual de 0,194% para a prorrogação do APTrab. Mesmo partindo do TCU, temos, na planície, o direito de discordar, desde que devidamente fundamentado. E de revisarmos nosso entendimento se estivermos equivocados.
O TCU calculou o APTrab na prorrogação como se fosse APInd, ou seja, calculou 10% na prorrogação do valor provisionado em APTrab em 12 meses. Pensou e calculou exatamente como se faz na prorrogação com o  APInd de 30 dias em que 3 dias na prorrogação é 10% de 30 dias, ou seja, 3/30x100=10%, multiplicando a fórmula anual do APInd por 10%.
A filosofia do APTrab é completamente distinta do APInd.  Aqui é que está o equívoco.
O APInd se presta para provisionar somente 30 dias nos primeiros 12 meses de contrato, podendo ser acrescidos 3 dias a cada novo período (aliás, não é 3, depois 6, depois 9, depois 12, como tenho visto, pois assim provisionaríamos mais 30 dias ao finas dos 60 meses, sendo que se deve sempre manter os mesmos 3 dias a cada prorrogação, o que daria no máximo 12 dias na última prorrogação, pois, a cada prorrogação, a partir da segunda,  3 dias já foram provisionados nos 12 meses anteriores).
O APTrab serve para provisionar 7 dias ao final do contrato para o empregado procurar emprego  (1,94% significa a concessão de 7 dias para 100% dos empregados, ou seja, (7/30/12)x100), ou conceder os 7 dias após o término do contrato, sendo para a empresa a mesma despesa.
Pelo Acórdão, 0,194% na prorrogação do APTrab é como provisionar na prorrogação para o APTrab  0,7 dias, ou seja, 10% de 1,94% (1,94% representa 7 dias para 100% dos empregados), o que não faz o menor sentido.
Desenvolvi alguns slides sobre esse assunto, porém os estou revisando. Quando concluir posso divulgar se os colegas acharem interessante.
Esse assunto é muito árduo e complexo. Estou aberto ao contraditório. Juntos  aprendemos e crescemos. Por isso o NELCA tem todo esse valor, assim como seus mentores.
"Franklin Brasil"
Não faz sentido deixar só 10% no segundo ano do contrato, porque no Aviso Prévio Trabalhado aqueles 3 dias a mais no aviso não impactam os 7 dias de liberação. 
Mas, embora não concorde com o raciocínio do TCU, prefiro a simplificação. Se todo mundo usar 0,194% na prorrogação, simplifica, padroniza, reduz custos de transação. 
Além disso, esse percentual, embora equivocado, pode servir para equalizar uma distorção. A gente paga 1,94% ao mês no primeiro ano. Mas nesse primeiro ano a remuneração é X. Ficamos com a empresa por 5 anos. No último ano, a remuneração agora é (X + aumentos salariais). E é sobre (X + aumentos salariais) que a empresa vai pagar o APT. 
Essa diferença é minimizada com os 0,194% depois do primeiro ano.
E, sinceramente, o impacto desse elemento é tão pequeno que eu prefiro gastar energia em outros aspectos do contrato, que tenham maior relevância econômica. 
Prezado Franklin, obrigado por manter aceso o debate deste assunto, que penso ser muito importante pelo relato abaixo.
Um problema é que, S.M.J.,  o percentual de 0,194% prejudica a empresa, pois que, se 1,94% representam 7 dias de provisão em 1 ano, então, S.M.J., 0,194% representarão 0,7 dias de provisão por ano, quando a empresa teria direito a 3 dias por ano. Além de que o cálculo também se altera, pois que na fórmula o número de 7 dias não terá mais sentido na prorrogação. Será a provisão de 3 dias por ano sobre a remuneração de 1 mês inteiro e não mais a provisão de 7 dias. Ou seja, muda a filosofia na prorrogação no caso de inclusão dos 3 dias. Que inclusive, na prorrogação, deveria ter uma pequena alteração de nome para fins de entendimento.
O problema em questão não são os valores, que, como bem referiste, são modestos. Se fosse somente pelos valores, sinceramente, nem daria importância para o equívoco do TCU, pois tem outras rubricas mais significativas, como frisaste.
Para mim o importante é entender a filosofia de cada rubrica, para que serve, pois, caso contrário, poderão ocorrer problemas nas repactuações e/ou negociações por ocasião da prorrogação.
Se o servidor não entender a filosofia de cada rubrica, como, por exemplo, o que é custo renovável ou não (e os itens da Provisão para Rescisão se enquadram integralmente neste contexto) poderemos ocasionar prejuízos para as contratadas ou para a Administração.
Se eu não estiver equivocado (tomara que estivesse), o TCU incorreu em equívoco de interpretação da filosofia do Aviso Prévio Trabalhado e isso levará os servidores também a interpretar incorretamente a filosofia desta rubrica. Somente por isso minha preocupação.
Mais uma vez reitero, tens toda a razão quanto aos pequenos valores envolvidos, porém, entendo, S.M.J., o problema, neste caso concreto, não é o valor e sim a correta interpretação da filosofia desta rubrica.
"José Hélio Justo - jose.justo@receita.fazenda.gov.br"
Para mim, a dúvida é, em não tendo sido constatado nenhuma ocorrência de aviso prévio trabalhado no primeiro período de vigência do contrato, na prorrogação, dever-se-ia excluir os 7 dias da planilha, porém, dever-se-ia substituí-los por 3 dias devido à anualidade do contrato (pelos efeitos da Lei nº 12.506), e não 0,196% ou 0,7 dias como disse o TCU. Assim como no aviso prévio indenizado se exclui os 30 dias que são substituídos por 3 dias. Os 3 dias são devidos independentemente se trabalhado ou indenizado.
Outra dúvida é se esses 3 dias na prorrogação também devem ser acrescidos na linha dos 50% da multa sobre o FGTS e contribuição social, mesmo sendo de repercussão inexpressiva.
A Nota Técnica MP 652-2017 esclarece quase tudo, mas não tudo. Aliás, excelente nota técnica. Parabéns ao MPlanejamento.
https://www.gov.br/compras/pt-br/agente-publico/orientacoes-e-procedimentos/midia/notasei-652-2017.pdf</t>
        </r>
      </text>
    </comment>
    <comment ref="B238" authorId="0">
      <text>
        <r>
          <rPr>
            <sz val="11"/>
            <color rgb="FF000000"/>
            <rFont val="Calibri"/>
            <scheme val="minor"/>
          </rPr>
          <t>Decreto 11.117 
dispõe sobre a concessão de diárias no âmbito da administração federal direta, autárquica e fundacional.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C121" authorId="0">
      <text>
        <r>
          <rPr>
            <sz val="11"/>
            <color rgb="FF000000"/>
            <rFont val="Calibri"/>
            <scheme val="minor"/>
          </rPr>
          <t>→NELCA - Núcleo de Apoio aos Compradores Públicos.
"José Hélio Justo - jose.justo@receita.fazenda.gov.br"
... em análise o TCU está equivocado com esse percentual de 0,194% para a prorrogação do APTrab. Mesmo partindo do TCU, temos, na planície, o direito de discordar, desde que devidamente fundamentado. E de revisarmos nosso entendimento se estivermos equivocados.
O TCU calculou o APTrab na prorrogação como se fosse APInd, ou seja, calculou 10% na prorrogação do valor provisionado em APTrab em 12 meses. Pensou e calculou exatamente como se faz na prorrogação com o  APInd de 30 dias em que 3 dias na prorrogação é 10% de 30 dias, ou seja, 3/30x100=10%, multiplicando a fórmula anual do APInd por 10%.
A filosofia do APTrab é completamente distinta do APInd.  Aqui é que está o equívoco.
O APInd se presta para provisionar somente 30 dias nos primeiros 12 meses de contrato, podendo ser acrescidos 3 dias a cada novo período (aliás, não é 3, depois 6, depois 9, depois 12, como tenho visto, pois assim provisionaríamos mais 30 dias ao finas dos 60 meses, sendo que se deve sempre manter os mesmos 3 dias a cada prorrogação, o que daria no máximo 12 dias na última prorrogação, pois, a cada prorrogação, a partir da segunda,  3 dias já foram provisionados nos 12 meses anteriores).
O APTrab serve para provisionar 7 dias ao final do contrato para o empregado procurar emprego  (1,94% significa a concessão de 7 dias para 100% dos empregados, ou seja, (7/30/12)x100), ou conceder os 7 dias após o término do contrato, sendo para a empresa a mesma despesa.
Pelo Acórdão, 0,194% na prorrogação do APTrab é como provisionar na prorrogação para o APTrab  0,7 dias, ou seja, 10% de 1,94% (1,94% representa 7 dias para 100% dos empregados), o que não faz o menor sentido.
Desenvolvi alguns slides sobre esse assunto, porém os estou revisando. Quando concluir posso divulgar se os colegas acharem interessante.
Esse assunto é muito árduo e complexo. Estou aberto ao contraditório. Juntos  aprendemos e crescemos. Por isso o NELCA tem todo esse valor, assim como seus mentores.
"Franklin Brasil"
Não faz sentido deixar só 10% no segundo ano do contrato, porque no Aviso Prévio Trabalhado aqueles 3 dias a mais no aviso não impactam os 7 dias de liberação. 
Mas, embora não concorde com o raciocínio do TCU, prefiro a simplificação. Se todo mundo usar 0,194% na prorrogação, simplifica, padroniza, reduz custos de transação. 
Além disso, esse percentual, embora equivocado, pode servir para equalizar uma distorção. A gente paga 1,94% ao mês no primeiro ano. Mas nesse primeiro ano a remuneração é X. Ficamos com a empresa por 5 anos. No último ano, a remuneração agora é (X + aumentos salariais). E é sobre (X + aumentos salariais) que a empresa vai pagar o APT. 
Essa diferença é minimizada com os 0,194% depois do primeiro ano.
E, sinceramente, o impacto desse elemento é tão pequeno que eu prefiro gastar energia em outros aspectos do contrato, que tenham maior relevância econômica. 
Prezado Franklin, obrigado por manter aceso o debate deste assunto, que penso ser muito importante pelo relato abaixo.
Um problema é que, S.M.J.,  o percentual de 0,194% prejudica a empresa, pois que, se 1,94% representam 7 dias de provisão em 1 ano, então, S.M.J., 0,194% representarão 0,7 dias de provisão por ano, quando a empresa teria direito a 3 dias por ano. Além de que o cálculo também se altera, pois que na fórmula o número de 7 dias não terá mais sentido na prorrogação. Será a provisão de 3 dias por ano sobre a remuneração de 1 mês inteiro e não mais a provisão de 7 dias. Ou seja, muda a filosofia na prorrogação no caso de inclusão dos 3 dias. Que inclusive, na prorrogação, deveria ter uma pequena alteração de nome para fins de entendimento.
O problema em questão não são os valores, que, como bem referiste, são modestos. Se fosse somente pelos valores, sinceramente, nem daria importância para o equívoco do TCU, pois tem outras rubricas mais significativas, como frisaste.
Para mim o importante é entender a filosofia de cada rubrica, para que serve, pois, caso contrário, poderão ocorrer problemas nas repactuações e/ou negociações por ocasião da prorrogação.
Se o servidor não entender a filosofia de cada rubrica, como, por exemplo, o que é custo renovável ou não (e os itens da Provisão para Rescisão se enquadram integralmente neste contexto) poderemos ocasionar prejuízos para as contratadas ou para a Administração.
Se eu não estiver equivocado (tomara que estivesse), o TCU incorreu em equívoco de interpretação da filosofia do Aviso Prévio Trabalhado e isso levará os servidores também a interpretar incorretamente a filosofia desta rubrica. Somente por isso minha preocupação.
Mais uma vez reitero, tens toda a razão quanto aos pequenos valores envolvidos, porém, entendo, S.M.J., o problema, neste caso concreto, não é o valor e sim a correta interpretação da filosofia desta rubrica.
"José Hélio Justo - jose.justo@receita.fazenda.gov.br"
Para mim, a dúvida é, em não tendo sido constatado nenhuma ocorrência de aviso prévio trabalhado no primeiro período de vigência do contrato, na prorrogação, dever-se-ia excluir os 7 dias da planilha, porém, dever-se-ia substituí-los por 3 dias devido à anualidade do contrato (pelos efeitos da Lei nº 12.506), e não 0,196% ou 0,7 dias como disse o TCU. Assim como no aviso prévio indenizado se exclui os 30 dias que são substituídos por 3 dias. Os 3 dias são devidos independentemente se trabalhado ou indenizado.
Outra dúvida é se esses 3 dias na prorrogação também devem ser acrescidos na linha dos 50% da multa sobre o FGTS e contribuição social, mesmo sendo de repercussão inexpressiva.
A Nota Técnica MP 652-2017 esclarece quase tudo, mas não tudo. Aliás, excelente nota técnica. Parabéns ao MPlanejamento.
https://www.gov.br/compras/pt-br/agente-publico/orientacoes-e-procedimentos/midia/notasei-652-2017.pdf</t>
        </r>
      </text>
    </comment>
  </commentList>
</comments>
</file>

<file path=xl/comments5.xml><?xml version="1.0" encoding="utf-8"?>
<comments xmlns="http://schemas.openxmlformats.org/spreadsheetml/2006/main">
  <authors>
    <author/>
  </authors>
  <commentList>
    <comment ref="C121" authorId="0">
      <text>
        <r>
          <rPr>
            <sz val="11"/>
            <color rgb="FF000000"/>
            <rFont val="Calibri"/>
            <scheme val="minor"/>
          </rPr>
          <t>→NELCA - Núcleo de Apoio aos Compradores Públicos.
"José Hélio Justo - jose.justo@receita.fazenda.gov.br"
... em análise o TCU está equivocado com esse percentual de 0,194% para a prorrogação do APTrab. Mesmo partindo do TCU, temos, na planície, o direito de discordar, desde que devidamente fundamentado. E de revisarmos nosso entendimento se estivermos equivocados.
O TCU calculou o APTrab na prorrogação como se fosse APInd, ou seja, calculou 10% na prorrogação do valor provisionado em APTrab em 12 meses. Pensou e calculou exatamente como se faz na prorrogação com o  APInd de 30 dias em que 3 dias na prorrogação é 10% de 30 dias, ou seja, 3/30x100=10%, multiplicando a fórmula anual do APInd por 10%.
A filosofia do APTrab é completamente distinta do APInd.  Aqui é que está o equívoco.
O APInd se presta para provisionar somente 30 dias nos primeiros 12 meses de contrato, podendo ser acrescidos 3 dias a cada novo período (aliás, não é 3, depois 6, depois 9, depois 12, como tenho visto, pois assim provisionaríamos mais 30 dias ao finas dos 60 meses, sendo que se deve sempre manter os mesmos 3 dias a cada prorrogação, o que daria no máximo 12 dias na última prorrogação, pois, a cada prorrogação, a partir da segunda,  3 dias já foram provisionados nos 12 meses anteriores).
O APTrab serve para provisionar 7 dias ao final do contrato para o empregado procurar emprego  (1,94% significa a concessão de 7 dias para 100% dos empregados, ou seja, (7/30/12)x100), ou conceder os 7 dias após o término do contrato, sendo para a empresa a mesma despesa.
Pelo Acórdão, 0,194% na prorrogação do APTrab é como provisionar na prorrogação para o APTrab  0,7 dias, ou seja, 10% de 1,94% (1,94% representa 7 dias para 100% dos empregados), o que não faz o menor sentido.
Desenvolvi alguns slides sobre esse assunto, porém os estou revisando. Quando concluir posso divulgar se os colegas acharem interessante.
Esse assunto é muito árduo e complexo. Estou aberto ao contraditório. Juntos  aprendemos e crescemos. Por isso o NELCA tem todo esse valor, assim como seus mentores.
"Franklin Brasil"
Não faz sentido deixar só 10% no segundo ano do contrato, porque no Aviso Prévio Trabalhado aqueles 3 dias a mais no aviso não impactam os 7 dias de liberação. 
Mas, embora não concorde com o raciocínio do TCU, prefiro a simplificação. Se todo mundo usar 0,194% na prorrogação, simplifica, padroniza, reduz custos de transação. 
Além disso, esse percentual, embora equivocado, pode servir para equalizar uma distorção. A gente paga 1,94% ao mês no primeiro ano. Mas nesse primeiro ano a remuneração é X. Ficamos com a empresa por 5 anos. No último ano, a remuneração agora é (X + aumentos salariais). E é sobre (X + aumentos salariais) que a empresa vai pagar o APT. 
Essa diferença é minimizada com os 0,194% depois do primeiro ano.
E, sinceramente, o impacto desse elemento é tão pequeno que eu prefiro gastar energia em outros aspectos do contrato, que tenham maior relevância econômica. 
Prezado Franklin, obrigado por manter aceso o debate deste assunto, que penso ser muito importante pelo relato abaixo.
Um problema é que, S.M.J.,  o percentual de 0,194% prejudica a empresa, pois que, se 1,94% representam 7 dias de provisão em 1 ano, então, S.M.J., 0,194% representarão 0,7 dias de provisão por ano, quando a empresa teria direito a 3 dias por ano. Além de que o cálculo também se altera, pois que na fórmula o número de 7 dias não terá mais sentido na prorrogação. Será a provisão de 3 dias por ano sobre a remuneração de 1 mês inteiro e não mais a provisão de 7 dias. Ou seja, muda a filosofia na prorrogação no caso de inclusão dos 3 dias. Que inclusive, na prorrogação, deveria ter uma pequena alteração de nome para fins de entendimento.
O problema em questão não são os valores, que, como bem referiste, são modestos. Se fosse somente pelos valores, sinceramente, nem daria importância para o equívoco do TCU, pois tem outras rubricas mais significativas, como frisaste.
Para mim o importante é entender a filosofia de cada rubrica, para que serve, pois, caso contrário, poderão ocorrer problemas nas repactuações e/ou negociações por ocasião da prorrogação.
Se o servidor não entender a filosofia de cada rubrica, como, por exemplo, o que é custo renovável ou não (e os itens da Provisão para Rescisão se enquadram integralmente neste contexto) poderemos ocasionar prejuízos para as contratadas ou para a Administração.
Se eu não estiver equivocado (tomara que estivesse), o TCU incorreu em equívoco de interpretação da filosofia do Aviso Prévio Trabalhado e isso levará os servidores também a interpretar incorretamente a filosofia desta rubrica. Somente por isso minha preocupação.
Mais uma vez reitero, tens toda a razão quanto aos pequenos valores envolvidos, porém, entendo, S.M.J., o problema, neste caso concreto, não é o valor e sim a correta interpretação da filosofia desta rubrica.
"José Hélio Justo - jose.justo@receita.fazenda.gov.br"
Para mim, a dúvida é, em não tendo sido constatado nenhuma ocorrência de aviso prévio trabalhado no primeiro período de vigência do contrato, na prorrogação, dever-se-ia excluir os 7 dias da planilha, porém, dever-se-ia substituí-los por 3 dias devido à anualidade do contrato (pelos efeitos da Lei nº 12.506), e não 0,196% ou 0,7 dias como disse o TCU. Assim como no aviso prévio indenizado se exclui os 30 dias que são substituídos por 3 dias. Os 3 dias são devidos independentemente se trabalhado ou indenizado.
Outra dúvida é se esses 3 dias na prorrogação também devem ser acrescidos na linha dos 50% da multa sobre o FGTS e contribuição social, mesmo sendo de repercussão inexpressiva.
A Nota Técnica MP 652-2017 esclarece quase tudo, mas não tudo. Aliás, excelente nota técnica. Parabéns ao MPlanejamento.
https://www.gov.br/compras/pt-br/agente-publico/orientacoes-e-procedimentos/midia/notasei-652-2017.pdf</t>
        </r>
      </text>
    </comment>
  </commentList>
</comments>
</file>

<file path=xl/comments6.xml><?xml version="1.0" encoding="utf-8"?>
<comments xmlns="http://schemas.openxmlformats.org/spreadsheetml/2006/main">
  <authors>
    <author/>
  </authors>
  <commentList>
    <comment ref="C121" authorId="0">
      <text>
        <r>
          <rPr>
            <sz val="11"/>
            <color rgb="FF000000"/>
            <rFont val="Calibri"/>
            <scheme val="minor"/>
          </rPr>
          <t>→NELCA - Núcleo de Apoio aos Compradores Públicos.
"José Hélio Justo - jose.justo@receita.fazenda.gov.br"
... em análise o TCU está equivocado com esse percentual de 0,194% para a prorrogação do APTrab. Mesmo partindo do TCU, temos, na planície, o direito de discordar, desde que devidamente fundamentado. E de revisarmos nosso entendimento se estivermos equivocados.
O TCU calculou o APTrab na prorrogação como se fosse APInd, ou seja, calculou 10% na prorrogação do valor provisionado em APTrab em 12 meses. Pensou e calculou exatamente como se faz na prorrogação com o  APInd de 30 dias em que 3 dias na prorrogação é 10% de 30 dias, ou seja, 3/30x100=10%, multiplicando a fórmula anual do APInd por 10%.
A filosofia do APTrab é completamente distinta do APInd.  Aqui é que está o equívoco.
O APInd se presta para provisionar somente 30 dias nos primeiros 12 meses de contrato, podendo ser acrescidos 3 dias a cada novo período (aliás, não é 3, depois 6, depois 9, depois 12, como tenho visto, pois assim provisionaríamos mais 30 dias ao finas dos 60 meses, sendo que se deve sempre manter os mesmos 3 dias a cada prorrogação, o que daria no máximo 12 dias na última prorrogação, pois, a cada prorrogação, a partir da segunda,  3 dias já foram provisionados nos 12 meses anteriores).
O APTrab serve para provisionar 7 dias ao final do contrato para o empregado procurar emprego  (1,94% significa a concessão de 7 dias para 100% dos empregados, ou seja, (7/30/12)x100), ou conceder os 7 dias após o término do contrato, sendo para a empresa a mesma despesa.
Pelo Acórdão, 0,194% na prorrogação do APTrab é como provisionar na prorrogação para o APTrab  0,7 dias, ou seja, 10% de 1,94% (1,94% representa 7 dias para 100% dos empregados), o que não faz o menor sentido.
Desenvolvi alguns slides sobre esse assunto, porém os estou revisando. Quando concluir posso divulgar se os colegas acharem interessante.
Esse assunto é muito árduo e complexo. Estou aberto ao contraditório. Juntos  aprendemos e crescemos. Por isso o NELCA tem todo esse valor, assim como seus mentores.
"Franklin Brasil"
Não faz sentido deixar só 10% no segundo ano do contrato, porque no Aviso Prévio Trabalhado aqueles 3 dias a mais no aviso não impactam os 7 dias de liberação. 
Mas, embora não concorde com o raciocínio do TCU, prefiro a simplificação. Se todo mundo usar 0,194% na prorrogação, simplifica, padroniza, reduz custos de transação. 
Além disso, esse percentual, embora equivocado, pode servir para equalizar uma distorção. A gente paga 1,94% ao mês no primeiro ano. Mas nesse primeiro ano a remuneração é X. Ficamos com a empresa por 5 anos. No último ano, a remuneração agora é (X + aumentos salariais). E é sobre (X + aumentos salariais) que a empresa vai pagar o APT. 
Essa diferença é minimizada com os 0,194% depois do primeiro ano.
E, sinceramente, o impacto desse elemento é tão pequeno que eu prefiro gastar energia em outros aspectos do contrato, que tenham maior relevância econômica. 
Prezado Franklin, obrigado por manter aceso o debate deste assunto, que penso ser muito importante pelo relato abaixo.
Um problema é que, S.M.J.,  o percentual de 0,194% prejudica a empresa, pois que, se 1,94% representam 7 dias de provisão em 1 ano, então, S.M.J., 0,194% representarão 0,7 dias de provisão por ano, quando a empresa teria direito a 3 dias por ano. Além de que o cálculo também se altera, pois que na fórmula o número de 7 dias não terá mais sentido na prorrogação. Será a provisão de 3 dias por ano sobre a remuneração de 1 mês inteiro e não mais a provisão de 7 dias. Ou seja, muda a filosofia na prorrogação no caso de inclusão dos 3 dias. Que inclusive, na prorrogação, deveria ter uma pequena alteração de nome para fins de entendimento.
O problema em questão não são os valores, que, como bem referiste, são modestos. Se fosse somente pelos valores, sinceramente, nem daria importância para o equívoco do TCU, pois tem outras rubricas mais significativas, como frisaste.
Para mim o importante é entender a filosofia de cada rubrica, para que serve, pois, caso contrário, poderão ocorrer problemas nas repactuações e/ou negociações por ocasião da prorrogação.
Se o servidor não entender a filosofia de cada rubrica, como, por exemplo, o que é custo renovável ou não (e os itens da Provisão para Rescisão se enquadram integralmente neste contexto) poderemos ocasionar prejuízos para as contratadas ou para a Administração.
Se eu não estiver equivocado (tomara que estivesse), o TCU incorreu em equívoco de interpretação da filosofia do Aviso Prévio Trabalhado e isso levará os servidores também a interpretar incorretamente a filosofia desta rubrica. Somente por isso minha preocupação.
Mais uma vez reitero, tens toda a razão quanto aos pequenos valores envolvidos, porém, entendo, S.M.J., o problema, neste caso concreto, não é o valor e sim a correta interpretação da filosofia desta rubrica.
"José Hélio Justo - jose.justo@receita.fazenda.gov.br"
Para mim, a dúvida é, em não tendo sido constatado nenhuma ocorrência de aviso prévio trabalhado no primeiro período de vigência do contrato, na prorrogação, dever-se-ia excluir os 7 dias da planilha, porém, dever-se-ia substituí-los por 3 dias devido à anualidade do contrato (pelos efeitos da Lei nº 12.506), e não 0,196% ou 0,7 dias como disse o TCU. Assim como no aviso prévio indenizado se exclui os 30 dias que são substituídos por 3 dias. Os 3 dias são devidos independentemente se trabalhado ou indenizado.
Outra dúvida é se esses 3 dias na prorrogação também devem ser acrescidos na linha dos 50% da multa sobre o FGTS e contribuição social, mesmo sendo de repercussão inexpressiva.
A Nota Técnica MP 652-2017 esclarece quase tudo, mas não tudo. Aliás, excelente nota técnica. Parabéns ao MPlanejamento.
https://www.gov.br/compras/pt-br/agente-publico/orientacoes-e-procedimentos/midia/notasei-652-2017.pdf</t>
        </r>
      </text>
    </comment>
  </commentList>
</comments>
</file>

<file path=xl/comments7.xml><?xml version="1.0" encoding="utf-8"?>
<comments xmlns="http://schemas.openxmlformats.org/spreadsheetml/2006/main">
  <authors>
    <author/>
  </authors>
  <commentList>
    <comment ref="C121" authorId="0">
      <text>
        <r>
          <rPr>
            <sz val="11"/>
            <color rgb="FF000000"/>
            <rFont val="Calibri"/>
            <scheme val="minor"/>
          </rPr>
          <t>→NELCA - Núcleo de Apoio aos Compradores Públicos.
"José Hélio Justo - jose.justo@receita.fazenda.gov.br"
... em análise o TCU está equivocado com esse percentual de 0,194% para a prorrogação do APTrab. Mesmo partindo do TCU, temos, na planície, o direito de discordar, desde que devidamente fundamentado. E de revisarmos nosso entendimento se estivermos equivocados.
O TCU calculou o APTrab na prorrogação como se fosse APInd, ou seja, calculou 10% na prorrogação do valor provisionado em APTrab em 12 meses. Pensou e calculou exatamente como se faz na prorrogação com o  APInd de 30 dias em que 3 dias na prorrogação é 10% de 30 dias, ou seja, 3/30x100=10%, multiplicando a fórmula anual do APInd por 10%.
A filosofia do APTrab é completamente distinta do APInd.  Aqui é que está o equívoco.
O APInd se presta para provisionar somente 30 dias nos primeiros 12 meses de contrato, podendo ser acrescidos 3 dias a cada novo período (aliás, não é 3, depois 6, depois 9, depois 12, como tenho visto, pois assim provisionaríamos mais 30 dias ao finas dos 60 meses, sendo que se deve sempre manter os mesmos 3 dias a cada prorrogação, o que daria no máximo 12 dias na última prorrogação, pois, a cada prorrogação, a partir da segunda,  3 dias já foram provisionados nos 12 meses anteriores).
O APTrab serve para provisionar 7 dias ao final do contrato para o empregado procurar emprego  (1,94% significa a concessão de 7 dias para 100% dos empregados, ou seja, (7/30/12)x100), ou conceder os 7 dias após o término do contrato, sendo para a empresa a mesma despesa.
Pelo Acórdão, 0,194% na prorrogação do APTrab é como provisionar na prorrogação para o APTrab  0,7 dias, ou seja, 10% de 1,94% (1,94% representa 7 dias para 100% dos empregados), o que não faz o menor sentido.
Desenvolvi alguns slides sobre esse assunto, porém os estou revisando. Quando concluir posso divulgar se os colegas acharem interessante.
Esse assunto é muito árduo e complexo. Estou aberto ao contraditório. Juntos  aprendemos e crescemos. Por isso o NELCA tem todo esse valor, assim como seus mentores.
"Franklin Brasil"
Não faz sentido deixar só 10% no segundo ano do contrato, porque no Aviso Prévio Trabalhado aqueles 3 dias a mais no aviso não impactam os 7 dias de liberação. 
Mas, embora não concorde com o raciocínio do TCU, prefiro a simplificação. Se todo mundo usar 0,194% na prorrogação, simplifica, padroniza, reduz custos de transação. 
Além disso, esse percentual, embora equivocado, pode servir para equalizar uma distorção. A gente paga 1,94% ao mês no primeiro ano. Mas nesse primeiro ano a remuneração é X. Ficamos com a empresa por 5 anos. No último ano, a remuneração agora é (X + aumentos salariais). E é sobre (X + aumentos salariais) que a empresa vai pagar o APT. 
Essa diferença é minimizada com os 0,194% depois do primeiro ano.
E, sinceramente, o impacto desse elemento é tão pequeno que eu prefiro gastar energia em outros aspectos do contrato, que tenham maior relevância econômica. 
Prezado Franklin, obrigado por manter aceso o debate deste assunto, que penso ser muito importante pelo relato abaixo.
Um problema é que, S.M.J.,  o percentual de 0,194% prejudica a empresa, pois que, se 1,94% representam 7 dias de provisão em 1 ano, então, S.M.J., 0,194% representarão 0,7 dias de provisão por ano, quando a empresa teria direito a 3 dias por ano. Além de que o cálculo também se altera, pois que na fórmula o número de 7 dias não terá mais sentido na prorrogação. Será a provisão de 3 dias por ano sobre a remuneração de 1 mês inteiro e não mais a provisão de 7 dias. Ou seja, muda a filosofia na prorrogação no caso de inclusão dos 3 dias. Que inclusive, na prorrogação, deveria ter uma pequena alteração de nome para fins de entendimento.
O problema em questão não são os valores, que, como bem referiste, são modestos. Se fosse somente pelos valores, sinceramente, nem daria importância para o equívoco do TCU, pois tem outras rubricas mais significativas, como frisaste.
Para mim o importante é entender a filosofia de cada rubrica, para que serve, pois, caso contrário, poderão ocorrer problemas nas repactuações e/ou negociações por ocasião da prorrogação.
Se o servidor não entender a filosofia de cada rubrica, como, por exemplo, o que é custo renovável ou não (e os itens da Provisão para Rescisão se enquadram integralmente neste contexto) poderemos ocasionar prejuízos para as contratadas ou para a Administração.
Se eu não estiver equivocado (tomara que estivesse), o TCU incorreu em equívoco de interpretação da filosofia do Aviso Prévio Trabalhado e isso levará os servidores também a interpretar incorretamente a filosofia desta rubrica. Somente por isso minha preocupação.
Mais uma vez reitero, tens toda a razão quanto aos pequenos valores envolvidos, porém, entendo, S.M.J., o problema, neste caso concreto, não é o valor e sim a correta interpretação da filosofia desta rubrica.
"José Hélio Justo - jose.justo@receita.fazenda.gov.br"
Para mim, a dúvida é, em não tendo sido constatado nenhuma ocorrência de aviso prévio trabalhado no primeiro período de vigência do contrato, na prorrogação, dever-se-ia excluir os 7 dias da planilha, porém, dever-se-ia substituí-los por 3 dias devido à anualidade do contrato (pelos efeitos da Lei nº 12.506), e não 0,196% ou 0,7 dias como disse o TCU. Assim como no aviso prévio indenizado se exclui os 30 dias que são substituídos por 3 dias. Os 3 dias são devidos independentemente se trabalhado ou indenizado.
Outra dúvida é se esses 3 dias na prorrogação também devem ser acrescidos na linha dos 50% da multa sobre o FGTS e contribuição social, mesmo sendo de repercussão inexpressiva.
A Nota Técnica MP 652-2017 esclarece quase tudo, mas não tudo. Aliás, excelente nota técnica. Parabéns ao MPlanejamento.
https://www.gov.br/compras/pt-br/agente-publico/orientacoes-e-procedimentos/midia/notasei-652-2017.pdf</t>
        </r>
      </text>
    </comment>
  </commentList>
</comments>
</file>

<file path=xl/comments8.xml><?xml version="1.0" encoding="utf-8"?>
<comments xmlns="http://schemas.openxmlformats.org/spreadsheetml/2006/main">
  <authors>
    <author/>
  </authors>
  <commentList>
    <comment ref="C121" authorId="0">
      <text>
        <r>
          <rPr>
            <sz val="11"/>
            <color rgb="FF000000"/>
            <rFont val="Calibri"/>
            <scheme val="minor"/>
          </rPr>
          <t>→NELCA - Núcleo de Apoio aos Compradores Públicos.
"José Hélio Justo - jose.justo@receita.fazenda.gov.br"
... em análise o TCU está equivocado com esse percentual de 0,194% para a prorrogação do APTrab. Mesmo partindo do TCU, temos, na planície, o direito de discordar, desde que devidamente fundamentado. E de revisarmos nosso entendimento se estivermos equivocados.
O TCU calculou o APTrab na prorrogação como se fosse APInd, ou seja, calculou 10% na prorrogação do valor provisionado em APTrab em 12 meses. Pensou e calculou exatamente como se faz na prorrogação com o  APInd de 30 dias em que 3 dias na prorrogação é 10% de 30 dias, ou seja, 3/30x100=10%, multiplicando a fórmula anual do APInd por 10%.
A filosofia do APTrab é completamente distinta do APInd.  Aqui é que está o equívoco.
O APInd se presta para provisionar somente 30 dias nos primeiros 12 meses de contrato, podendo ser acrescidos 3 dias a cada novo período (aliás, não é 3, depois 6, depois 9, depois 12, como tenho visto, pois assim provisionaríamos mais 30 dias ao finas dos 60 meses, sendo que se deve sempre manter os mesmos 3 dias a cada prorrogação, o que daria no máximo 12 dias na última prorrogação, pois, a cada prorrogação, a partir da segunda,  3 dias já foram provisionados nos 12 meses anteriores).
O APTrab serve para provisionar 7 dias ao final do contrato para o empregado procurar emprego  (1,94% significa a concessão de 7 dias para 100% dos empregados, ou seja, (7/30/12)x100), ou conceder os 7 dias após o término do contrato, sendo para a empresa a mesma despesa.
Pelo Acórdão, 0,194% na prorrogação do APTrab é como provisionar na prorrogação para o APTrab  0,7 dias, ou seja, 10% de 1,94% (1,94% representa 7 dias para 100% dos empregados), o que não faz o menor sentido.
Desenvolvi alguns slides sobre esse assunto, porém os estou revisando. Quando concluir posso divulgar se os colegas acharem interessante.
Esse assunto é muito árduo e complexo. Estou aberto ao contraditório. Juntos  aprendemos e crescemos. Por isso o NELCA tem todo esse valor, assim como seus mentores.
"Franklin Brasil"
Não faz sentido deixar só 10% no segundo ano do contrato, porque no Aviso Prévio Trabalhado aqueles 3 dias a mais no aviso não impactam os 7 dias de liberação. 
Mas, embora não concorde com o raciocínio do TCU, prefiro a simplificação. Se todo mundo usar 0,194% na prorrogação, simplifica, padroniza, reduz custos de transação. 
Além disso, esse percentual, embora equivocado, pode servir para equalizar uma distorção. A gente paga 1,94% ao mês no primeiro ano. Mas nesse primeiro ano a remuneração é X. Ficamos com a empresa por 5 anos. No último ano, a remuneração agora é (X + aumentos salariais). E é sobre (X + aumentos salariais) que a empresa vai pagar o APT. 
Essa diferença é minimizada com os 0,194% depois do primeiro ano.
E, sinceramente, o impacto desse elemento é tão pequeno que eu prefiro gastar energia em outros aspectos do contrato, que tenham maior relevância econômica. 
Prezado Franklin, obrigado por manter aceso o debate deste assunto, que penso ser muito importante pelo relato abaixo.
Um problema é que, S.M.J.,  o percentual de 0,194% prejudica a empresa, pois que, se 1,94% representam 7 dias de provisão em 1 ano, então, S.M.J., 0,194% representarão 0,7 dias de provisão por ano, quando a empresa teria direito a 3 dias por ano. Além de que o cálculo também se altera, pois que na fórmula o número de 7 dias não terá mais sentido na prorrogação. Será a provisão de 3 dias por ano sobre a remuneração de 1 mês inteiro e não mais a provisão de 7 dias. Ou seja, muda a filosofia na prorrogação no caso de inclusão dos 3 dias. Que inclusive, na prorrogação, deveria ter uma pequena alteração de nome para fins de entendimento.
O problema em questão não são os valores, que, como bem referiste, são modestos. Se fosse somente pelos valores, sinceramente, nem daria importância para o equívoco do TCU, pois tem outras rubricas mais significativas, como frisaste.
Para mim o importante é entender a filosofia de cada rubrica, para que serve, pois, caso contrário, poderão ocorrer problemas nas repactuações e/ou negociações por ocasião da prorrogação.
Se o servidor não entender a filosofia de cada rubrica, como, por exemplo, o que é custo renovável ou não (e os itens da Provisão para Rescisão se enquadram integralmente neste contexto) poderemos ocasionar prejuízos para as contratadas ou para a Administração.
Se eu não estiver equivocado (tomara que estivesse), o TCU incorreu em equívoco de interpretação da filosofia do Aviso Prévio Trabalhado e isso levará os servidores também a interpretar incorretamente a filosofia desta rubrica. Somente por isso minha preocupação.
Mais uma vez reitero, tens toda a razão quanto aos pequenos valores envolvidos, porém, entendo, S.M.J., o problema, neste caso concreto, não é o valor e sim a correta interpretação da filosofia desta rubrica.
"José Hélio Justo - jose.justo@receita.fazenda.gov.br"
Para mim, a dúvida é, em não tendo sido constatado nenhuma ocorrência de aviso prévio trabalhado no primeiro período de vigência do contrato, na prorrogação, dever-se-ia excluir os 7 dias da planilha, porém, dever-se-ia substituí-los por 3 dias devido à anualidade do contrato (pelos efeitos da Lei nº 12.506), e não 0,196% ou 0,7 dias como disse o TCU. Assim como no aviso prévio indenizado se exclui os 30 dias que são substituídos por 3 dias. Os 3 dias são devidos independentemente se trabalhado ou indenizado.
Outra dúvida é se esses 3 dias na prorrogação também devem ser acrescidos na linha dos 50% da multa sobre o FGTS e contribuição social, mesmo sendo de repercussão inexpressiva.
A Nota Técnica MP 652-2017 esclarece quase tudo, mas não tudo. Aliás, excelente nota técnica. Parabéns ao MPlanejamento.
https://www.gov.br/compras/pt-br/agente-publico/orientacoes-e-procedimentos/midia/notasei-652-2017.pdf</t>
        </r>
      </text>
    </comment>
  </commentList>
</comments>
</file>

<file path=xl/sharedStrings.xml><?xml version="1.0" encoding="utf-8"?>
<sst xmlns="http://schemas.openxmlformats.org/spreadsheetml/2006/main" count="5600" uniqueCount="1265">
  <si>
    <t>DADOS-CADASTRAIS</t>
  </si>
  <si>
    <t>INDICE</t>
  </si>
  <si>
    <t>CAMPI</t>
  </si>
  <si>
    <t>CCT - CONVENCAO
COLETIVA</t>
  </si>
  <si>
    <t>ENTIDADES
INTEGRANTES</t>
  </si>
  <si>
    <t>DATA BASE</t>
  </si>
  <si>
    <t>vlr
V. A.</t>
  </si>
  <si>
    <t>vlr
V. Lanche</t>
  </si>
  <si>
    <r>
      <rPr>
        <b/>
        <sz val="11"/>
        <color rgb="FF000000"/>
        <rFont val="Calibri"/>
      </rPr>
      <t xml:space="preserve">% Desc.
V.A.
</t>
    </r>
    <r>
      <rPr>
        <b/>
        <sz val="11"/>
        <color rgb="FFFF0000"/>
        <rFont val="Calibri"/>
      </rPr>
      <t>s/custo</t>
    </r>
  </si>
  <si>
    <r>
      <rPr>
        <b/>
        <sz val="11"/>
        <color rgb="FF000000"/>
        <rFont val="Calibri"/>
      </rPr>
      <t xml:space="preserve">% Desc.
V. T.
</t>
    </r>
    <r>
      <rPr>
        <b/>
        <sz val="11"/>
        <color rgb="FFFF0000"/>
        <rFont val="Calibri"/>
      </rPr>
      <t>s/normativo</t>
    </r>
  </si>
  <si>
    <t>ANO DO 
ACORDO
COLETIVO</t>
  </si>
  <si>
    <t xml:space="preserve">BSF </t>
  </si>
  <si>
    <t>SEGURO
VIDA</t>
  </si>
  <si>
    <t>AUX
FUNERAL</t>
  </si>
  <si>
    <t>PREMIO
ASSIDUIDADE</t>
  </si>
  <si>
    <t>AUX 
EDUCACAO</t>
  </si>
  <si>
    <t>GRATIF
ANIVERSARIO</t>
  </si>
  <si>
    <t>OUTROS 2</t>
  </si>
  <si>
    <r>
      <rPr>
        <b/>
        <sz val="18"/>
        <color rgb="FF000000"/>
        <rFont val="Calibri"/>
      </rPr>
      <t xml:space="preserve">CBO_FUNCAO </t>
    </r>
    <r>
      <rPr>
        <sz val="18"/>
        <color rgb="FFFABF8F"/>
        <rFont val="Calibri"/>
      </rPr>
      <t>(espaço 31 carcteres na aba)</t>
    </r>
  </si>
  <si>
    <t>RS000947/2019-</t>
  </si>
  <si>
    <r>
      <rPr>
        <sz val="13"/>
        <color rgb="FF000000"/>
        <rFont val="Arial Narrow"/>
      </rPr>
      <t xml:space="preserve">SINDICATO DOS TRABALHADORES </t>
    </r>
    <r>
      <rPr>
        <b/>
        <sz val="13"/>
        <color rgb="FF000000"/>
        <rFont val="Arial Narrow"/>
      </rPr>
      <t>RURAIS</t>
    </r>
    <r>
      <rPr>
        <sz val="13"/>
        <color rgb="FF000000"/>
        <rFont val="Arial Narrow"/>
      </rPr>
      <t xml:space="preserve"> DE JULIO DE CASTILHOS, CNPJ n. 06.185.541/0001-18 × SINDICATO RURAL DE JULIO DE CASTILHOS, CNPJ n. 91.026.062/0001-28</t>
    </r>
  </si>
  <si>
    <t>01 de FEVEREIRO</t>
  </si>
  <si>
    <t>2394-25_Psicopedagogo</t>
  </si>
  <si>
    <t>RS000800/2019</t>
  </si>
  <si>
    <t>SINDICATO DOS OUTROS QUE NAO TEM SINDICATO</t>
  </si>
  <si>
    <t>2614-25_Interp.Ling.Sinais</t>
  </si>
  <si>
    <t>RS000900/2019</t>
  </si>
  <si>
    <t>3222-30_Aux.Enfermag</t>
  </si>
  <si>
    <t>RS005021/2021</t>
  </si>
  <si>
    <r>
      <rPr>
        <sz val="13"/>
        <color rgb="FF000000"/>
        <rFont val="Arial Narrow"/>
      </rPr>
      <t xml:space="preserve">SIND DAS EMPR DE </t>
    </r>
    <r>
      <rPr>
        <b/>
        <sz val="13"/>
        <color rgb="FF000000"/>
        <rFont val="Arial Narrow"/>
      </rPr>
      <t>ASSEIO</t>
    </r>
    <r>
      <rPr>
        <sz val="13"/>
        <color rgb="FF000000"/>
        <rFont val="Arial Narrow"/>
      </rPr>
      <t xml:space="preserve"> E CONSERVACAO DO EST DO R G S, CNPJ n. 87.078.325/0001-75, -
INDICATO INTERMUNICIPAL DOS EMPREGADOS EM EMPRESAS DE ASSEIO E CONSERVACAO E
SERVICOS TERCEIRIZADOS EM ASSEIO E CONSERVACAO NO RGS-SEEAC/RS, CNPJ n.
90.601.956/0001-31</t>
    </r>
  </si>
  <si>
    <t>01 de JANEIRO</t>
  </si>
  <si>
    <t>3224-15_Aux.Saude.bucal</t>
  </si>
  <si>
    <t>A.L.</t>
  </si>
  <si>
    <t xml:space="preserve">ALEGRETE </t>
  </si>
  <si>
    <t>RS002044/2021</t>
  </si>
  <si>
    <r>
      <rPr>
        <sz val="13"/>
        <color rgb="FF000000"/>
        <rFont val="Arial Narrow"/>
      </rPr>
      <t xml:space="preserve">FEDERACAO DOS TRAB INDUST </t>
    </r>
    <r>
      <rPr>
        <b/>
        <sz val="13"/>
        <color rgb="FF000000"/>
        <rFont val="Arial Narrow"/>
      </rPr>
      <t>CONSTRUÇÃO</t>
    </r>
    <r>
      <rPr>
        <sz val="13"/>
        <color rgb="FF000000"/>
        <rFont val="Arial Narrow"/>
      </rPr>
      <t xml:space="preserve"> MOBIL ESTADO RIO G SUL, CNPJ n. 92.963.974/0001-9 e SIND DAS IND DA CONSTRUCAO CIVIL NO ESTADO DO R G S, CNPJ n. 92.973.734/0001-75,</t>
    </r>
  </si>
  <si>
    <t>01 de MAIO</t>
  </si>
  <si>
    <t>3341-10_Insp.de.Alunos</t>
  </si>
  <si>
    <t>F.W.</t>
  </si>
  <si>
    <t xml:space="preserve">FREDERICO-WESTFALEN </t>
  </si>
  <si>
    <t>RS003993/2021</t>
  </si>
  <si>
    <r>
      <rPr>
        <sz val="13"/>
        <color rgb="FF000000"/>
        <rFont val="Arial Narrow"/>
      </rPr>
      <t xml:space="preserve">SIND DAS EMPR DE SEGURANCA E </t>
    </r>
    <r>
      <rPr>
        <b/>
        <sz val="13"/>
        <color rgb="FF000000"/>
        <rFont val="Arial Narrow"/>
      </rPr>
      <t>VIGILANCIA</t>
    </r>
    <r>
      <rPr>
        <sz val="13"/>
        <color rgb="FF000000"/>
        <rFont val="Arial Narrow"/>
      </rPr>
      <t xml:space="preserve"> DO EST DO R G S, CNPJ n. 87.004.982/0001-78, e
SIND PROFI VIGIL, EMPREG DE EMPR SEG E VIGIL DE PORTO ALEGRE E REGIAO
METROPOLITANA DO RGS, CNPJ n. 91.343.293/0001-65</t>
    </r>
  </si>
  <si>
    <t>4110-05_Aux.Administ.</t>
  </si>
  <si>
    <t>J.A.</t>
  </si>
  <si>
    <t>JAGUARI</t>
  </si>
  <si>
    <t>RS001505/2021</t>
  </si>
  <si>
    <r>
      <rPr>
        <sz val="13"/>
        <color rgb="FF000000"/>
        <rFont val="Arial Narrow"/>
      </rPr>
      <t xml:space="preserve">FEDERACAO DOS EMPREG.EM </t>
    </r>
    <r>
      <rPr>
        <b/>
        <sz val="13"/>
        <color rgb="FF000000"/>
        <rFont val="Arial Narrow"/>
      </rPr>
      <t>ENT.CULT.RECR.</t>
    </r>
    <r>
      <rPr>
        <sz val="13"/>
        <color rgb="FF000000"/>
        <rFont val="Arial Narrow"/>
      </rPr>
      <t>DE ASSIST.SOC. DE ORIENT. E FORM. PROF.DO EST.
DO RGS, CNPJ n. 05.208.719/0001-36, e
IND ENTID CULT RECR ASSOC ORIENT E FORM PROF EST RS , CNPJ n. 93.013.670/0001-23,</t>
    </r>
  </si>
  <si>
    <t>01 de ABRIL</t>
  </si>
  <si>
    <t>4110-10_Assist.Administ.</t>
  </si>
  <si>
    <t>J.C.</t>
  </si>
  <si>
    <t xml:space="preserve">JULIO-DE-CASTILHOS </t>
  </si>
  <si>
    <t>RS001689/2021</t>
  </si>
  <si>
    <r>
      <rPr>
        <sz val="13"/>
        <color rgb="FF000000"/>
        <rFont val="Arial Narrow"/>
      </rPr>
      <t xml:space="preserve">SINDICATO IND MET </t>
    </r>
    <r>
      <rPr>
        <b/>
        <sz val="13"/>
        <color rgb="FF000000"/>
        <rFont val="Arial Narrow"/>
      </rPr>
      <t>MECANICO</t>
    </r>
    <r>
      <rPr>
        <sz val="13"/>
        <color rgb="FF000000"/>
        <rFont val="Arial Narrow"/>
      </rPr>
      <t xml:space="preserve"> MAT ELETRICO DE SANTA ROSA, CNPJ n. 90.477.803/0001-24, 
E INDICATO DOS TRABALHADORES NAS INDUSTRIAS METALURGICAS, MECANICAS, DE MATERIAL
ELETRICO, E DE IMPLEMENTOS AGRICOLAS DE SANTA ROSA RS, CNPJ n. 89.391.775/0001-49</t>
    </r>
  </si>
  <si>
    <t>5134-25_Copeiro</t>
  </si>
  <si>
    <t>S.M.</t>
  </si>
  <si>
    <t>SANTA-MARIA</t>
  </si>
  <si>
    <t xml:space="preserve">JULIO-DE-CASTILHOS  </t>
  </si>
  <si>
    <r>
      <rPr>
        <sz val="13"/>
        <color rgb="FF000000"/>
        <rFont val="Arial Narrow"/>
      </rPr>
      <t xml:space="preserve">SIND PROF </t>
    </r>
    <r>
      <rPr>
        <b/>
        <sz val="13"/>
        <color rgb="FF000000"/>
        <rFont val="Arial Narrow"/>
      </rPr>
      <t xml:space="preserve">ENFERMAG </t>
    </r>
    <r>
      <rPr>
        <sz val="13"/>
        <color rgb="FF000000"/>
        <rFont val="Arial Narrow"/>
      </rPr>
      <t>TEC DUCH MAS EMP HOSP CASAS SAUDE RS, CNPJ n. 92.962.745/0001-50 ×
SINDICATO DOS HOSPITAIS BENEFICENTES RELIGIOSOS E FILANTROPICOS DO RIO GRANDE DO
SUL - SINDIBERF, CNPJ n. 95.179.792/0001-10</t>
    </r>
  </si>
  <si>
    <t>2 de ABRIL</t>
  </si>
  <si>
    <t>5143-20_Aux.de.Limpeza</t>
  </si>
  <si>
    <t>S.R.</t>
  </si>
  <si>
    <t xml:space="preserve">SANTA-ROSA </t>
  </si>
  <si>
    <t>RS001211/2022</t>
  </si>
  <si>
    <r>
      <rPr>
        <sz val="13"/>
        <color rgb="FF000000"/>
        <rFont val="Arial Narrow"/>
      </rPr>
      <t xml:space="preserve">FEDERACAO DOS EMPREG.EM </t>
    </r>
    <r>
      <rPr>
        <b/>
        <sz val="13"/>
        <color rgb="FF000000"/>
        <rFont val="Arial Narrow"/>
      </rPr>
      <t>ENT.CULT.RECR.</t>
    </r>
    <r>
      <rPr>
        <sz val="13"/>
        <color rgb="FF000000"/>
        <rFont val="Arial Narrow"/>
      </rPr>
      <t>DE ASSIST.SOC. DE ORIENT. E FORM. PROF.DO EST.
DO RGS, CNPJ n. 05.208.719/0001-36, e
IND ENTID CULT RECR ASSOC ORIENT E FORM PROF EST RS , CNPJ n. 93.013.670/0001-23,</t>
    </r>
  </si>
  <si>
    <t>5143-25_Trab.Manut.Edific.</t>
  </si>
  <si>
    <t>S.A.N</t>
  </si>
  <si>
    <t xml:space="preserve">SANTO-ANGELO </t>
  </si>
  <si>
    <t>RS000281/2022</t>
  </si>
  <si>
    <r>
      <rPr>
        <b/>
        <sz val="13"/>
        <color theme="1"/>
        <rFont val="Arial Narrow"/>
      </rPr>
      <t>ALEGRETE</t>
    </r>
    <r>
      <rPr>
        <sz val="13"/>
        <color theme="1"/>
        <rFont val="Arial Narrow"/>
      </rPr>
      <t xml:space="preserve">-SIND EMPRES DE SEGUR E </t>
    </r>
    <r>
      <rPr>
        <b/>
        <sz val="13"/>
        <color theme="1"/>
        <rFont val="Arial Narrow"/>
      </rPr>
      <t>VIGIL</t>
    </r>
    <r>
      <rPr>
        <sz val="13"/>
        <color theme="1"/>
        <rFont val="Arial Narrow"/>
      </rPr>
      <t xml:space="preserve"> DO RGS, CNPJ n. 87.004.982/0001-78, e
SIND EMPREG SEGUR VIG TRANSP VAL TRAB SERV SEG VIG SEG - ALEGRETE , CNPJ n. 91.551.036/0001-19</t>
    </r>
  </si>
  <si>
    <t>S</t>
  </si>
  <si>
    <t>5162-20_Cuidad.Alun.Saude</t>
  </si>
  <si>
    <t>S.A.</t>
  </si>
  <si>
    <t xml:space="preserve">SANTO-AUGUSTO </t>
  </si>
  <si>
    <t>RS001152/2022</t>
  </si>
  <si>
    <r>
      <rPr>
        <b/>
        <sz val="13"/>
        <color theme="1"/>
        <rFont val="Arial Narrow"/>
      </rPr>
      <t xml:space="preserve">URUGUAIANA </t>
    </r>
    <r>
      <rPr>
        <sz val="13"/>
        <color theme="1"/>
        <rFont val="Arial Narrow"/>
      </rPr>
      <t xml:space="preserve">SIND DAS EMPRES SEG </t>
    </r>
    <r>
      <rPr>
        <b/>
        <sz val="13"/>
        <color theme="1"/>
        <rFont val="Arial Narrow"/>
      </rPr>
      <t>VIGIL</t>
    </r>
    <r>
      <rPr>
        <sz val="13"/>
        <color theme="1"/>
        <rFont val="Arial Narrow"/>
      </rPr>
      <t xml:space="preserve">  DO RGS, CNPJ n. 87.004.982/0001-78, e SIND EMPREG SEGUR E VIGIL DE URUGUAIANA, CNPJ n. 92.463.421/0001-77, </t>
    </r>
  </si>
  <si>
    <t>5162-20_Cuidad.Alun.Educ.</t>
  </si>
  <si>
    <t>S.B.</t>
  </si>
  <si>
    <t xml:space="preserve">SAO-BORJA </t>
  </si>
  <si>
    <t>RS000847/2022</t>
  </si>
  <si>
    <r>
      <rPr>
        <b/>
        <sz val="13"/>
        <color theme="1"/>
        <rFont val="Arial Narrow"/>
      </rPr>
      <t xml:space="preserve">JULIO- SVS-StoAUG </t>
    </r>
    <r>
      <rPr>
        <sz val="13"/>
        <color theme="1"/>
        <rFont val="Arial Narrow"/>
      </rPr>
      <t xml:space="preserve">SIND DAS EMPR SEG. </t>
    </r>
    <r>
      <rPr>
        <b/>
        <sz val="13"/>
        <color theme="1"/>
        <rFont val="Arial Narrow"/>
      </rPr>
      <t>VIGILANCIA</t>
    </r>
    <r>
      <rPr>
        <sz val="13"/>
        <color theme="1"/>
        <rFont val="Arial Narrow"/>
      </rPr>
      <t xml:space="preserve"> DO RGS, CNPJ n. 87.004.982/0001-78, e  SIND EMPREG SEG E VIGIL DE PORTO ALEGRE E REGIAO METROPOLITANA DO RGS, CNPJ n. 91.343.293/0001-65, </t>
    </r>
  </si>
  <si>
    <t>5173-30 _Vigilante</t>
  </si>
  <si>
    <t>S.V.</t>
  </si>
  <si>
    <t>SAO-VICENTE-DO-SUL</t>
  </si>
  <si>
    <t>RS_PISO_REG/22</t>
  </si>
  <si>
    <r>
      <rPr>
        <b/>
        <sz val="13"/>
        <color theme="1"/>
        <rFont val="Arial Narrow"/>
      </rPr>
      <t>PANAMB</t>
    </r>
    <r>
      <rPr>
        <sz val="13"/>
        <color theme="1"/>
        <rFont val="Arial Narrow"/>
      </rPr>
      <t>I_AGROP.Fx-1</t>
    </r>
  </si>
  <si>
    <t>01 de OUTUBRO</t>
  </si>
  <si>
    <t>5174-10_Porteiro.de.Edific.</t>
  </si>
  <si>
    <t>U.R.</t>
  </si>
  <si>
    <t>URUGUAIANA</t>
  </si>
  <si>
    <t>RS000720/2022</t>
  </si>
  <si>
    <r>
      <rPr>
        <sz val="13"/>
        <color theme="1"/>
        <rFont val="Arial Narrow"/>
      </rPr>
      <t xml:space="preserve">SIND. RURAL </t>
    </r>
    <r>
      <rPr>
        <b/>
        <sz val="13"/>
        <color theme="1"/>
        <rFont val="Arial Narrow"/>
      </rPr>
      <t>SVS</t>
    </r>
    <r>
      <rPr>
        <sz val="13"/>
        <color theme="1"/>
        <rFont val="Arial Narrow"/>
      </rPr>
      <t>, CNPJ n 90.139.395/0001-09, e
SIND. DOS TRABALH. RURAIS SAO VICENTE DO SUL, CNPJ n. 89.830.855/0001-53</t>
    </r>
  </si>
  <si>
    <t>01 de MARÇO</t>
  </si>
  <si>
    <t>5174-20_Vigia</t>
  </si>
  <si>
    <t>RS001578/2022</t>
  </si>
  <si>
    <r>
      <rPr>
        <sz val="13"/>
        <color theme="1"/>
        <rFont val="Arial Narrow"/>
      </rPr>
      <t>SIND. TRABALHADORES RURAIS DE</t>
    </r>
    <r>
      <rPr>
        <b/>
        <sz val="13"/>
        <color theme="1"/>
        <rFont val="Arial Narrow"/>
      </rPr>
      <t xml:space="preserve"> ALEGRETE</t>
    </r>
    <r>
      <rPr>
        <sz val="13"/>
        <color theme="1"/>
        <rFont val="Arial Narrow"/>
      </rPr>
      <t>, CNPJ n. 87.537.429/0001-09, 
E SINDICATO RURAL DE</t>
    </r>
    <r>
      <rPr>
        <b/>
        <sz val="13"/>
        <color theme="1"/>
        <rFont val="Arial Narrow"/>
      </rPr>
      <t xml:space="preserve"> ALEGRETE</t>
    </r>
    <r>
      <rPr>
        <sz val="13"/>
        <color theme="1"/>
        <rFont val="Arial Narrow"/>
      </rPr>
      <t>, CNPJ n. 87.203.048/0001-85,</t>
    </r>
  </si>
  <si>
    <t>6210-05_Peao</t>
  </si>
  <si>
    <t>RS002503/2019</t>
  </si>
  <si>
    <r>
      <rPr>
        <sz val="13"/>
        <color theme="1"/>
        <rFont val="Arial Narrow"/>
      </rPr>
      <t xml:space="preserve">SIND TRAB RUAIS </t>
    </r>
    <r>
      <rPr>
        <b/>
        <sz val="13"/>
        <color theme="1"/>
        <rFont val="Arial Narrow"/>
      </rPr>
      <t>JAGUARI</t>
    </r>
    <r>
      <rPr>
        <sz val="13"/>
        <color theme="1"/>
        <rFont val="Arial Narrow"/>
      </rPr>
      <t xml:space="preserve"> 90.995.291/0001-98</t>
    </r>
  </si>
  <si>
    <t>6210-05_Capataz</t>
  </si>
  <si>
    <t>CCT2020-StoAngelo</t>
  </si>
  <si>
    <r>
      <rPr>
        <sz val="13"/>
        <color theme="1"/>
        <rFont val="Arial Narrow"/>
      </rPr>
      <t xml:space="preserve">SIND TRAB RURAIS DE </t>
    </r>
    <r>
      <rPr>
        <b/>
        <sz val="13"/>
        <color theme="1"/>
        <rFont val="Arial Narrow"/>
      </rPr>
      <t>SANTO ANGELO</t>
    </r>
    <r>
      <rPr>
        <sz val="13"/>
        <color theme="1"/>
        <rFont val="Arial Narrow"/>
      </rPr>
      <t xml:space="preserve"> 96.211.925/0001-50</t>
    </r>
  </si>
  <si>
    <t>6210-05_Trabalh.Agropec.Geral</t>
  </si>
  <si>
    <t>RS000947/2019</t>
  </si>
  <si>
    <r>
      <rPr>
        <sz val="13"/>
        <color theme="1"/>
        <rFont val="Arial Narrow"/>
      </rPr>
      <t xml:space="preserve">SINDICATO DOS TRABALHADORES </t>
    </r>
    <r>
      <rPr>
        <b/>
        <sz val="13"/>
        <color theme="1"/>
        <rFont val="Arial Narrow"/>
      </rPr>
      <t>RURAIS</t>
    </r>
    <r>
      <rPr>
        <sz val="13"/>
        <color theme="1"/>
        <rFont val="Arial Narrow"/>
      </rPr>
      <t xml:space="preserve"> DE JULIO DE CASTILHOS, CNPJ n. 06.185.541/0001-18 × SINDICATO RURAL DE JULIO DE CASTILHOS, CNPJ n. 91.026.062/0001-28</t>
    </r>
  </si>
  <si>
    <t>6220-10_Jardineiro</t>
  </si>
  <si>
    <t>RS002283/2022</t>
  </si>
  <si>
    <r>
      <rPr>
        <sz val="13"/>
        <color rgb="FF000000"/>
        <rFont val="Arial Narrow"/>
      </rPr>
      <t xml:space="preserve">SIND. IND. </t>
    </r>
    <r>
      <rPr>
        <b/>
        <sz val="13"/>
        <color rgb="FF000000"/>
        <rFont val="Arial Narrow"/>
      </rPr>
      <t>METALURG</t>
    </r>
    <r>
      <rPr>
        <sz val="13"/>
        <color rgb="FF000000"/>
        <rFont val="Arial Narrow"/>
      </rPr>
      <t>.MECAN.RS, CNPJ 92.954.072/0001-96 × FED.  TRABALH. METALURG., MECANICOS* RS, CNPJ n. 08.610.653/0001-02</t>
    </r>
  </si>
  <si>
    <t>6410-10_Oper.Máq.B.Prod.Agríc.</t>
  </si>
  <si>
    <t>RS002374/2022</t>
  </si>
  <si>
    <r>
      <rPr>
        <b/>
        <sz val="13"/>
        <color rgb="FF000000"/>
        <rFont val="Arial Narrow"/>
      </rPr>
      <t>FETICON</t>
    </r>
    <r>
      <rPr>
        <b/>
        <sz val="13"/>
        <color rgb="FF000000"/>
        <rFont val="Arial Narrow"/>
      </rPr>
      <t xml:space="preserve"> </t>
    </r>
    <r>
      <rPr>
        <sz val="13"/>
        <color rgb="FF000000"/>
        <rFont val="Arial Narrow"/>
      </rPr>
      <t>SIND.</t>
    </r>
    <r>
      <rPr>
        <b/>
        <sz val="13"/>
        <color rgb="FF000000"/>
        <rFont val="Arial Narrow"/>
      </rPr>
      <t>TRAB.IND.CONSTR.</t>
    </r>
    <r>
      <rPr>
        <sz val="13"/>
        <color rgb="FF000000"/>
        <rFont val="Arial Narrow"/>
      </rPr>
      <t>Manut.Predial_92.963.974_e_ SIND DAS IND DA CONSTRUCAO CIVIL NO ESTADO DO R G S, CNPJ n. 92.973.734/0001-75,</t>
    </r>
  </si>
  <si>
    <t>6410-15_Tratorista</t>
  </si>
  <si>
    <t>RS000052/2022</t>
  </si>
  <si>
    <r>
      <rPr>
        <sz val="13"/>
        <color rgb="FF000000"/>
        <rFont val="Arial Narrow"/>
      </rPr>
      <t>SIND DAS EMPR DE</t>
    </r>
    <r>
      <rPr>
        <b/>
        <sz val="13"/>
        <color rgb="FF000000"/>
        <rFont val="Arial Narrow"/>
      </rPr>
      <t xml:space="preserve"> </t>
    </r>
    <r>
      <rPr>
        <b/>
        <sz val="13"/>
        <color rgb="FF000000"/>
        <rFont val="Arial Narrow"/>
      </rPr>
      <t>ASSEIO</t>
    </r>
    <r>
      <rPr>
        <b/>
        <sz val="13"/>
        <color rgb="FF000000"/>
        <rFont val="Arial Narrow"/>
      </rPr>
      <t xml:space="preserve"> E CONSERV. </t>
    </r>
    <r>
      <rPr>
        <b/>
        <sz val="13"/>
        <color rgb="FF000000"/>
        <rFont val="Arial Narrow"/>
      </rPr>
      <t>SM</t>
    </r>
    <r>
      <rPr>
        <sz val="13"/>
        <color rgb="FF000000"/>
        <rFont val="Arial Narrow"/>
      </rPr>
      <t xml:space="preserve"> , CNPJ n. 87.078.325/0001-75,
SIND. TRAB EM SERV. TERCEIR, EMP DE ASSEIO E CONS LIMP - SM CNPJ n. 02.521.257/0001-14,</t>
    </r>
  </si>
  <si>
    <t>6410-15_Tratorista.Agríc.</t>
  </si>
  <si>
    <t xml:space="preserve">RS001237/2022 </t>
  </si>
  <si>
    <r>
      <rPr>
        <sz val="13"/>
        <color rgb="FF000000"/>
        <rFont val="Arial Narrow"/>
      </rPr>
      <t>SIND.</t>
    </r>
    <r>
      <rPr>
        <b/>
        <sz val="13"/>
        <color rgb="FF000000"/>
        <rFont val="Arial Narrow"/>
      </rPr>
      <t xml:space="preserve"> INDUST.MARCENARIA </t>
    </r>
    <r>
      <rPr>
        <sz val="13"/>
        <color rgb="FF000000"/>
        <rFont val="Arial Narrow"/>
      </rPr>
      <t>RS CNPJ n. 92.953.975/0001-52 e FED. TRAB INDUST CONST MOBIL RS, CNPJ n. 92.963.974/0001-99</t>
    </r>
  </si>
  <si>
    <t>7152-10_Pedreiro</t>
  </si>
  <si>
    <t>RS000207/2022</t>
  </si>
  <si>
    <r>
      <rPr>
        <sz val="13"/>
        <color rgb="FF000000"/>
        <rFont val="Arial Narrow"/>
      </rPr>
      <t xml:space="preserve">FED TRAB IND. </t>
    </r>
    <r>
      <rPr>
        <b/>
        <sz val="13"/>
        <color rgb="FF000000"/>
        <rFont val="Arial Narrow"/>
      </rPr>
      <t>CONSTR (SVS)</t>
    </r>
    <r>
      <rPr>
        <sz val="13"/>
        <color rgb="FF000000"/>
        <rFont val="Arial Narrow"/>
      </rPr>
      <t xml:space="preserve"> MOBIL RS CNPJ n. 92.963.974/0001-99 e SIND.DA INDUST DA CONSTRUCAO CIVIL SM regiao , CNPJ n. 01.275.003/0001-09</t>
    </r>
  </si>
  <si>
    <t>7156-15_Eletricist.de.Instal.</t>
  </si>
  <si>
    <r>
      <rPr>
        <sz val="13"/>
        <color rgb="FF000000"/>
        <rFont val="&quot;Arial Narrow&quot;, Arial"/>
      </rPr>
      <t xml:space="preserve">FED. DOS EMPREG. </t>
    </r>
    <r>
      <rPr>
        <u/>
        <sz val="13"/>
        <color rgb="FF000000"/>
        <rFont val="&quot;Arial Narrow&quot;, Arial"/>
      </rPr>
      <t>ENT</t>
    </r>
    <r>
      <rPr>
        <b/>
        <u/>
        <sz val="13"/>
        <color rgb="FF000000"/>
        <rFont val="&quot;Arial Narrow&quot;, Arial"/>
      </rPr>
      <t>.CULT</t>
    </r>
    <r>
      <rPr>
        <u/>
        <sz val="13"/>
        <color rgb="FF000000"/>
        <rFont val="&quot;Arial Narrow&quot;, Arial"/>
      </rPr>
      <t>.RECR.DE</t>
    </r>
    <r>
      <rPr>
        <sz val="13"/>
        <color rgb="FF000000"/>
        <rFont val="&quot;Arial Narrow&quot;, Arial"/>
      </rPr>
      <t xml:space="preserve"> ASSIST.SOC. DE ORIENT. E FORM. PROF.DO EST. DO RGS, CNPJ n. 05.208.719/0001-36</t>
    </r>
  </si>
  <si>
    <t>01º de abril</t>
  </si>
  <si>
    <t>7244-40_Serralheiro</t>
  </si>
  <si>
    <t>RS000657/2022</t>
  </si>
  <si>
    <t>SIND.TRAB.IND.METAL.
MEC.- 06.208.278/0001-35</t>
  </si>
  <si>
    <t>01 de Maio</t>
  </si>
  <si>
    <t>7711-05_Marceneiro</t>
  </si>
  <si>
    <t>TABELA_nivel-E</t>
  </si>
  <si>
    <t>SEM CCT</t>
  </si>
  <si>
    <t>N</t>
  </si>
  <si>
    <t>7823-05_Motor.Carro.Passeio</t>
  </si>
  <si>
    <t>7825-10_Motor.Geral</t>
  </si>
  <si>
    <t>9511-05_Eletr.Man.Eletroeletr.</t>
  </si>
  <si>
    <t>A NÃO TEM MAIS POSTOS-1</t>
  </si>
  <si>
    <t>A NÃO TEM MAIS POSTOS-2</t>
  </si>
  <si>
    <t>A NÃO TEM MAIS POSTOS-3</t>
  </si>
  <si>
    <t>A NÃO TEM MAIS POSTOS-4</t>
  </si>
  <si>
    <t>A NÃO TEM MAIS POSTOS-5</t>
  </si>
  <si>
    <t>A NÃO TEM MAIS POSTOS-6</t>
  </si>
  <si>
    <t>A NÃO TEM MAIS POSTOS-7</t>
  </si>
  <si>
    <t>A NÃO TEM MAIS POSTOS-8</t>
  </si>
  <si>
    <t>A NÃO TEM MAIS POSTOS-9</t>
  </si>
  <si>
    <t>A NÃO TEM MAIS POSTOS-10</t>
  </si>
  <si>
    <t>A NÃO TEM MAIS POSTOS-11</t>
  </si>
  <si>
    <t>A NÃO TEM MAIS POSTOS-12</t>
  </si>
  <si>
    <t>A NÃO TEM MAIS POSTOS-13</t>
  </si>
  <si>
    <t>A NÃO TEM MAIS POSTOS-14</t>
  </si>
  <si>
    <t>A NÃO TEM MAIS POSTOS-15</t>
  </si>
  <si>
    <t>CLIQUE NA RESPECTIVA CAIXA 
PARA  APLICAR FILTROS AS COLUNAS</t>
  </si>
  <si>
    <t>Opção 2</t>
  </si>
  <si>
    <t>CAMPUS.CONTRATANTE</t>
  </si>
  <si>
    <t>@</t>
  </si>
  <si>
    <t>UNIDADES CONTRATANTES</t>
  </si>
  <si>
    <t xml:space="preserve"> MUNICIPIO Vlr</t>
  </si>
  <si>
    <t xml:space="preserve"> S E R V I Ç O S     -    INTERPRETE DE LIBRAS e SINAIS </t>
  </si>
  <si>
    <t>UG</t>
  </si>
  <si>
    <t>CNPJ</t>
  </si>
  <si>
    <t>NOME</t>
  </si>
  <si>
    <t>R$ 
Vlr Passagem
 Urbana - VT</t>
  </si>
  <si>
    <t>Indice
 ISS</t>
  </si>
  <si>
    <t>2614-25_INTERP.LIBRAS_30hs</t>
  </si>
  <si>
    <t>2614-25_INTERP.LIBRAS_20hs</t>
  </si>
  <si>
    <t>A NÃO TEM MAIS POSTOS-00</t>
  </si>
  <si>
    <t>A NÃO TEM MAIS POSTOS-22</t>
  </si>
  <si>
    <t>A NÃO TEM MAIS POSTOS-33</t>
  </si>
  <si>
    <t>A NÃO TEM MAIS POSTOS-44</t>
  </si>
  <si>
    <t>A NÃO TEM MAIS POSTOS-55</t>
  </si>
  <si>
    <t>A NÃO TEM MAIS POSTOS-66</t>
  </si>
  <si>
    <t>A NÃO TEM MAIS POSTOS-77</t>
  </si>
  <si>
    <t>A NÃO TEM MAIS POSTOS-88</t>
  </si>
  <si>
    <t>A NÃO TEM MAIS POSTOS-99</t>
  </si>
  <si>
    <t>QUANTIDADE</t>
  </si>
  <si>
    <t>Participa da 
escala de PLANTOES</t>
  </si>
  <si>
    <t>CONVENCAO
 COLETIVA
 DE TRABALHO</t>
  </si>
  <si>
    <t>SALARIO
NORMATIVO</t>
  </si>
  <si>
    <t>% BASE ADICIONAL FUNÇÃO</t>
  </si>
  <si>
    <t>QUANTIDADE
DE PLANTOES
pelos 52
SABADOS
no ano
para hs a 50%</t>
  </si>
  <si>
    <t>QUANTIDADE
DE PLANTOES
pelos 52
DOMINGOS 
+ 12 FERIADOS
no ano
para hs a 100%</t>
  </si>
  <si>
    <t>DIAS
VALE
TRANSP.</t>
  </si>
  <si>
    <t>DIAS
DE
VALE
ALIMENT</t>
  </si>
  <si>
    <t>ADICIONAL 
NOTURNO</t>
  </si>
  <si>
    <t>QUANTOIDA DE PLANTONISTAS POR DIA 50%</t>
  </si>
  <si>
    <t>QUANTOIDA DE PLANTONISTAS POR DIA 100%</t>
  </si>
  <si>
    <t xml:space="preserve">JORNADA </t>
  </si>
  <si>
    <t>JORNADA</t>
  </si>
  <si>
    <t>QUANTIDADE
DE PLANTOES
pelos 54
SABADOS
no ano
para hs a 50%</t>
  </si>
  <si>
    <t>QUANTIDADE
DE PLANTOES
pelos 54
DOMINGOS 
+ 12 FERIADOS
no ano
para hs a 100%</t>
  </si>
  <si>
    <t>SALARIO
BASE</t>
  </si>
  <si>
    <t>outros</t>
  </si>
  <si>
    <t>QUANTIDADE
DE PANTOES
pelos 54
SABADOS
no ano
para hs a 50%</t>
  </si>
  <si>
    <t>SEM</t>
  </si>
  <si>
    <t>MINIMO NACIONAL</t>
  </si>
  <si>
    <t>SALARIO NORMATIVO</t>
  </si>
  <si>
    <t>%</t>
  </si>
  <si>
    <t>INSALUBR.</t>
  </si>
  <si>
    <t>ADICIONAL</t>
  </si>
  <si>
    <t>PERCENTUAL</t>
  </si>
  <si>
    <t xml:space="preserve">SEMANAL </t>
  </si>
  <si>
    <t>10-662-072-0004-09</t>
  </si>
  <si>
    <t>SEM ADICIONAL DE FUNÇÃO</t>
  </si>
  <si>
    <t>SEM ADICIONAL DE RISCO</t>
  </si>
  <si>
    <t>INSALUB S/NORMATIVO</t>
  </si>
  <si>
    <t>INSALUB S/MIN. NACION.</t>
  </si>
  <si>
    <t>INSALUB S/MINIMO</t>
  </si>
  <si>
    <t>22-968-289-0001-70</t>
  </si>
  <si>
    <t>10-662-072-0009-05</t>
  </si>
  <si>
    <t>10-662-072-0002-39</t>
  </si>
  <si>
    <t>10-662-072-0007-43</t>
  </si>
  <si>
    <t xml:space="preserve">PANAMBI </t>
  </si>
  <si>
    <t>10-662-072-0001-58</t>
  </si>
  <si>
    <t>10-662-072-0008-24</t>
  </si>
  <si>
    <t>10-662-072-0010-49</t>
  </si>
  <si>
    <t>10-662-072-0005-81</t>
  </si>
  <si>
    <t>10-662-072-0006-62</t>
  </si>
  <si>
    <t>10-662-072-0003-10</t>
  </si>
  <si>
    <t>ADIC. FUNÇÃO S/NORMATIVO</t>
  </si>
  <si>
    <t>CBO_FUNCAO ( 31 carcteres aba) A CONTRATAR</t>
  </si>
  <si>
    <t>ADIC. FUNÇÃO S/MINIMO NACION</t>
  </si>
  <si>
    <t>n feriados</t>
  </si>
  <si>
    <t>noite</t>
  </si>
  <si>
    <t>dividido por 12</t>
  </si>
  <si>
    <t>PERICULOSIDADE</t>
  </si>
  <si>
    <t>dividido por n funcio</t>
  </si>
  <si>
    <t xml:space="preserve">nomes das abas </t>
  </si>
  <si>
    <t>FUNCAO() ABAS ()</t>
  </si>
  <si>
    <t>ADIC. FUNÇÃO S/piso  REGIONAL</t>
  </si>
  <si>
    <t>frederico 100% so feriado</t>
  </si>
  <si>
    <t>no caso somente sao vitente tem UM peao que nao faz plantoes</t>
  </si>
  <si>
    <t xml:space="preserve">TABELA BASE </t>
  </si>
  <si>
    <t>frederico so 12 ferias 100%</t>
  </si>
  <si>
    <t>TESTE 2</t>
  </si>
  <si>
    <t>TESTE 3</t>
  </si>
  <si>
    <t>TESTE 4</t>
  </si>
  <si>
    <t>6210-05_CAPATAZ-Encarrga_44hs</t>
  </si>
  <si>
    <t>TESTE 5</t>
  </si>
  <si>
    <t>6210-05_PEAO-Trab.Agropc_44hs</t>
  </si>
  <si>
    <t>TESTE 6</t>
  </si>
  <si>
    <t>6410-15_TRATORISTA-Geral_44hs</t>
  </si>
  <si>
    <t>TESTE 7</t>
  </si>
  <si>
    <t>TESTE 8</t>
  </si>
  <si>
    <t>TESTE 9</t>
  </si>
  <si>
    <t>TESTE 10</t>
  </si>
  <si>
    <t>TESTE 11</t>
  </si>
  <si>
    <t>TESTE 12</t>
  </si>
  <si>
    <t>1-ABA-DE-CARREGAMENTO</t>
  </si>
  <si>
    <t>Ministério da Educação</t>
  </si>
  <si>
    <t>Secretaria de Educação Tecnológica</t>
  </si>
  <si>
    <t>Instituto Federal de Educação, Ciência e Tecnologia Farroupilha - IFFar</t>
  </si>
  <si>
    <t>DADOS DA LICITAÇÃO</t>
  </si>
  <si>
    <t>Descrição do serviço:</t>
  </si>
  <si>
    <t>Processo:</t>
  </si>
  <si>
    <t>Licitação:</t>
  </si>
  <si>
    <t>Campus/Município/UF da prestação do serviço:</t>
  </si>
  <si>
    <t>« ←▬     SELECIONE</t>
  </si>
  <si>
    <t>Endereço</t>
  </si>
  <si>
    <t>Dia/Hora:</t>
  </si>
  <si>
    <t>Razão Social:</t>
  </si>
  <si>
    <t>CNPJ:</t>
  </si>
  <si>
    <t>Responsável pela Empresa:</t>
  </si>
  <si>
    <t xml:space="preserve">Contato </t>
  </si>
  <si>
    <t>Telefone</t>
  </si>
  <si>
    <t>E-mail</t>
  </si>
  <si>
    <t>CPF do Responsável:</t>
  </si>
  <si>
    <t>Cargo ou Função:</t>
  </si>
  <si>
    <t>REGIME DE TRIBUTAÇÃO DA EMPRESA</t>
  </si>
  <si>
    <t>% ALIQUOTA PIS</t>
  </si>
  <si>
    <t>% ALIQUOTA COFINS</t>
  </si>
  <si>
    <r>
      <rPr>
        <sz val="10"/>
        <color theme="1"/>
        <rFont val="Arial"/>
      </rPr>
      <t xml:space="preserve">Lucro Real (Digite - </t>
    </r>
    <r>
      <rPr>
        <b/>
        <sz val="10"/>
        <color theme="1"/>
        <rFont val="Arial"/>
      </rPr>
      <t xml:space="preserve">1 </t>
    </r>
    <r>
      <rPr>
        <sz val="10"/>
        <color theme="1"/>
        <rFont val="Arial"/>
      </rPr>
      <t xml:space="preserve">) </t>
    </r>
    <r>
      <rPr>
        <sz val="18"/>
        <color theme="1"/>
        <rFont val="Arial"/>
      </rPr>
      <t>→</t>
    </r>
  </si>
  <si>
    <r>
      <rPr>
        <sz val="10"/>
        <color theme="1"/>
        <rFont val="Arial"/>
      </rPr>
      <t xml:space="preserve">Lucro Presumido   ( Digite - </t>
    </r>
    <r>
      <rPr>
        <b/>
        <sz val="10"/>
        <color theme="1"/>
        <rFont val="Arial"/>
      </rPr>
      <t xml:space="preserve">2 </t>
    </r>
    <r>
      <rPr>
        <sz val="10"/>
        <color theme="1"/>
        <rFont val="Arial"/>
      </rPr>
      <t xml:space="preserve">)  </t>
    </r>
    <r>
      <rPr>
        <sz val="18"/>
        <color theme="1"/>
        <rFont val="Arial"/>
      </rPr>
      <t>→</t>
    </r>
  </si>
  <si>
    <t xml:space="preserve">I N F O R M A Ç Õ E S      D A S        C C T 's </t>
  </si>
  <si>
    <t>Descrição da função</t>
  </si>
  <si>
    <t>Dados/registro CCT</t>
  </si>
  <si>
    <t>Data base</t>
  </si>
  <si>
    <r>
      <rPr>
        <sz val="14"/>
        <color theme="1"/>
        <rFont val="Arial"/>
      </rPr>
      <t>Salário base Nomartivo /categoria</t>
    </r>
    <r>
      <rPr>
        <b/>
        <sz val="14"/>
        <color rgb="FFC00000"/>
        <rFont val="Arial"/>
      </rPr>
      <t xml:space="preserve"> (200h)</t>
    </r>
  </si>
  <si>
    <t>Base para o Adicional De Função</t>
  </si>
  <si>
    <t>%  Adicional de Função</t>
  </si>
  <si>
    <t>Base para o Adicional de =&gt;</t>
  </si>
  <si>
    <t>% AD. INSALUBRIDADE</t>
  </si>
  <si>
    <r>
      <rPr>
        <sz val="14"/>
        <color theme="1"/>
        <rFont val="Arial"/>
      </rPr>
      <t>VALOR DO MINIMO NACIONAL</t>
    </r>
    <r>
      <rPr>
        <b/>
        <sz val="14"/>
        <color theme="1"/>
        <rFont val="Arial"/>
      </rPr>
      <t xml:space="preserve"> 2023</t>
    </r>
  </si>
  <si>
    <t xml:space="preserve">% Adicional Noturno </t>
  </si>
  <si>
    <t>% Adicional de Periculosidade</t>
  </si>
  <si>
    <t xml:space="preserve">Módulo 1:               J O R N A D A  </t>
  </si>
  <si>
    <t>Jornada DIÁRIA contratada "em horas" (h)</t>
  </si>
  <si>
    <t>Jornada SEMANAL contratada (h)</t>
  </si>
  <si>
    <t>Jornada MENSAL contratada (h)</t>
  </si>
  <si>
    <t xml:space="preserve">     E N C A R G O S   E   B E N E F Í C I O S  </t>
  </si>
  <si>
    <t>RAT</t>
  </si>
  <si>
    <t>FAP</t>
  </si>
  <si>
    <t>Valor - Auxílio alimentação(VA)/Refeicao POR DIA</t>
  </si>
  <si>
    <t>Percentual desc parte trabalhador - VA</t>
  </si>
  <si>
    <t>Qtd dias/mês recebimento aux. alim</t>
  </si>
  <si>
    <t>Vlr - Aux. Alimentação LANCHE (VA)/ POR DIA</t>
  </si>
  <si>
    <t>AUX. ALIMENTACAO / Premio Assiduidade</t>
  </si>
  <si>
    <t>Média Mensal hs a 50%</t>
  </si>
  <si>
    <t>nº de HS a 50% No plantao por SABADO</t>
  </si>
  <si>
    <t>QUANTIDADE DE PLANTONISTAS POR DIA  50%</t>
  </si>
  <si>
    <t>Média Mensal hs a 100%</t>
  </si>
  <si>
    <t>nº HS a 100% Plantao por DOM/FERIADO</t>
  </si>
  <si>
    <t>TRABALHADOR faz PLANTOES</t>
  </si>
  <si>
    <t>QUANTIDADE DE PLANTONISTAS POR DIA 100%</t>
  </si>
  <si>
    <t>Valor unit. da passagem</t>
  </si>
  <si>
    <t>Quantid. passagens/dia</t>
  </si>
  <si>
    <t xml:space="preserve">Qtd dias/mês receb. aux. Transp </t>
  </si>
  <si>
    <t>Percentual desc parte trabalhador - VT</t>
  </si>
  <si>
    <t>PLANO DE BENEFICIOS BSF</t>
  </si>
  <si>
    <t xml:space="preserve">Seguro de VIDA </t>
  </si>
  <si>
    <t xml:space="preserve">AUX. Funeral </t>
  </si>
  <si>
    <t>AUX. EDUCAÇÃO</t>
  </si>
  <si>
    <t>Gratificacao Aniversário</t>
  </si>
  <si>
    <r>
      <rPr>
        <b/>
        <sz val="13"/>
        <color theme="1"/>
        <rFont val="Calibri"/>
      </rPr>
      <t xml:space="preserve">Férias ( Será cotado REPOSICAO responder S ou N ) </t>
    </r>
    <r>
      <rPr>
        <sz val="13"/>
        <color theme="1"/>
        <rFont val="Calibri"/>
      </rPr>
      <t xml:space="preserve"> </t>
    </r>
    <r>
      <rPr>
        <sz val="11"/>
        <color theme="1"/>
        <rFont val="Calibri"/>
      </rPr>
      <t xml:space="preserve">                              
Responder S  ( Calula reposição (Mantem atividade nas férias escolares)                                N
Responder N  ( Não calcula reposição (Todos gozarão férias em JANEIRO)</t>
    </r>
  </si>
  <si>
    <t>MÓDULO 6: CUSTOS INDIRETOS, LUCRO E TRIBUTOS</t>
  </si>
  <si>
    <t>Custos indiretos</t>
  </si>
  <si>
    <t>Lucro</t>
  </si>
  <si>
    <t>ISSQN</t>
  </si>
  <si>
    <t xml:space="preserve">QUADRO RESUMO VALOR MENSAL DOS SERVIÇOS </t>
  </si>
  <si>
    <t xml:space="preserve">Quantidade de Postos </t>
  </si>
  <si>
    <t>Quantidade de Empregados por Posto</t>
  </si>
  <si>
    <t xml:space="preserve">Quantidade em Meses de Vigencia do Contrato </t>
  </si>
  <si>
    <t>clicando aqui
CONSOLIDA
TODOS CAMPI</t>
  </si>
  <si>
    <t>.</t>
  </si>
  <si>
    <t xml:space="preserve">QUADRO RESUMO DA PROPOSTA </t>
  </si>
  <si>
    <t>PROPOSTA DO SERVIÇO</t>
  </si>
  <si>
    <t>Campus/Municipio prestacao serviço</t>
  </si>
  <si>
    <t>CNPJ nº</t>
  </si>
  <si>
    <t>Endereço:</t>
  </si>
  <si>
    <t>Responsável Contato:</t>
  </si>
  <si>
    <t>Telefone:</t>
  </si>
  <si>
    <t>e-mail:</t>
  </si>
  <si>
    <t xml:space="preserve">Data da apresentação da proposta </t>
  </si>
  <si>
    <t>POSTO</t>
  </si>
  <si>
    <t>JORNADA MÊS
em hs</t>
  </si>
  <si>
    <t>QUANTIDADE DE POSTOS</t>
  </si>
  <si>
    <t>EMPREGADOS por  POSTO</t>
  </si>
  <si>
    <t>VALOR por
EMPREGADO</t>
  </si>
  <si>
    <t>VALOR por
POSTO</t>
  </si>
  <si>
    <t xml:space="preserve">VALOR
 por 
 MÊS </t>
  </si>
  <si>
    <t>VIGÊNCIA 
em 
 MESES</t>
  </si>
  <si>
    <t>QUANTITATIV
ITEM
EM MESES</t>
  </si>
  <si>
    <t>TOTAL ESTIMADO
PARA
12 MESES</t>
  </si>
  <si>
    <r>
      <rPr>
        <b/>
        <sz val="11"/>
        <color rgb="FF000000"/>
        <rFont val="Arial"/>
      </rPr>
      <t xml:space="preserve">TOTAL ESTIMADO
durante a
</t>
    </r>
    <r>
      <rPr>
        <b/>
        <sz val="11"/>
        <color rgb="FFC00000"/>
        <rFont val="Arial"/>
      </rPr>
      <t>VIGENCIA</t>
    </r>
  </si>
  <si>
    <t>INICIAL</t>
  </si>
  <si>
    <t>TOTAL CONTRATO (INICIAL)</t>
  </si>
  <si>
    <t>ANEXO IV - C</t>
  </si>
  <si>
    <t>Uniformes - EPIs_TODOS</t>
  </si>
  <si>
    <t>UNIFORMES, EPIs E INSUMOS, PARA OS POSTOS DE TRABALHO DE OPERADOR DE CALDEIRA</t>
  </si>
  <si>
    <t>Na tabela a seguir as quantidades e os valores mensais foram definidos por colaborador. Valor mensal por colaborador = (preço unitário x quantidade por colaborador ) / período de reposição</t>
  </si>
  <si>
    <t>OR.</t>
  </si>
  <si>
    <t>DESCRIÇÃO</t>
  </si>
  <si>
    <t>Unidade</t>
  </si>
  <si>
    <t>Preço Unitário</t>
  </si>
  <si>
    <t>Quantidade por colaborador</t>
  </si>
  <si>
    <t>Valor mensal por colaborador</t>
  </si>
  <si>
    <t>Período de Reposição</t>
  </si>
  <si>
    <t>TIPO</t>
  </si>
  <si>
    <t>UNIFORM/EPI</t>
  </si>
  <si>
    <t>INSUMO</t>
  </si>
  <si>
    <t>CUSTO TOTAL MENSAL POR COLABORADOR</t>
  </si>
  <si>
    <t>UNIFORMES EPIs E INSUMOS, OPERADOR DE CALDEIRA</t>
  </si>
  <si>
    <t>Quantidade por colaborador, de acordo com período de reposição</t>
  </si>
  <si>
    <t>Item</t>
  </si>
  <si>
    <t>AUX</t>
  </si>
  <si>
    <t>Descrição</t>
  </si>
  <si>
    <t>Unid.</t>
  </si>
  <si>
    <t>Preço Médio</t>
  </si>
  <si>
    <r>
      <rPr>
        <b/>
        <sz val="11"/>
        <color theme="1"/>
        <rFont val="Calibri"/>
      </rPr>
      <t xml:space="preserve">Quantidade POR  </t>
    </r>
    <r>
      <rPr>
        <b/>
        <sz val="11"/>
        <color rgb="FFFFFF00"/>
        <rFont val="Calibri"/>
      </rPr>
      <t>COLABORADOR</t>
    </r>
  </si>
  <si>
    <t>Modelagem Conta Vinculada  –  Com 1 Férias e Base de Cálculo do Custo do Profissional Ausente (Completa)</t>
  </si>
  <si>
    <t>Nº do processo:</t>
  </si>
  <si>
    <t>Licitação nº:</t>
  </si>
  <si>
    <t>DISCRIMINAÇÃO DOS SERVIÇOS (DADOS REFERENTES À CONTRATAÇÃO)</t>
  </si>
  <si>
    <t>A</t>
  </si>
  <si>
    <t>Data de apresentação da proposta (dia/mês/ano)</t>
  </si>
  <si>
    <t>B</t>
  </si>
  <si>
    <t>Município/UF</t>
  </si>
  <si>
    <t>C</t>
  </si>
  <si>
    <t>Ano do Acordo, Convenção ou Dissídio coletivo</t>
  </si>
  <si>
    <t>D</t>
  </si>
  <si>
    <t>Número de meses de execução contratual</t>
  </si>
  <si>
    <t>IDENTIFICAÇÃO DO SERVIÇO</t>
  </si>
  <si>
    <t>Unidade
 de 
Medida</t>
  </si>
  <si>
    <t xml:space="preserve">Quantidade total a contratar (Em função da unidade de medida) </t>
  </si>
  <si>
    <t>12 x 36 horas diurnas - de segunda-feira à sexta-feira</t>
  </si>
  <si>
    <t>posto</t>
  </si>
  <si>
    <t>-</t>
  </si>
  <si>
    <t>12  x 36 horas diurnas - de segunda-feira a domingo</t>
  </si>
  <si>
    <t>12 x 36 horas noturnas - de segunda-feira à sexta-feira</t>
  </si>
  <si>
    <t>44 horas semanais diurnas -  de segunda à sexta-feira</t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</si>
  <si>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</si>
  <si>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t>TOTAL DE POSTOS</t>
  </si>
  <si>
    <t>Nota 1: Esta tabela poderá ser adaptada às características do serviço contratado, inclusive no que concerne às rubricas e suas respectivas provisões e/ou estimativas, desde que haja justificativa.
Nota 2: As provisões constantes desta planilha poderão  ser desnecessárias quando se tratar de determinados serviços que prescindam da dedicação exclusiva dos trabalhadores da contratada para com a Administração.</t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</si>
  <si>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</si>
  <si>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t>Dados para composição dos custos referente à mão de obra</t>
  </si>
  <si>
    <t>Tipo de serviço (mesmo serviço com características distintas)</t>
  </si>
  <si>
    <t>Classificação Brasileira de Ocupações (CBO)</t>
  </si>
  <si>
    <r>
      <rPr>
        <b/>
        <sz val="10"/>
        <color theme="1"/>
        <rFont val="Arial"/>
      </rPr>
      <t xml:space="preserve">Salário Normativo da Categoria Profissional 
</t>
    </r>
    <r>
      <rPr>
        <b/>
        <sz val="10"/>
        <color rgb="FFC00000"/>
        <rFont val="Arial"/>
      </rPr>
      <t>TAB. NIVEL-E</t>
    </r>
  </si>
  <si>
    <t>JORNADA
CONTRATADA</t>
  </si>
  <si>
    <t xml:space="preserve">Categoria Profissional (vinculada à execução contratual) </t>
  </si>
  <si>
    <t xml:space="preserve">Data-Base da Categoria (dia/mês/ano) </t>
  </si>
  <si>
    <r>
      <rPr>
        <b/>
        <sz val="10"/>
        <color rgb="FFFF0000"/>
        <rFont val="Arial"/>
      </rPr>
      <t xml:space="preserve">Valor do salário x hora SEM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</si>
  <si>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>Vlr do salário ×</t>
    </r>
    <r>
      <rPr>
        <b/>
        <sz val="10"/>
        <color rgb="FF000000"/>
        <rFont val="Arial"/>
      </rPr>
      <t xml:space="preserve"> HORA </t>
    </r>
    <r>
      <rPr>
        <b/>
        <sz val="10"/>
        <color rgb="FFFF0000"/>
        <rFont val="Arial"/>
      </rPr>
      <t xml:space="preserve">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</si>
  <si>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</si>
  <si>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</t>
    </r>
    <r>
      <rPr>
        <b/>
        <sz val="10"/>
        <color rgb="FF000000"/>
        <rFont val="Arial"/>
      </rPr>
      <t>hora EXTRA 50%</t>
    </r>
    <r>
      <rPr>
        <b/>
        <sz val="10"/>
        <color rgb="FFFF0000"/>
        <rFont val="Arial"/>
      </rPr>
      <t xml:space="preserve"> - com Adicionais
</t>
    </r>
    <r>
      <rPr>
        <b/>
        <sz val="10"/>
        <color rgb="FF0000FF"/>
        <rFont val="Arial"/>
      </rPr>
      <t>HE (c/peri) = (valor da hora + 30% de peri) + 50%</t>
    </r>
  </si>
  <si>
    <t>Adicionais Previstos
Modulo - 1</t>
  </si>
  <si>
    <r>
      <rPr>
        <b/>
        <sz val="10"/>
        <color rgb="FFFF0000"/>
        <rFont val="Arial"/>
      </rPr>
      <t xml:space="preserve">Valor da </t>
    </r>
    <r>
      <rPr>
        <b/>
        <sz val="10"/>
        <color rgb="FF000000"/>
        <rFont val="Arial"/>
      </rPr>
      <t>hora NOTURNA</t>
    </r>
    <r>
      <rPr>
        <b/>
        <sz val="10"/>
        <color rgb="FFFF0000"/>
        <rFont val="Arial"/>
      </rPr>
      <t xml:space="preserve">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 QUANDO CABIVEL)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</si>
  <si>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</si>
  <si>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</si>
  <si>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t>Adicional de troca de uniforme com periculosidade</t>
  </si>
  <si>
    <t>Quantidade de pessoas por posto de serviço</t>
  </si>
  <si>
    <t>VALOR SALARIO MÍNIMO NACIONAL (2023)</t>
  </si>
  <si>
    <t>Nota 1:  Deverá ser elaborado um quadro para cada tipo de serviço.
Nota 2: A planilha será calculada considerando o valor mensal do empregado</t>
  </si>
  <si>
    <t>Módulo 1: Composição da Remuneração (por Posto)</t>
  </si>
  <si>
    <t>Composição da Remuneração (por Posto)</t>
  </si>
  <si>
    <t>Percentual (%)</t>
  </si>
  <si>
    <t xml:space="preserve">Valor 
(R$) </t>
  </si>
  <si>
    <t>Salário-Base</t>
  </si>
  <si>
    <r>
      <rPr>
        <b/>
        <sz val="10"/>
        <color theme="1"/>
        <rFont val="Arial"/>
      </rPr>
      <t xml:space="preserve">Adicional de função </t>
    </r>
    <r>
      <rPr>
        <b/>
        <sz val="10"/>
        <color rgb="FFFF0000"/>
        <rFont val="Arial"/>
      </rPr>
      <t>-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</si>
  <si>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</si>
  <si>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</t>
    </r>
  </si>
  <si>
    <t>E</t>
  </si>
  <si>
    <r>
      <rPr>
        <b/>
        <sz val="11"/>
        <color rgb="FF000000"/>
        <rFont val="Arial"/>
      </rPr>
      <t xml:space="preserve">Adicional Noturno  : </t>
    </r>
    <r>
      <rPr>
        <b/>
        <sz val="11"/>
        <color rgb="FF0070C0"/>
        <rFont val="Arial"/>
      </rPr>
      <t xml:space="preserve">20% s/salario + vantag </t>
    </r>
    <r>
      <rPr>
        <b/>
        <sz val="11"/>
        <color rgb="FF00B050"/>
        <rFont val="Arial"/>
      </rPr>
      <t>(INFORMAR realizadas)</t>
    </r>
  </si>
  <si>
    <t>QUANT. hs NOTURNAS</t>
  </si>
  <si>
    <t>Vlr da Hora
NOTURNA</t>
  </si>
  <si>
    <t>F</t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</si>
  <si>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</si>
  <si>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t>G</t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</si>
  <si>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</si>
  <si>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t>H</t>
  </si>
  <si>
    <r>
      <rPr>
        <b/>
        <sz val="11"/>
        <color theme="1"/>
        <rFont val="Arial"/>
      </rPr>
      <t>Hrs extras A 50%</t>
    </r>
    <r>
      <rPr>
        <b/>
        <sz val="11"/>
        <color rgb="FF00B050"/>
        <rFont val="Arial"/>
      </rPr>
      <t>(INFORMAR realizadas)</t>
    </r>
  </si>
  <si>
    <t>QUANT. hs 50%</t>
  </si>
  <si>
    <t>Vlr da Hora 50%</t>
  </si>
  <si>
    <t>I</t>
  </si>
  <si>
    <r>
      <rPr>
        <b/>
        <sz val="11"/>
        <color theme="1"/>
        <rFont val="Arial"/>
      </rPr>
      <t>Hrs extras A 100%</t>
    </r>
    <r>
      <rPr>
        <b/>
        <sz val="11"/>
        <color rgb="FF00B050"/>
        <rFont val="Arial"/>
      </rPr>
      <t xml:space="preserve"> (INFORMAR realizadas)</t>
    </r>
  </si>
  <si>
    <t>QUANT. hs 100%</t>
  </si>
  <si>
    <t xml:space="preserve">Vlr da Hora 100% </t>
  </si>
  <si>
    <t>J</t>
  </si>
  <si>
    <r>
      <rPr>
        <b/>
        <sz val="11"/>
        <color theme="1"/>
        <rFont val="Arial"/>
      </rPr>
      <t xml:space="preserve">RSR (Repouso Semanal Remunerado) - </t>
    </r>
    <r>
      <rPr>
        <b/>
        <sz val="11"/>
        <color rgb="FFFF0000"/>
        <rFont val="Arial"/>
      </rPr>
      <t>Cálculo do valor: 20% sobre os adicionais pertinentes) -</t>
    </r>
    <r>
      <rPr>
        <b/>
        <sz val="11"/>
        <color theme="1"/>
        <rFont val="Arial"/>
      </rPr>
      <t xml:space="preserve"> </t>
    </r>
  </si>
  <si>
    <t>Qtde Estima DSR(calc.)</t>
  </si>
  <si>
    <t>K</t>
  </si>
  <si>
    <t xml:space="preserve">Outros (especificar)                      </t>
  </si>
  <si>
    <t xml:space="preserve">Remuneração 1 = Total da Remuneração de verbas de natureza salarial nas quais incidem INSS + FGTS + Férias + 13º, etc.  </t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</si>
  <si>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</si>
  <si>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</si>
  <si>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</si>
  <si>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t>Nota1:  O Módulo 1 refere-se ao valor mensal devido ao empregado pela prestação do serviço no período de 12 meses.</t>
  </si>
  <si>
    <t>Módulo 2 : Encargos e Benefícios Anuais, Mensais e Diários</t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</si>
  <si>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</si>
  <si>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t>2.1</t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</si>
  <si>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</si>
  <si>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t>Valor (R$)</t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</si>
  <si>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</si>
  <si>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</si>
  <si>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t>Total</t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</si>
  <si>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</si>
  <si>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</si>
  <si>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t>2.2</t>
  </si>
  <si>
    <t>GPS, FGTS e outras contribuições</t>
  </si>
  <si>
    <t>Valor
 (R$)</t>
  </si>
  <si>
    <t xml:space="preserve">INSS                                                                                                </t>
  </si>
  <si>
    <t xml:space="preserve">Salário Educação                                                                                            </t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</si>
  <si>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</si>
  <si>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t>RAT =</t>
  </si>
  <si>
    <t xml:space="preserve"> FAP =</t>
  </si>
  <si>
    <t xml:space="preserve">SESC ou SESI                                                                                                 </t>
  </si>
  <si>
    <t xml:space="preserve">SENAC ou SENAI                                                                                           </t>
  </si>
  <si>
    <t xml:space="preserve">SEBRAE                                                                                                              </t>
  </si>
  <si>
    <t xml:space="preserve">INCRA                                                                                                                  </t>
  </si>
  <si>
    <t xml:space="preserve">FGTS                                                                                                                 </t>
  </si>
  <si>
    <t>Nota 1: Os percentuais dos encargos previdenciários, do FGTS e demais contribuições são aqueles estabelecidos pela legislação vigente.
Nota 2: O SAT a depender do grau de risco do serviço irá variar entre 1%, para risco leve, de 2% para risco médio, e de 3% para risco grave.
Nota 3: Esses percentuais incidem sobre o Módulo 1, o Submódulo 2.1.</t>
  </si>
  <si>
    <t>Submódulo 2.3 – Benefícios Mensais e Diários</t>
  </si>
  <si>
    <t>2.3</t>
  </si>
  <si>
    <t>Benefícios Mensais e Diários</t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</si>
  <si>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</si>
  <si>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</si>
  <si>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</si>
  <si>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t xml:space="preserve">     A.3) Quantidade de dias do mês de recebimento de passagens</t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</si>
  <si>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</si>
  <si>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</si>
  <si>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F.1) Valor do Auxílio-Alimentação 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</si>
  <si>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F.2) Quantidade de dias do mês de recebimento de auxílio-alimentação</t>
    </r>
  </si>
  <si>
    <r>
      <rPr>
        <b/>
        <sz val="9"/>
        <color rgb="FFFF0000"/>
        <rFont val="Arial"/>
      </rPr>
      <t xml:space="preserve">     F.3)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</si>
  <si>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t>AUXILIO EDUCACAO</t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</si>
  <si>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</si>
  <si>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t>L</t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</si>
  <si>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</si>
  <si>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t>M</t>
  </si>
  <si>
    <t>Plano de Beneficio Familiar - BSF</t>
  </si>
  <si>
    <t xml:space="preserve">Outros Especificar </t>
  </si>
  <si>
    <t>Nota 1: o valor informado deverá ser o custo real do insumo (descontado o valor eventualmente pago pelo empregado).
Nota 2: Observar a previsão dos benefícios contidos em Acordos, Convenções e Dissídios Coletivos de Trabalho e atentar-se ao disposto no artigo 6º desta Instrução Normativa.</t>
  </si>
  <si>
    <t>Quadro-Resumo do Módulo 2 – Encargos e Benefícios Anuais, Mensais e Diários</t>
  </si>
  <si>
    <t>Encargos e Benefícios Anuais, Mensais e Diários</t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</si>
  <si>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</si>
  <si>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t>Módulo 3 - Provisão para Rescisão</t>
  </si>
  <si>
    <t>Provisão para Rescisão</t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</si>
  <si>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</si>
  <si>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t>Incidência do FGTS sobre o Aviso Prévio Indenizado</t>
  </si>
  <si>
    <r>
      <rPr>
        <b/>
        <sz val="10"/>
        <color rgb="FF000000"/>
        <rFont val="Arial"/>
      </rPr>
      <t xml:space="preserve">Aviso Prévio Trabalhado  </t>
    </r>
    <r>
      <rPr>
        <b/>
        <sz val="10"/>
        <color rgb="FFFF0000"/>
        <rFont val="Arial"/>
      </rPr>
      <t xml:space="preserve">
(</t>
    </r>
    <r>
      <rPr>
        <b/>
        <sz val="9"/>
        <color rgb="FFFF0000"/>
        <rFont val="Arial"/>
      </rPr>
      <t>negociar extinção/redução na 1ª prorrogação)   Cálculo do valor= [(Rem1/30)x7]/  "X" MESES DO CONTRATO x100% dos empregados - ao final do contrato</t>
    </r>
    <r>
      <rPr>
        <b/>
        <sz val="9"/>
        <color rgb="FF0000FF"/>
        <rFont val="Arial"/>
      </rPr>
      <t xml:space="preserve">  </t>
    </r>
    <r>
      <rPr>
        <b/>
        <sz val="10"/>
        <color rgb="FF0000FF"/>
        <rFont val="Arial"/>
      </rPr>
      <t xml:space="preserve">
CONFORME ACORDAO  TCU 1.186/2017 definiu NOTA TEC. 652/2017 - MP
 </t>
    </r>
    <r>
      <rPr>
        <b/>
        <u/>
        <sz val="10"/>
        <color rgb="FF0000FF"/>
        <rFont val="Arial"/>
      </rPr>
      <t xml:space="preserve">PERCENTUAL MAXIMO DE 1,94% </t>
    </r>
    <r>
      <rPr>
        <b/>
        <sz val="10"/>
        <color rgb="FF0000FF"/>
        <rFont val="Arial"/>
      </rPr>
      <t>para aviso trabalhado  E A sua reducao PARA o MAXIMO de  0,194%  apartir DA PRIMEIRA RENOVAÇÃO
(observada rotatividade para manutenção deste custo - PREVIAMENTE ACORDADO COM A EMPRESA)</t>
    </r>
  </si>
  <si>
    <t>Incidência de GPS, FGTS e outras contribuições sobre o Aviso Prévio Trabalhado</t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</si>
  <si>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</si>
  <si>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t>TOTAL</t>
  </si>
  <si>
    <t>Módulo 4 - Custo de Reposição do Profissional Ausente</t>
  </si>
  <si>
    <t xml:space="preserve">Nota 1: Os itens que contemplam o módulo 4 se referem ao custo dos dias trabalhados pelo repositor/substituto quando o empregado alocado na prestação do serviço estiver ausente, conforme as previsões estabelecidas na legislação. </t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</si>
  <si>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</si>
  <si>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t>MÓD 1                 (= a Rem1)=</t>
  </si>
  <si>
    <t>+</t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</si>
  <si>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</si>
  <si>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t>MÓD 3 =</t>
  </si>
  <si>
    <t xml:space="preserve">Submódulo 4.1 – Substituto nas Ausências Legais </t>
  </si>
  <si>
    <t>4.1</t>
  </si>
  <si>
    <t>Substituto nas Ausências Legais</t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</si>
  <si>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</si>
  <si>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</si>
  <si>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</si>
  <si>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</si>
  <si>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</si>
  <si>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</si>
  <si>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t>Submódulo 4.2 – Substituto na Intrajornada</t>
  </si>
  <si>
    <t xml:space="preserve">4.2 </t>
  </si>
  <si>
    <t>Substituto na Intrajornada</t>
  </si>
  <si>
    <t>Substituto na cobertura de Intervalo para repouso ou alimentação</t>
  </si>
  <si>
    <t>Quadro-Resumo do Módulo 4 – Custo de Reposição do Profissional Ausente</t>
  </si>
  <si>
    <t>Custo de Reposição do Profissional Ausente</t>
  </si>
  <si>
    <t>4.2</t>
  </si>
  <si>
    <t>Módulo 5 – Insumos Diversos</t>
  </si>
  <si>
    <t>Insumos Diversos</t>
  </si>
  <si>
    <t xml:space="preserve">Uniformes </t>
  </si>
  <si>
    <t>Outros (especificar)</t>
  </si>
  <si>
    <t>0.00</t>
  </si>
  <si>
    <t xml:space="preserve">Total </t>
  </si>
  <si>
    <t>Nota: Valores mensais por empregado</t>
  </si>
  <si>
    <t>Módulo 6 - Custos Indiretos, Lucro e Tributos</t>
  </si>
  <si>
    <t xml:space="preserve">Custos Indiretos, Lucro e Tributos </t>
  </si>
  <si>
    <t>BASE DE CÁLCULO DOS CUSTOS INDIRETOS  =  (Total do Módulo 1 – Composição da  Remuneração2 + Total do Módulo 2 - Encargos e Benefícios Anuais, Mensais e Diários + Total do Módulo 3 – Provisão da Rescisão + Total do Módulo 4 - Custo de Reposição do Profissional Ausente + Total do Módulo 5 - Insumos Diversos)</t>
  </si>
  <si>
    <t>Custos Indiretos</t>
  </si>
  <si>
    <t>BASE DE CÁLCULO DO LUCRO = (Total do Módulo 1 – Composição da  Remuneração2 + Total do Módulo 2 - Encargos e Benefícios Anuais, Mensais e Diários + Total do Módulo 3 – Provisão da Rescisão + Total do Módulo 4 - Custo de Reposição do Profissional Ausente + Total do Módulo 5 - Insumos Diversos + Custos Indiretos)</t>
  </si>
  <si>
    <t>BASE DE CÁLCULO DOS TRIBUTOS = (Total do Módulo 1 – Composição da  Remuneração2 + Total do Módulo 2 - Encargos e Benefícios Anuais, Mensais e Diários + Total do Módulo 3 – Provisão da Rescisão + Total do Módulo 4 - Custo de Reposição do Profissional Ausente + Total do Módulo 5 - Insumos Diversos + Custos Indiretos + Lucro)</t>
  </si>
  <si>
    <t>Tributos</t>
  </si>
  <si>
    <t>C.1    Tributos federais (especificar)</t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</si>
  <si>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</si>
  <si>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</si>
  <si>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</si>
  <si>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</si>
  <si>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t>C.2   Tributos estaduais (especificar)</t>
  </si>
  <si>
    <t>C.3   Tributos municipais (especificar):</t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</si>
  <si>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</si>
  <si>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t xml:space="preserve">Percentual Total e Valor Total de Tributos  </t>
  </si>
  <si>
    <t>Cálculo dos Tributos</t>
  </si>
  <si>
    <t xml:space="preserve">                                         Base de Cálculo para os Tributos</t>
  </si>
  <si>
    <t xml:space="preserve"> = ( --------------------------------------------------------- ) x Alíquota do Tributo</t>
  </si>
  <si>
    <t xml:space="preserve">                                  1 - (Total de Tributos em % dividido por 100)</t>
  </si>
  <si>
    <t>Nota 1: Custos Indiretos, Lucro e Tributos por empregado.
Nota 2: O valor referente a tributos é obtido aplicando-se o percentual sobre o valor do faturamento.</t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</si>
  <si>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</si>
  <si>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t>Mão de obra vinculada à execução contratual (valor por Posto de Trabalho)</t>
  </si>
  <si>
    <t>Módulo 1 - Composição da Remuneração2</t>
  </si>
  <si>
    <t>Módulo 2 – Encargos e Benefícios Anuais, Mensais e Diários</t>
  </si>
  <si>
    <t>Módulo 3 – Provisão para Rescisão</t>
  </si>
  <si>
    <t>Módulo 4 – Custo de Reposição do Profissional Ausente</t>
  </si>
  <si>
    <t xml:space="preserve">Módulo 5 - Insumos Diversos </t>
  </si>
  <si>
    <t>Subtotal (A + B + C + D + E)</t>
  </si>
  <si>
    <r>
      <rPr>
        <b/>
        <sz val="10"/>
        <color theme="1"/>
        <rFont val="Arial"/>
      </rPr>
      <t xml:space="preserve">Valor Total </t>
    </r>
    <r>
      <rPr>
        <b/>
        <sz val="12"/>
        <color rgb="FFFF0000"/>
        <rFont val="Arial"/>
      </rPr>
      <t>POR COLABORADOR/PESSOA</t>
    </r>
  </si>
  <si>
    <t xml:space="preserve">O complemento abaixo é uma planilha auxiliar que consolida as várias planilhas com os diferentes tipos de postos </t>
  </si>
  <si>
    <t>3.  COMPLEMENTO DOS SERVIÇOS – VALOR MENSAL DOS SERVIÇOS</t>
  </si>
  <si>
    <t>ESCALA DE TRABALHO</t>
  </si>
  <si>
    <t>VALOR MES
POR PESSOA 
(R$)</t>
  </si>
  <si>
    <r>
      <rPr>
        <b/>
        <sz val="10"/>
        <color theme="1"/>
        <rFont val="Arial"/>
      </rPr>
      <t xml:space="preserve">QUANTIDADE
DE PESSOAS
</t>
    </r>
    <r>
      <rPr>
        <b/>
        <sz val="10"/>
        <color rgb="FF980000"/>
        <rFont val="Arial"/>
      </rPr>
      <t>POR 
POSTO</t>
    </r>
  </si>
  <si>
    <t>NÚMERO DE POSTOS</t>
  </si>
  <si>
    <t>SUBTOTAL
(R$)</t>
  </si>
  <si>
    <t>44 (quarenta e quatro) horas semanais diurnas, de segunda a sexta-feira envolvendo 1 (um) vigilante</t>
  </si>
  <si>
    <t xml:space="preserve">12 horas diurnas, de segunda-feira a domingo, envolvendo 2 (dois) vigilantes em turnos de  12 (doze) por 36 (trinta e seis) horas </t>
  </si>
  <si>
    <t xml:space="preserve">12 horas diurnas, de segunda-feira à sexta-feira, envolvendo 2 (dois) vigilantes em turnos de  12 (doze) por 36 (trinta e seis) horas </t>
  </si>
  <si>
    <t xml:space="preserve">12 horas noturnas, de segunda-feira à sexta-feira, envolvendo 2 (dois) vigilantes em turnos de  12 (doze) por 36 (trinta e seis) horas </t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</si>
  <si>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</si>
  <si>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t>TOTAL:</t>
  </si>
  <si>
    <t xml:space="preserve">Nota: Nos casos de inclusão de outros tipos de postos, observar o disposto no item 4 do Anexo VI-A, desta Instrução Normativa </t>
  </si>
  <si>
    <t>Valor mensal do serviço</t>
  </si>
  <si>
    <t>Número de meses do contrato</t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</si>
  <si>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</si>
  <si>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t>VALORES PARA DEMANDAS ESPORADICAS ( HORAS EXTRAORDINÁRIAS e DIÁRIAS DE VIAGEM)</t>
  </si>
  <si>
    <r>
      <rPr>
        <b/>
        <sz val="16"/>
        <color theme="1"/>
        <rFont val="Calibri, Arial"/>
      </rPr>
      <t xml:space="preserve">PLANILHA DE HORAS EXTRAS </t>
    </r>
    <r>
      <rPr>
        <b/>
        <sz val="16"/>
        <color theme="1"/>
        <rFont val="Calibri, Arial"/>
      </rPr>
      <t xml:space="preserve">
</t>
    </r>
    <r>
      <rPr>
        <b/>
        <sz val="16"/>
        <color rgb="FF980000"/>
        <rFont val="Calibri, Arial"/>
      </rPr>
      <t>(esporadicas)</t>
    </r>
  </si>
  <si>
    <t>(Composição)</t>
  </si>
  <si>
    <t>% do MODULO</t>
  </si>
  <si>
    <t>Valores Base 
por Modulo</t>
  </si>
  <si>
    <t>BASE HRS 
PLANILHA</t>
  </si>
  <si>
    <t>integral</t>
  </si>
  <si>
    <t>Submoldulos  2.1 + 2.2</t>
  </si>
  <si>
    <t>Nao faz parte calculo</t>
  </si>
  <si>
    <t>indice</t>
  </si>
  <si>
    <t>Vlr hora (esporadica)</t>
  </si>
  <si>
    <t>INFORMAR</t>
  </si>
  <si>
    <t>VALOR DEVIDO
INCUÍDAS HS REALIZADAS
(ESPORADICAS)</t>
  </si>
  <si>
    <t>DSR ( adicionado ao valor da hora nominal 20%
 (6 dias semana / 30 dias mes )</t>
  </si>
  <si>
    <t xml:space="preserve"> nº de horas
realizadas </t>
  </si>
  <si>
    <r>
      <rPr>
        <sz val="11"/>
        <color theme="1"/>
        <rFont val="Calibri, Arial"/>
      </rPr>
      <t xml:space="preserve">VAVLOR CALCULADO EM PLANILHA 
REMUNERAÇÃO para EMPRESA 
HIPOTESE HORARIOS EXTRAORDINARIOS
</t>
    </r>
    <r>
      <rPr>
        <b/>
        <sz val="11"/>
        <color rgb="FF980000"/>
        <rFont val="Calibri, Arial"/>
      </rPr>
      <t>(esporadicos)</t>
    </r>
  </si>
  <si>
    <t>Vlr da Hora Extra
NOTURNA</t>
  </si>
  <si>
    <t>Vlr da Hora Extra
 50%</t>
  </si>
  <si>
    <t>Vlr da Hora Extra 
100%</t>
  </si>
  <si>
    <t>Amparo Legal</t>
  </si>
  <si>
    <t>Localidade-I</t>
  </si>
  <si>
    <t>Vlr Localidade - I</t>
  </si>
  <si>
    <t>Localidade-II</t>
  </si>
  <si>
    <t>Vlr Localidade - II</t>
  </si>
  <si>
    <t xml:space="preserve">Demais </t>
  </si>
  <si>
    <t xml:space="preserve">Vlr Demais </t>
  </si>
  <si>
    <t>DIARIAS
Decreto
11.117/22</t>
  </si>
  <si>
    <t xml:space="preserve">BRASILIA
MANAUS
R. JANEIRO
SAO PAULO </t>
  </si>
  <si>
    <t xml:space="preserve"> OUTRAS
CAPITAIS e 
ESTADOS </t>
  </si>
  <si>
    <t>DEMAIS 
LOCALIDADES</t>
  </si>
  <si>
    <r>
      <rPr>
        <b/>
        <sz val="19"/>
        <color theme="1"/>
        <rFont val="Arial"/>
      </rPr>
      <t xml:space="preserve">VALOR </t>
    </r>
    <r>
      <rPr>
        <b/>
        <sz val="19"/>
        <color rgb="FF980000"/>
        <rFont val="Arial"/>
      </rPr>
      <t>mensal</t>
    </r>
    <r>
      <rPr>
        <b/>
        <sz val="19"/>
        <color theme="1"/>
        <rFont val="Arial"/>
      </rPr>
      <t xml:space="preserve"> DO CONTRATO
 (SE  ADICIONADAS "DEMANDAS ESPORADICAS"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</si>
  <si>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</si>
  <si>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</si>
  <si>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theme="1"/>
        <rFont val="Arial"/>
      </rPr>
      <t xml:space="preserve">Salário Normativo da Categoria Profissional 
</t>
    </r>
    <r>
      <rPr>
        <b/>
        <sz val="10"/>
        <color rgb="FFC00000"/>
        <rFont val="Arial"/>
      </rPr>
      <t>TAB. NIVEL-E</t>
    </r>
  </si>
  <si>
    <r>
      <rPr>
        <b/>
        <sz val="10"/>
        <color rgb="FFFF0000"/>
        <rFont val="Arial"/>
      </rPr>
      <t xml:space="preserve">Valor do salário x hora SEM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</si>
  <si>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>Vlr do salário ×</t>
    </r>
    <r>
      <rPr>
        <b/>
        <sz val="10"/>
        <color rgb="FF000000"/>
        <rFont val="Arial"/>
      </rPr>
      <t xml:space="preserve"> HORA </t>
    </r>
    <r>
      <rPr>
        <b/>
        <sz val="10"/>
        <color rgb="FFFF0000"/>
        <rFont val="Arial"/>
      </rPr>
      <t xml:space="preserve">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</si>
  <si>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</si>
  <si>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</t>
    </r>
    <r>
      <rPr>
        <b/>
        <sz val="10"/>
        <color rgb="FF000000"/>
        <rFont val="Arial"/>
      </rPr>
      <t>hora EXTRA 50%</t>
    </r>
    <r>
      <rPr>
        <b/>
        <sz val="10"/>
        <color rgb="FFFF0000"/>
        <rFont val="Arial"/>
      </rPr>
      <t xml:space="preserve">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</si>
  <si>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 QUANDO CABIVEL)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</si>
  <si>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</si>
  <si>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t xml:space="preserve">Valor da Hora COM 
periculosidade </t>
  </si>
  <si>
    <r>
      <rPr>
        <b/>
        <sz val="10"/>
        <color rgb="FFFF0000"/>
        <rFont val="Arial"/>
      </rPr>
      <t xml:space="preserve">VALOR DO ADICIONAL DE PERICULOSIDADE
</t>
    </r>
    <r>
      <rPr>
        <b/>
        <sz val="10"/>
        <color rgb="FF0000FF"/>
        <rFont val="Arial"/>
      </rPr>
      <t>(30% do salário normativo)</t>
    </r>
    <r>
      <rPr>
        <b/>
        <sz val="10"/>
        <color rgb="FFFF0000"/>
        <rFont val="Arial"/>
      </rPr>
      <t xml:space="preserve">             </t>
    </r>
    <r>
      <rPr>
        <b/>
        <sz val="9"/>
        <color rgb="FFFF0000"/>
        <rFont val="Arial"/>
      </rPr>
      <t xml:space="preserve">  </t>
    </r>
  </si>
  <si>
    <r>
      <rPr>
        <b/>
        <sz val="10"/>
        <color theme="1"/>
        <rFont val="Arial"/>
      </rPr>
      <t xml:space="preserve">Adicional de função </t>
    </r>
    <r>
      <rPr>
        <b/>
        <sz val="10"/>
        <color rgb="FFFF0000"/>
        <rFont val="Arial"/>
      </rPr>
      <t>-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</si>
  <si>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</si>
  <si>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</t>
    </r>
  </si>
  <si>
    <r>
      <rPr>
        <b/>
        <sz val="11"/>
        <color rgb="FF000000"/>
        <rFont val="Arial"/>
      </rPr>
      <t xml:space="preserve">Adicional Noturno  : </t>
    </r>
    <r>
      <rPr>
        <b/>
        <sz val="11"/>
        <color rgb="FF0070C0"/>
        <rFont val="Arial"/>
      </rPr>
      <t xml:space="preserve">20% s/salario + vantag </t>
    </r>
    <r>
      <rPr>
        <b/>
        <sz val="11"/>
        <color rgb="FF00B050"/>
        <rFont val="Arial"/>
      </rPr>
      <t>(INFORMAR realizadas)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</si>
  <si>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</si>
  <si>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</si>
  <si>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1"/>
        <color theme="1"/>
        <rFont val="Arial"/>
      </rPr>
      <t>Hrs extras A 50%</t>
    </r>
    <r>
      <rPr>
        <b/>
        <sz val="11"/>
        <color rgb="FF00B050"/>
        <rFont val="Arial"/>
      </rPr>
      <t>(INFORMAR realizadas)</t>
    </r>
  </si>
  <si>
    <r>
      <rPr>
        <b/>
        <sz val="11"/>
        <color theme="1"/>
        <rFont val="Arial"/>
      </rPr>
      <t>Hrs extras A 100%</t>
    </r>
    <r>
      <rPr>
        <b/>
        <sz val="11"/>
        <color rgb="FF00B050"/>
        <rFont val="Arial"/>
      </rPr>
      <t xml:space="preserve"> (INFORMAR realizadas)</t>
    </r>
  </si>
  <si>
    <r>
      <rPr>
        <b/>
        <sz val="11"/>
        <color theme="1"/>
        <rFont val="Arial"/>
      </rPr>
      <t xml:space="preserve">RSR (Repouso Semanal Remunerado) - </t>
    </r>
    <r>
      <rPr>
        <b/>
        <sz val="11"/>
        <color rgb="FFFF0000"/>
        <rFont val="Arial"/>
      </rPr>
      <t>Cálculo do valor: 20% sobre os adicionais pertinentes) -</t>
    </r>
    <r>
      <rPr>
        <b/>
        <sz val="11"/>
        <color theme="1"/>
        <rFont val="Arial"/>
      </rPr>
      <t xml:space="preserve"> 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</si>
  <si>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</si>
  <si>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</si>
  <si>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</si>
  <si>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</si>
  <si>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</si>
  <si>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</si>
  <si>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</si>
  <si>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</si>
  <si>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</si>
  <si>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</si>
  <si>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</si>
  <si>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</si>
  <si>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</si>
  <si>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</si>
  <si>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</si>
  <si>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/ </t>
    </r>
    <r>
      <rPr>
        <b/>
        <sz val="10"/>
        <color rgb="FF0000FF"/>
        <rFont val="Arial"/>
      </rPr>
      <t>PREMIO ASSIDUIDADE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</si>
  <si>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aux.-aliment. /</t>
    </r>
    <r>
      <rPr>
        <b/>
        <sz val="10"/>
        <color rgb="FF0000FF"/>
        <rFont val="Arial"/>
      </rPr>
      <t xml:space="preserve"> PREMIO ASSIDUIDADE
</t>
    </r>
  </si>
  <si>
    <r>
      <rPr>
        <b/>
        <sz val="9"/>
        <color rgb="FFFF0000"/>
        <rFont val="Arial"/>
      </rPr>
      <t xml:space="preserve">     B.3) Participação do empregado em percentual sobre o auxílio-alimentação /</t>
    </r>
    <r>
      <rPr>
        <b/>
        <sz val="9"/>
        <color rgb="FF0000FF"/>
        <rFont val="Arial"/>
      </rPr>
      <t xml:space="preserve"> PREMIO ASSIDUIDADE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</si>
  <si>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</si>
  <si>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</si>
  <si>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</si>
  <si>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</si>
  <si>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rgb="FF000000"/>
        <rFont val="Arial"/>
      </rPr>
      <t xml:space="preserve">Aviso Prévio Trabalhado  </t>
    </r>
    <r>
      <rPr>
        <b/>
        <sz val="10"/>
        <color rgb="FFFF0000"/>
        <rFont val="Arial"/>
      </rPr>
      <t xml:space="preserve">
(</t>
    </r>
    <r>
      <rPr>
        <b/>
        <sz val="9"/>
        <color rgb="FFFF0000"/>
        <rFont val="Arial"/>
      </rPr>
      <t>negociar extinção/redução na 1ª prorrogação)   Cálculo do valor= [(Rem1/30)x7]/  "X" MESES DO CONTRATO x100% dos empregados - ao final do contrato</t>
    </r>
    <r>
      <rPr>
        <b/>
        <sz val="9"/>
        <color rgb="FF0000FF"/>
        <rFont val="Arial"/>
      </rPr>
      <t xml:space="preserve">  </t>
    </r>
    <r>
      <rPr>
        <b/>
        <sz val="10"/>
        <color rgb="FF0000FF"/>
        <rFont val="Arial"/>
      </rPr>
      <t xml:space="preserve">
CONFORME ACORDAO  TCU 1.186/2017 definiu NOTA TEC. 652/2017 - MP
 </t>
    </r>
    <r>
      <rPr>
        <b/>
        <u/>
        <sz val="10"/>
        <color rgb="FF0000FF"/>
        <rFont val="Arial"/>
      </rPr>
      <t xml:space="preserve">PERCENTUAL MAXIMO DE 1,94% </t>
    </r>
    <r>
      <rPr>
        <b/>
        <sz val="10"/>
        <color rgb="FF0000FF"/>
        <rFont val="Arial"/>
      </rPr>
      <t>para aviso trabalhado  E A sua reducao PARA o MAXIMO de  0,194%  apartir DA PRIMEIRA RENOVAÇÃO
(observada rotatividade para manutenção deste custo - PREVIAMENTE ACORDADO COM A EMPRESA)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</si>
  <si>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</si>
  <si>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</si>
  <si>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</si>
  <si>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</si>
  <si>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</si>
  <si>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</si>
  <si>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</si>
  <si>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</si>
  <si>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</si>
  <si>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t>Uniformes</t>
  </si>
  <si>
    <t xml:space="preserve">Outros  </t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</si>
  <si>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</si>
  <si>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</si>
  <si>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</si>
  <si>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</si>
  <si>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</si>
  <si>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</si>
  <si>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t>Valor Total por Posto</t>
  </si>
  <si>
    <t>PREÇO MENSAL DO POSTO  
(R$)</t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</si>
  <si>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</si>
  <si>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</si>
  <si>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6"/>
        <color theme="1"/>
        <rFont val="Calibri, Arial"/>
      </rPr>
      <t xml:space="preserve">PLANILHA DE HORAS EXTRAS </t>
    </r>
    <r>
      <rPr>
        <b/>
        <sz val="16"/>
        <color theme="1"/>
        <rFont val="Calibri, Arial"/>
      </rPr>
      <t xml:space="preserve">
</t>
    </r>
    <r>
      <rPr>
        <b/>
        <sz val="16"/>
        <color rgb="FF980000"/>
        <rFont val="Calibri, Arial"/>
      </rPr>
      <t>(esporadicas)</t>
    </r>
  </si>
  <si>
    <r>
      <rPr>
        <sz val="11"/>
        <color theme="1"/>
        <rFont val="Calibri, Arial"/>
      </rPr>
      <t xml:space="preserve">VAVLOR CALCULADO EM PLANILHA 
REMUNERAÇÃO para EMPRESA 
HIPOTESE HORARIOS EXTRAORDINARIOS
</t>
    </r>
    <r>
      <rPr>
        <b/>
        <sz val="11"/>
        <color rgb="FF980000"/>
        <rFont val="Calibri, Arial"/>
      </rPr>
      <t>(esporadicos)</t>
    </r>
  </si>
  <si>
    <r>
      <rPr>
        <b/>
        <sz val="19"/>
        <color theme="1"/>
        <rFont val="Arial"/>
      </rPr>
      <t xml:space="preserve">VALOR </t>
    </r>
    <r>
      <rPr>
        <b/>
        <sz val="19"/>
        <color rgb="FF980000"/>
        <rFont val="Arial"/>
      </rPr>
      <t>mensal</t>
    </r>
    <r>
      <rPr>
        <b/>
        <sz val="19"/>
        <color theme="1"/>
        <rFont val="Arial"/>
      </rPr>
      <t xml:space="preserve"> DO CONTRATO
 (SE  ADICIONADAS "DEMANDAS ESPORADICAS"</t>
    </r>
  </si>
  <si>
    <t>TOTALIZADORES IFFar</t>
  </si>
  <si>
    <t>,</t>
  </si>
  <si>
    <t xml:space="preserve">VALOR  por  MÊS </t>
  </si>
  <si>
    <t xml:space="preserve">TOTAL GERAL </t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</si>
  <si>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</si>
  <si>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</si>
  <si>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theme="1"/>
        <rFont val="Arial"/>
      </rPr>
      <t xml:space="preserve">Salário Normativo da Categoria Profissional </t>
    </r>
    <r>
      <rPr>
        <b/>
        <sz val="10"/>
        <color rgb="FFC00000"/>
        <rFont val="Arial"/>
      </rPr>
      <t>(PESQUISA MERCADO 200hs)</t>
    </r>
  </si>
  <si>
    <r>
      <rPr>
        <b/>
        <sz val="10"/>
        <color rgb="FFFF0000"/>
        <rFont val="Arial"/>
      </rPr>
      <t xml:space="preserve">Valor do salário x hora SEM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</si>
  <si>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</si>
  <si>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</si>
  <si>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</si>
  <si>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</si>
  <si>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</si>
  <si>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</si>
  <si>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t>VALOR SALARIO MÍNIMO NACIONAL (2022)</t>
  </si>
  <si>
    <t xml:space="preserve">Adicional de função </t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</si>
  <si>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</si>
  <si>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t>Adicional de Insalubridade</t>
  </si>
  <si>
    <r>
      <rPr>
        <b/>
        <sz val="11"/>
        <color rgb="FF000000"/>
        <rFont val="Arial"/>
      </rPr>
      <t xml:space="preserve">Adicional Noturno  : </t>
    </r>
    <r>
      <rPr>
        <b/>
        <sz val="11"/>
        <color rgb="FF0070C0"/>
        <rFont val="Arial"/>
      </rPr>
      <t xml:space="preserve">20% s/salario + vantag </t>
    </r>
    <r>
      <rPr>
        <b/>
        <sz val="11"/>
        <color rgb="FF00B050"/>
        <rFont val="Arial"/>
      </rPr>
      <t>(INFORMAR realizadas)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</si>
  <si>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</si>
  <si>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</si>
  <si>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1"/>
        <color theme="1"/>
        <rFont val="Arial"/>
      </rPr>
      <t>Hrs extras A 50%</t>
    </r>
    <r>
      <rPr>
        <b/>
        <sz val="11"/>
        <color rgb="FF00B050"/>
        <rFont val="Arial"/>
      </rPr>
      <t>(INFORMAR realizadas)</t>
    </r>
  </si>
  <si>
    <r>
      <rPr>
        <b/>
        <sz val="11"/>
        <color theme="1"/>
        <rFont val="Arial"/>
      </rPr>
      <t>Hrs extras A 100%</t>
    </r>
    <r>
      <rPr>
        <b/>
        <sz val="11"/>
        <color rgb="FF00B050"/>
        <rFont val="Arial"/>
      </rPr>
      <t xml:space="preserve"> (INFORMAR realizadas)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</si>
  <si>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</si>
  <si>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</si>
  <si>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</si>
  <si>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</si>
  <si>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</si>
  <si>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</si>
  <si>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</si>
  <si>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</si>
  <si>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</si>
  <si>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</si>
  <si>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</si>
  <si>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</si>
  <si>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</si>
  <si>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</si>
  <si>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</si>
  <si>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</si>
  <si>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</si>
  <si>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</si>
  <si>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</si>
  <si>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t>Assistência Médica e Familiar</t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</si>
  <si>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</si>
  <si>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</si>
  <si>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t xml:space="preserve">Plano de Beneficio Familiar </t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</si>
  <si>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</si>
  <si>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</si>
  <si>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rgb="FF000000"/>
        <rFont val="Arial"/>
      </rPr>
      <t xml:space="preserve">Aviso Prévio Trabalhado   </t>
    </r>
    <r>
      <rPr>
        <b/>
        <sz val="10"/>
        <color rgb="FF0000FF"/>
        <rFont val="Arial"/>
      </rPr>
      <t xml:space="preserve">  </t>
    </r>
    <r>
      <rPr>
        <b/>
        <sz val="10"/>
        <color rgb="FFFF0000"/>
        <rFont val="Arial"/>
      </rPr>
      <t xml:space="preserve">  
(</t>
    </r>
    <r>
      <rPr>
        <b/>
        <sz val="9"/>
        <color rgb="FFFF0000"/>
        <rFont val="Arial"/>
      </rPr>
      <t>negociar extinção/redução na 1ª prorrogação)
  Cálculo do valor= [(Rem1/30)x7]/ meses do contratox100% dos empregados - ao final do contrato</t>
    </r>
    <r>
      <rPr>
        <b/>
        <sz val="9"/>
        <color rgb="FF0000FF"/>
        <rFont val="Arial"/>
      </rPr>
      <t xml:space="preserve">  </t>
    </r>
    <r>
      <rPr>
        <b/>
        <sz val="10"/>
        <color rgb="FF0000FF"/>
        <rFont val="Arial"/>
      </rPr>
      <t xml:space="preserve">
CONFORME ACORDAO  TCU 1.186/2017 definiu NOTA TEC. 652/2017 - MP
 </t>
    </r>
    <r>
      <rPr>
        <b/>
        <u/>
        <sz val="10"/>
        <color rgb="FF0000FF"/>
        <rFont val="Arial"/>
      </rPr>
      <t xml:space="preserve">PERCENTUAL MAXIMO DE 1,94% </t>
    </r>
    <r>
      <rPr>
        <b/>
        <sz val="10"/>
        <color rgb="FF0000FF"/>
        <rFont val="Arial"/>
      </rPr>
      <t>para aviso trabalhado 
E A sua reducao PARA o MAXIMO de  0,194%  apartir DA PRIMEIRA RENOVAÇÃO
(observada rotatividade para manutenção deste custo - PREVIAMENTE ACORDADO COM A EMPRESA)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</si>
  <si>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</si>
  <si>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</si>
  <si>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</si>
  <si>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</si>
  <si>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</si>
  <si>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</si>
  <si>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</si>
  <si>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</si>
  <si>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</si>
  <si>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t xml:space="preserve">OUTROS  </t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</si>
  <si>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</si>
  <si>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</si>
  <si>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</si>
  <si>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</si>
  <si>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t xml:space="preserve">  a) ISS        </t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</si>
  <si>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</si>
  <si>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</si>
  <si>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</si>
  <si>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</si>
  <si>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</si>
  <si>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t xml:space="preserve">Salário Normativo da Categoria Profissional 
</t>
  </si>
  <si>
    <r>
      <rPr>
        <b/>
        <sz val="10"/>
        <color rgb="FFFF0000"/>
        <rFont val="Arial"/>
      </rPr>
      <t xml:space="preserve">Valor do salário x  hora SEM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</si>
  <si>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</si>
  <si>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</si>
  <si>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</si>
  <si>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com ADIC. 25%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</si>
  <si>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50% com ADIC 25% SÁBADOS (febrabpils)
</t>
    </r>
    <r>
      <rPr>
        <b/>
        <sz val="10"/>
        <color rgb="FF0070C0"/>
        <rFont val="Arial"/>
      </rPr>
      <t>salar hora × 1,75</t>
    </r>
  </si>
  <si>
    <r>
      <rPr>
        <b/>
        <sz val="10"/>
        <color rgb="FFFF0000"/>
        <rFont val="Arial"/>
      </rPr>
      <t xml:space="preserve">Valor da hora EXTRA A 100% com ADIC 50% DOMINGOS E FERIADOS (febrabpils)
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sal hora × 2,5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</si>
  <si>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    (30% do Salário-Base) </t>
    </r>
  </si>
  <si>
    <r>
      <rPr>
        <b/>
        <sz val="10"/>
        <color theme="1"/>
        <rFont val="Arial"/>
      </rPr>
      <t xml:space="preserve">Adicional Noturno  : </t>
    </r>
    <r>
      <rPr>
        <b/>
        <sz val="10"/>
        <color rgb="FF0070C0"/>
        <rFont val="Arial"/>
      </rPr>
      <t xml:space="preserve">25% s/salario base febrapils </t>
    </r>
    <r>
      <rPr>
        <b/>
        <sz val="10"/>
        <color rgb="FF00B050"/>
        <rFont val="Arial"/>
      </rPr>
      <t>(INFORMAR realizadas)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</si>
  <si>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</si>
  <si>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</si>
  <si>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>Hrs extras A 50%</t>
    </r>
    <r>
      <rPr>
        <b/>
        <sz val="10"/>
        <color rgb="FF00B050"/>
        <rFont val="Arial"/>
      </rPr>
      <t xml:space="preserve">(INFORMAR realizadas)
</t>
    </r>
    <r>
      <rPr>
        <b/>
        <sz val="10"/>
        <color rgb="FFC00000"/>
        <rFont val="Arial"/>
      </rPr>
      <t>ADIC 25% SÁBADOS (febrabpils)</t>
    </r>
  </si>
  <si>
    <r>
      <rPr>
        <b/>
        <sz val="10"/>
        <color theme="1"/>
        <rFont val="Arial"/>
      </rPr>
      <t xml:space="preserve">Vlr da Hora 50%
</t>
    </r>
    <r>
      <rPr>
        <b/>
        <sz val="10"/>
        <color rgb="FFC00000"/>
        <rFont val="Arial"/>
      </rPr>
      <t>+ 25% febrapils</t>
    </r>
  </si>
  <si>
    <r>
      <rPr>
        <b/>
        <sz val="10"/>
        <color rgb="FF000000"/>
        <rFont val="Arial"/>
      </rPr>
      <t>Hrs extras A 100%</t>
    </r>
    <r>
      <rPr>
        <b/>
        <sz val="10"/>
        <color rgb="FF00B050"/>
        <rFont val="Arial"/>
      </rPr>
      <t xml:space="preserve"> (INFORMAR realizadas)
</t>
    </r>
    <r>
      <rPr>
        <b/>
        <sz val="10"/>
        <color rgb="FFC00000"/>
        <rFont val="Arial"/>
      </rPr>
      <t>ADIC 50% DOM e FERIADOS (febrabpils)</t>
    </r>
  </si>
  <si>
    <r>
      <rPr>
        <b/>
        <sz val="10"/>
        <color theme="1"/>
        <rFont val="Arial"/>
      </rPr>
      <t xml:space="preserve">Vlr da Hora 100% 
</t>
    </r>
    <r>
      <rPr>
        <b/>
        <sz val="10"/>
        <color rgb="FFC00000"/>
        <rFont val="Arial"/>
      </rPr>
      <t>+ 50% febrapils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</si>
  <si>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</si>
  <si>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</si>
  <si>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</si>
  <si>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</si>
  <si>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</si>
  <si>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</si>
  <si>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</si>
  <si>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</si>
  <si>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</si>
  <si>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</si>
  <si>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</si>
  <si>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</si>
  <si>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</si>
  <si>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</si>
  <si>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</si>
  <si>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</si>
  <si>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rgb="FF0000FF"/>
        <rFont val="Arial"/>
      </rPr>
      <t>PREMIO ASSIDUIDADE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</si>
  <si>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B.2) Quantidade de dias do mês de recebimento de aux.aliment. </t>
    </r>
    <r>
      <rPr>
        <b/>
        <sz val="10"/>
        <color rgb="FF0000FF"/>
        <rFont val="Arial"/>
      </rPr>
      <t>PREMIO ASSIDUIDADE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</si>
  <si>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0000FF"/>
        <rFont val="Arial"/>
      </rPr>
      <t>PREMIO ASSIDUIDADE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</si>
  <si>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</si>
  <si>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</si>
  <si>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</si>
  <si>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</si>
  <si>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rgb="FF000000"/>
        <rFont val="Arial"/>
      </rPr>
      <t xml:space="preserve">Aviso Prévio Trabalhado   </t>
    </r>
    <r>
      <rPr>
        <b/>
        <sz val="10"/>
        <color rgb="FF0000FF"/>
        <rFont val="Arial"/>
      </rPr>
      <t xml:space="preserve">  </t>
    </r>
    <r>
      <rPr>
        <b/>
        <sz val="10"/>
        <color rgb="FFFF0000"/>
        <rFont val="Arial"/>
      </rPr>
      <t xml:space="preserve">  
(</t>
    </r>
    <r>
      <rPr>
        <b/>
        <sz val="9"/>
        <color rgb="FFFF0000"/>
        <rFont val="Arial"/>
      </rPr>
      <t>negociar extinção/redução na 1ª prorrogação)
  Cálculo do valor= [(Rem1/30)x7]/ meses do contratox100% dos empregados - ao final do contrato</t>
    </r>
    <r>
      <rPr>
        <b/>
        <sz val="9"/>
        <color rgb="FF0000FF"/>
        <rFont val="Arial"/>
      </rPr>
      <t xml:space="preserve">  
</t>
    </r>
    <r>
      <rPr>
        <b/>
        <sz val="12"/>
        <color rgb="FF0000FF"/>
        <rFont val="Arial"/>
      </rPr>
      <t xml:space="preserve">CONFORME ACORDAO  TCU 1.186/2017 definiu NOTA TEC. 652/2017 - MP
 </t>
    </r>
    <r>
      <rPr>
        <b/>
        <u/>
        <sz val="12"/>
        <color rgb="FF0000FF"/>
        <rFont val="Arial"/>
      </rPr>
      <t xml:space="preserve">PERCENTUAL MAXIMO DE 1,94% </t>
    </r>
    <r>
      <rPr>
        <b/>
        <sz val="12"/>
        <color rgb="FF0000FF"/>
        <rFont val="Arial"/>
      </rPr>
      <t xml:space="preserve">para aviso trabalhado 
E A sua reducao PARA o MAXIMO de  0,194%  apartir DA PRIMEIRA RENOVAÇÃO
</t>
    </r>
    <r>
      <rPr>
        <b/>
        <sz val="10"/>
        <color rgb="FF0000FF"/>
        <rFont val="Arial"/>
      </rPr>
      <t>(observada rotatividade para manutenção deste custo - PREVIAMENTE ACORDADO COM A EMPRESA)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</si>
  <si>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</si>
  <si>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</si>
  <si>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</si>
  <si>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</si>
  <si>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</si>
  <si>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</si>
  <si>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</si>
  <si>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</si>
  <si>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</si>
  <si>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</si>
  <si>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</si>
  <si>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</si>
  <si>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</si>
  <si>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</si>
  <si>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</si>
  <si>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</si>
  <si>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</si>
  <si>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</si>
  <si>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</si>
  <si>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theme="1"/>
        <rFont val="Arial"/>
      </rPr>
      <t xml:space="preserve">Salário Normativo da Categoria Profissional 
</t>
    </r>
    <r>
      <rPr>
        <b/>
        <sz val="10"/>
        <color rgb="FFC00000"/>
        <rFont val="Arial"/>
      </rPr>
      <t>(PESQUISA MERCADO)
100hs  R$ 2.016,00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</si>
  <si>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</si>
  <si>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</si>
  <si>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</si>
  <si>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</si>
  <si>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</si>
  <si>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</si>
  <si>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</si>
  <si>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</si>
  <si>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</si>
  <si>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: </t>
    </r>
    <r>
      <rPr>
        <b/>
        <sz val="10"/>
        <color rgb="FF0070C0"/>
        <rFont val="Arial"/>
      </rPr>
      <t xml:space="preserve">25% s/salario base febrapils </t>
    </r>
    <r>
      <rPr>
        <b/>
        <sz val="10"/>
        <color rgb="FF00B050"/>
        <rFont val="Arial"/>
      </rPr>
      <t>(INFORMAR realizadas)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</si>
  <si>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</si>
  <si>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</si>
  <si>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>Hrs extras A 50%</t>
    </r>
    <r>
      <rPr>
        <b/>
        <sz val="10"/>
        <color rgb="FF00B050"/>
        <rFont val="Arial"/>
      </rPr>
      <t xml:space="preserve">(INFORMAR realizadas)
</t>
    </r>
    <r>
      <rPr>
        <b/>
        <sz val="10"/>
        <color rgb="FFC00000"/>
        <rFont val="Arial"/>
      </rPr>
      <t>ADIC 25% SÁBADOS (febrabpils)</t>
    </r>
  </si>
  <si>
    <r>
      <rPr>
        <b/>
        <sz val="10"/>
        <color theme="1"/>
        <rFont val="Arial"/>
      </rPr>
      <t xml:space="preserve">Vlr da Hora 50%
</t>
    </r>
    <r>
      <rPr>
        <b/>
        <sz val="10"/>
        <color rgb="FFC00000"/>
        <rFont val="Arial"/>
      </rPr>
      <t>+ 25% febrapils</t>
    </r>
  </si>
  <si>
    <r>
      <rPr>
        <b/>
        <sz val="10"/>
        <color rgb="FF000000"/>
        <rFont val="Arial"/>
      </rPr>
      <t>Hrs extras A 100%</t>
    </r>
    <r>
      <rPr>
        <b/>
        <sz val="10"/>
        <color rgb="FF00B050"/>
        <rFont val="Arial"/>
      </rPr>
      <t xml:space="preserve"> (INFORMAR realizadas)
</t>
    </r>
    <r>
      <rPr>
        <b/>
        <sz val="10"/>
        <color rgb="FFC00000"/>
        <rFont val="Arial"/>
      </rPr>
      <t>ADIC 50% DOM e FERIADOS (febrabpils)</t>
    </r>
  </si>
  <si>
    <r>
      <rPr>
        <b/>
        <sz val="10"/>
        <color theme="1"/>
        <rFont val="Arial"/>
      </rPr>
      <t xml:space="preserve">Vlr da Hora 100% 
</t>
    </r>
    <r>
      <rPr>
        <b/>
        <sz val="10"/>
        <color rgb="FFC00000"/>
        <rFont val="Arial"/>
      </rPr>
      <t>+ 50% febrapils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</si>
  <si>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</si>
  <si>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</si>
  <si>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</si>
  <si>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</si>
  <si>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</si>
  <si>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</si>
  <si>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</si>
  <si>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</si>
  <si>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</si>
  <si>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</si>
  <si>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</si>
  <si>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</si>
  <si>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</si>
  <si>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</si>
  <si>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</si>
  <si>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</si>
  <si>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</si>
  <si>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</si>
  <si>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</si>
  <si>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</si>
  <si>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</si>
  <si>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t>Gratificação Aniversário</t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</si>
  <si>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</si>
  <si>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</si>
  <si>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rgb="FF000000"/>
        <rFont val="Arial"/>
      </rPr>
      <t xml:space="preserve">Aviso Prévio Trabalhado   </t>
    </r>
    <r>
      <rPr>
        <b/>
        <sz val="10"/>
        <color rgb="FF0000FF"/>
        <rFont val="Arial"/>
      </rPr>
      <t xml:space="preserve">  </t>
    </r>
    <r>
      <rPr>
        <b/>
        <sz val="10"/>
        <color rgb="FFFF0000"/>
        <rFont val="Arial"/>
      </rPr>
      <t xml:space="preserve">  
(</t>
    </r>
    <r>
      <rPr>
        <b/>
        <sz val="9"/>
        <color rgb="FFFF0000"/>
        <rFont val="Arial"/>
      </rPr>
      <t>negociar extinção/redução na 1ª prorrogação)
  Cálculo do valor= [(Rem1/30)x7]/ meses do contratox100% dos empregados - ao final do contrato</t>
    </r>
    <r>
      <rPr>
        <b/>
        <sz val="9"/>
        <color rgb="FF0000FF"/>
        <rFont val="Arial"/>
      </rPr>
      <t xml:space="preserve">  </t>
    </r>
    <r>
      <rPr>
        <b/>
        <sz val="10"/>
        <color rgb="FF0000FF"/>
        <rFont val="Arial"/>
      </rPr>
      <t xml:space="preserve">
CONFORME ACORDAO  TCU 1.186/2017 definiu NOTA TEC. 652/2017 - MP
 </t>
    </r>
    <r>
      <rPr>
        <b/>
        <u/>
        <sz val="10"/>
        <color rgb="FF0000FF"/>
        <rFont val="Arial"/>
      </rPr>
      <t xml:space="preserve">PERCENTUAL MAXIMO DE 1,94% </t>
    </r>
    <r>
      <rPr>
        <b/>
        <sz val="10"/>
        <color rgb="FF0000FF"/>
        <rFont val="Arial"/>
      </rPr>
      <t>para aviso trabalhado 
E A sua reducao PARA o MAXIMO de  0,194%  apartir DA PRIMEIRA RENOVAÇÃO
(observada rotatividade para manutenção deste custo - PREVIAMENTE ACORDADO COM A EMPRESA)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</si>
  <si>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</si>
  <si>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</si>
  <si>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</si>
  <si>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</si>
  <si>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</si>
  <si>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</si>
  <si>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</si>
  <si>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</si>
  <si>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</si>
  <si>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</si>
  <si>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</si>
  <si>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</si>
  <si>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</si>
  <si>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</si>
  <si>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</si>
  <si>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</si>
  <si>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</si>
  <si>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</si>
  <si>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</si>
  <si>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t xml:space="preserve">Salário Normativo da Categoria Profissional </t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</si>
  <si>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</si>
  <si>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</si>
  <si>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</si>
  <si>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</si>
  <si>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</si>
  <si>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</si>
  <si>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</si>
  <si>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função</t>
    </r>
    <r>
      <rPr>
        <b/>
        <sz val="10"/>
        <color rgb="FFFF9900"/>
        <rFont val="Arial"/>
      </rPr>
      <t xml:space="preserve"> </t>
    </r>
    <r>
      <rPr>
        <b/>
        <sz val="10"/>
        <color rgb="FFFF0000"/>
        <rFont val="Arial"/>
      </rPr>
      <t>- Cáluco do valor: ("% do adicional' * "salário mínimo") / número de postos. Somente um recebe a função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</si>
  <si>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</si>
  <si>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1"/>
        <color rgb="FF000000"/>
        <rFont val="Arial"/>
      </rPr>
      <t xml:space="preserve">Adicional Noturno  : </t>
    </r>
    <r>
      <rPr>
        <b/>
        <sz val="11"/>
        <color rgb="FF0070C0"/>
        <rFont val="Arial"/>
      </rPr>
      <t xml:space="preserve">20% s/salario + vantag </t>
    </r>
    <r>
      <rPr>
        <b/>
        <sz val="11"/>
        <color rgb="FF00B050"/>
        <rFont val="Arial"/>
      </rPr>
      <t>(INFORMAR realizadas)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</si>
  <si>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</si>
  <si>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</si>
  <si>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1"/>
        <color theme="1"/>
        <rFont val="Arial"/>
      </rPr>
      <t>Hrs extras A 50%</t>
    </r>
    <r>
      <rPr>
        <b/>
        <sz val="11"/>
        <color rgb="FF00B050"/>
        <rFont val="Arial"/>
      </rPr>
      <t>(INFORMAR realizadas)</t>
    </r>
  </si>
  <si>
    <r>
      <rPr>
        <b/>
        <sz val="11"/>
        <color theme="1"/>
        <rFont val="Arial"/>
      </rPr>
      <t>Hrs extras A 100%</t>
    </r>
    <r>
      <rPr>
        <b/>
        <sz val="11"/>
        <color rgb="FF00B050"/>
        <rFont val="Arial"/>
      </rPr>
      <t xml:space="preserve"> (INFORMAR realizadas)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</si>
  <si>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</si>
  <si>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</si>
  <si>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</si>
  <si>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</si>
  <si>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</si>
  <si>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</si>
  <si>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</si>
  <si>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</si>
  <si>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</si>
  <si>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</si>
  <si>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</si>
  <si>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</si>
  <si>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</si>
  <si>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</si>
  <si>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</si>
  <si>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</si>
  <si>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/ </t>
    </r>
    <r>
      <rPr>
        <b/>
        <sz val="10"/>
        <color rgb="FF0000FF"/>
        <rFont val="Arial"/>
      </rPr>
      <t>PREMIO ASSIDUIDADE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</si>
  <si>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</si>
  <si>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</si>
  <si>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</si>
  <si>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</si>
  <si>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</si>
  <si>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</si>
  <si>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rgb="FF000000"/>
        <rFont val="Arial"/>
      </rPr>
      <t xml:space="preserve">Aviso Prévio Trabalhado   </t>
    </r>
    <r>
      <rPr>
        <b/>
        <sz val="10"/>
        <color rgb="FF0000FF"/>
        <rFont val="Arial"/>
      </rPr>
      <t xml:space="preserve">  </t>
    </r>
    <r>
      <rPr>
        <b/>
        <sz val="10"/>
        <color rgb="FFFF0000"/>
        <rFont val="Arial"/>
      </rPr>
      <t xml:space="preserve">  
(</t>
    </r>
    <r>
      <rPr>
        <b/>
        <sz val="9"/>
        <color rgb="FFFF0000"/>
        <rFont val="Arial"/>
      </rPr>
      <t>negociar extinção/redução na 1ª prorrogação)
  Cálculo do valor= [(Rem1/30)x7]/ meses do contratox100% dos empregados - ao final do contrato</t>
    </r>
    <r>
      <rPr>
        <b/>
        <sz val="9"/>
        <color rgb="FF0000FF"/>
        <rFont val="Arial"/>
      </rPr>
      <t xml:space="preserve">  </t>
    </r>
    <r>
      <rPr>
        <b/>
        <sz val="10"/>
        <color rgb="FF0000FF"/>
        <rFont val="Arial"/>
      </rPr>
      <t xml:space="preserve">
CONFORME ACORDAO  TCU 1.186/2017 definiu NOTA TEC. 652/2017 - MP
 </t>
    </r>
    <r>
      <rPr>
        <b/>
        <u/>
        <sz val="10"/>
        <color rgb="FF0000FF"/>
        <rFont val="Arial"/>
      </rPr>
      <t xml:space="preserve">PERCENTUAL MAXIMO DE 1,94% </t>
    </r>
    <r>
      <rPr>
        <b/>
        <sz val="10"/>
        <color rgb="FF0000FF"/>
        <rFont val="Arial"/>
      </rPr>
      <t>para aviso trabalhado 
E A sua reducao PARA o MAXIMO de  0,194%  apartir DA PRIMEIRA RENOVAÇÃO
(observada rotatividade para manutenção deste custo - PREVIAMENTE ACORDADO COM A EMPRESA)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</si>
  <si>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</si>
  <si>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</si>
  <si>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</si>
  <si>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</si>
  <si>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</si>
  <si>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</si>
  <si>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</si>
  <si>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</si>
  <si>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</si>
  <si>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</si>
  <si>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</si>
  <si>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</si>
  <si>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</si>
  <si>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</si>
  <si>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</si>
  <si>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</si>
  <si>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</si>
  <si>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t/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</si>
  <si>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</si>
  <si>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</si>
  <si>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</si>
  <si>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</si>
  <si>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</si>
  <si>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</si>
  <si>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</si>
  <si>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</si>
  <si>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</si>
  <si>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</si>
  <si>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</t>
    </r>
  </si>
  <si>
    <r>
      <rPr>
        <b/>
        <sz val="11"/>
        <color rgb="FF000000"/>
        <rFont val="Arial"/>
      </rPr>
      <t xml:space="preserve">Adicional Noturno  : </t>
    </r>
    <r>
      <rPr>
        <b/>
        <sz val="11"/>
        <color rgb="FF0070C0"/>
        <rFont val="Arial"/>
      </rPr>
      <t xml:space="preserve">20% s/salario + vantag </t>
    </r>
    <r>
      <rPr>
        <b/>
        <sz val="11"/>
        <color rgb="FF00B050"/>
        <rFont val="Arial"/>
      </rPr>
      <t>(INFORMAR realizadas)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</si>
  <si>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</si>
  <si>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</si>
  <si>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1"/>
        <color theme="1"/>
        <rFont val="Arial"/>
      </rPr>
      <t>Hrs extras A 50%</t>
    </r>
    <r>
      <rPr>
        <b/>
        <sz val="11"/>
        <color rgb="FF00B050"/>
        <rFont val="Arial"/>
      </rPr>
      <t>(INFORMAR realizadas)</t>
    </r>
  </si>
  <si>
    <r>
      <rPr>
        <b/>
        <sz val="11"/>
        <color theme="1"/>
        <rFont val="Arial"/>
      </rPr>
      <t>Hrs extras A 100%</t>
    </r>
    <r>
      <rPr>
        <b/>
        <sz val="11"/>
        <color rgb="FF00B050"/>
        <rFont val="Arial"/>
      </rPr>
      <t xml:space="preserve"> (INFORMAR realizadas)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</si>
  <si>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</si>
  <si>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</si>
  <si>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</si>
  <si>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</si>
  <si>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</si>
  <si>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</si>
  <si>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</si>
  <si>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</si>
  <si>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</si>
  <si>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</si>
  <si>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</si>
  <si>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</si>
  <si>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</si>
  <si>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</si>
  <si>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</si>
  <si>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</si>
  <si>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/ </t>
    </r>
    <r>
      <rPr>
        <b/>
        <sz val="10"/>
        <color rgb="FF0000FF"/>
        <rFont val="Arial"/>
      </rPr>
      <t>PREMIO ASSIDUIDADE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</si>
  <si>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</si>
  <si>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</si>
  <si>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</si>
  <si>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</si>
  <si>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</si>
  <si>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</si>
  <si>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rgb="FF000000"/>
        <rFont val="Arial"/>
      </rPr>
      <t xml:space="preserve">Aviso Prévio Trabalhado   </t>
    </r>
    <r>
      <rPr>
        <b/>
        <sz val="10"/>
        <color rgb="FF0000FF"/>
        <rFont val="Arial"/>
      </rPr>
      <t xml:space="preserve">  </t>
    </r>
    <r>
      <rPr>
        <b/>
        <sz val="10"/>
        <color rgb="FFFF0000"/>
        <rFont val="Arial"/>
      </rPr>
      <t xml:space="preserve">  
(</t>
    </r>
    <r>
      <rPr>
        <b/>
        <sz val="9"/>
        <color rgb="FFFF0000"/>
        <rFont val="Arial"/>
      </rPr>
      <t>negociar extinção/redução na 1ª prorrogação)
  Cálculo do valor= [(Rem1/30)x7]/ meses do contratox100% dos empregados - ao final do contrato</t>
    </r>
    <r>
      <rPr>
        <b/>
        <sz val="9"/>
        <color rgb="FF0000FF"/>
        <rFont val="Arial"/>
      </rPr>
      <t xml:space="preserve">  </t>
    </r>
    <r>
      <rPr>
        <b/>
        <sz val="10"/>
        <color rgb="FF0000FF"/>
        <rFont val="Arial"/>
      </rPr>
      <t xml:space="preserve">
CONFORME ACORDAO  TCU 1.186/2017 definiu NOTA TEC. 652/2017 - MP
 </t>
    </r>
    <r>
      <rPr>
        <b/>
        <u/>
        <sz val="10"/>
        <color rgb="FF0000FF"/>
        <rFont val="Arial"/>
      </rPr>
      <t xml:space="preserve">PERCENTUAL MAXIMO DE 1,94% </t>
    </r>
    <r>
      <rPr>
        <b/>
        <sz val="10"/>
        <color rgb="FF0000FF"/>
        <rFont val="Arial"/>
      </rPr>
      <t>para aviso trabalhado 
E A sua reducao PARA o MAXIMO de  0,194%  apartir DA PRIMEIRA RENOVAÇÃO
(observada rotatividade para manutenção deste custo - PREVIAMENTE ACORDADO COM A EMPRESA)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</si>
  <si>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</si>
  <si>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</si>
  <si>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</si>
  <si>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</si>
  <si>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</si>
  <si>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</si>
  <si>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</si>
  <si>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</si>
  <si>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</si>
  <si>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</si>
  <si>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</si>
  <si>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</si>
  <si>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</si>
  <si>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</si>
  <si>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</si>
  <si>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</si>
  <si>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</si>
  <si>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</si>
  <si>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</si>
  <si>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</si>
  <si>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</si>
  <si>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</si>
  <si>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</si>
  <si>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</si>
  <si>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</si>
  <si>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</si>
  <si>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</si>
  <si>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</si>
  <si>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</si>
  <si>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</si>
  <si>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</si>
  <si>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t xml:space="preserve">Horas extras A 50% </t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</si>
  <si>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</si>
  <si>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t xml:space="preserve">Horas extras A 100% </t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</si>
  <si>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</si>
  <si>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</si>
  <si>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</si>
  <si>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</si>
  <si>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</si>
  <si>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</si>
  <si>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</si>
  <si>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</si>
  <si>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</si>
  <si>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</si>
  <si>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</si>
  <si>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</si>
  <si>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</si>
  <si>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</si>
  <si>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</si>
  <si>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</si>
  <si>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</si>
  <si>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</si>
  <si>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</si>
  <si>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</si>
  <si>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</si>
  <si>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</si>
  <si>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</si>
  <si>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</si>
  <si>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</si>
  <si>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</si>
  <si>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</si>
  <si>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</si>
  <si>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</si>
  <si>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</si>
  <si>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</si>
  <si>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</si>
  <si>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</si>
  <si>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</si>
  <si>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</si>
  <si>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</si>
  <si>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</si>
  <si>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</si>
  <si>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</si>
  <si>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</si>
  <si>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t>3.  COMPLEMENTO DOS SERVIÇOS DE VIGILÂNCIA – VALOR MENSAL DOS SERVIÇOS</t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</si>
  <si>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</si>
  <si>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</si>
  <si>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</si>
  <si>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</si>
  <si>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</si>
  <si>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</si>
  <si>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</si>
  <si>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</si>
  <si>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</si>
  <si>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</si>
  <si>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</si>
  <si>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</si>
  <si>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</si>
  <si>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</si>
  <si>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</si>
  <si>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</si>
  <si>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</si>
  <si>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</si>
  <si>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</si>
  <si>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</si>
  <si>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</si>
  <si>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</si>
  <si>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</si>
  <si>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</si>
  <si>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</si>
  <si>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</si>
  <si>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</si>
  <si>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</si>
  <si>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</si>
  <si>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</si>
  <si>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</si>
  <si>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</si>
  <si>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</si>
  <si>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</si>
  <si>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</si>
  <si>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</si>
  <si>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</si>
  <si>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</si>
  <si>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</si>
  <si>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</si>
  <si>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</si>
  <si>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</si>
  <si>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</si>
  <si>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</si>
  <si>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</si>
  <si>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</si>
  <si>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</si>
  <si>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</si>
  <si>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</si>
  <si>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</si>
  <si>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</si>
  <si>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</si>
  <si>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</si>
  <si>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</si>
  <si>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</si>
  <si>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</si>
  <si>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</si>
  <si>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</si>
  <si>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</si>
  <si>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</si>
  <si>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</si>
  <si>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</si>
  <si>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</si>
  <si>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</si>
  <si>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</si>
  <si>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</si>
  <si>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</si>
  <si>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</si>
  <si>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</si>
  <si>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</si>
  <si>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</si>
  <si>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</si>
  <si>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</si>
  <si>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</si>
  <si>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</si>
  <si>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</si>
  <si>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</si>
  <si>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</si>
  <si>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</si>
  <si>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</si>
  <si>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</si>
  <si>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</si>
  <si>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</si>
  <si>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</si>
  <si>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</si>
  <si>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</si>
  <si>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</si>
  <si>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</si>
  <si>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</si>
  <si>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</si>
  <si>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</si>
  <si>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</si>
  <si>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</si>
  <si>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</si>
  <si>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</si>
  <si>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</si>
  <si>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</si>
  <si>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</si>
  <si>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</si>
  <si>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</si>
  <si>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</si>
  <si>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</si>
  <si>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</si>
  <si>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</si>
  <si>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</si>
  <si>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</si>
  <si>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</si>
  <si>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</si>
  <si>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</si>
  <si>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</si>
  <si>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</si>
  <si>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</si>
  <si>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</si>
  <si>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</si>
  <si>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</si>
  <si>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</si>
  <si>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</si>
  <si>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</si>
  <si>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</si>
  <si>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</si>
  <si>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</si>
  <si>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</si>
  <si>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</si>
  <si>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</si>
  <si>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</si>
  <si>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</si>
  <si>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</si>
  <si>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</si>
  <si>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</si>
  <si>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</si>
  <si>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</si>
  <si>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</si>
  <si>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</si>
  <si>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</si>
  <si>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</si>
  <si>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</si>
  <si>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</si>
  <si>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</si>
  <si>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</si>
  <si>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</si>
  <si>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</si>
  <si>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</si>
  <si>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</si>
  <si>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</si>
  <si>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</si>
  <si>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</si>
  <si>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</si>
  <si>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</si>
  <si>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</si>
  <si>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</si>
  <si>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</si>
  <si>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</si>
  <si>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</si>
  <si>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</si>
  <si>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</si>
  <si>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</si>
  <si>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</si>
  <si>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</si>
  <si>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</si>
  <si>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</si>
  <si>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</si>
  <si>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</si>
  <si>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</si>
  <si>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</si>
  <si>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</si>
  <si>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</si>
  <si>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</si>
  <si>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</si>
  <si>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</si>
  <si>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</si>
  <si>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</si>
  <si>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</si>
  <si>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</si>
  <si>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</si>
  <si>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</si>
  <si>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</si>
  <si>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</si>
  <si>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</si>
  <si>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</si>
  <si>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</si>
  <si>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</si>
  <si>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</si>
  <si>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</si>
  <si>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</si>
  <si>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</si>
  <si>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</si>
  <si>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</si>
  <si>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</si>
  <si>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</si>
  <si>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</si>
  <si>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</si>
  <si>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</si>
  <si>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</si>
  <si>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</si>
  <si>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</si>
  <si>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</si>
  <si>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</si>
  <si>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</si>
  <si>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</si>
  <si>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</si>
  <si>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</si>
  <si>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</si>
  <si>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</si>
  <si>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</si>
  <si>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</si>
  <si>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</si>
  <si>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</si>
  <si>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</si>
  <si>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</si>
  <si>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</si>
  <si>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</si>
  <si>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</si>
  <si>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</si>
  <si>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</si>
  <si>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</si>
  <si>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</si>
  <si>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</si>
  <si>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</si>
  <si>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</si>
  <si>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</si>
  <si>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</si>
  <si>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</si>
  <si>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</si>
  <si>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</si>
  <si>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</si>
  <si>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</si>
  <si>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</si>
  <si>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</si>
  <si>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</si>
  <si>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</si>
  <si>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t>VALORES PARA DEMANDAS ESPORADICAS
(HORAS EXTRAORDINÁRIAS e DIÁRIAS DE VIAGEM)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</si>
</sst>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[$-F800]dddd\,\ mmmm\ dd\,\ yyyy"/>
    <numFmt numFmtId="165" formatCode="dd/mm/yy"/>
    <numFmt numFmtId="166" formatCode="&quot;R$&quot;\ #,##0.00"/>
    <numFmt numFmtId="167" formatCode="0.0%"/>
    <numFmt numFmtId="168" formatCode="0.000"/>
    <numFmt numFmtId="169" formatCode="_-* #,##0.00_-;\-* #,##0.00_-;_-* &quot;-&quot;??_-;_-@"/>
    <numFmt numFmtId="170" formatCode="_-&quot;R$&quot;\ * #,##0.00_-;\-&quot;R$&quot;\ * #,##0.00_-;_-&quot;R$&quot;\ * &quot;-&quot;??_-;_-@"/>
    <numFmt numFmtId="171" formatCode="[$R$ -416]#,##0.00"/>
    <numFmt numFmtId="172" formatCode="&quot;R$ &quot;#,##0.00"/>
    <numFmt numFmtId="173" formatCode="0.000%"/>
    <numFmt numFmtId="174" formatCode="0.0000"/>
    <numFmt numFmtId="175" formatCode="0.0000%"/>
    <numFmt numFmtId="176" formatCode="_(* #,##0.00_);_(* \(#,##0.00\);_(* \-??_);_(@_)"/>
  </numFmts>
  <fonts count="252">
    <font>
      <sz val="11"/>
      <color rgb="FF000000"/>
      <name val="Calibri"/>
      <scheme val="minor"/>
    </font>
    <font>
      <sz val="11"/>
      <color rgb="FF000000"/>
      <name val="Calibri"/>
    </font>
    <font>
      <sz val="18"/>
      <color rgb="FF000000"/>
      <name val="Calibri"/>
    </font>
    <font>
      <b/>
      <sz val="11"/>
      <color theme="0"/>
      <name val="Calibri"/>
    </font>
    <font>
      <b/>
      <sz val="14"/>
      <color rgb="FF980000"/>
      <name val="Calibri"/>
    </font>
    <font>
      <b/>
      <sz val="18"/>
      <color rgb="FF000000"/>
      <name val="Calibri"/>
    </font>
    <font>
      <b/>
      <sz val="11"/>
      <color rgb="FF000000"/>
      <name val="Calibri"/>
    </font>
    <font>
      <b/>
      <sz val="11"/>
      <color rgb="FF0070C0"/>
      <name val="Calibri"/>
    </font>
    <font>
      <sz val="13"/>
      <color rgb="FF000000"/>
      <name val="Arial Narrow"/>
    </font>
    <font>
      <b/>
      <sz val="13"/>
      <color rgb="FF000000"/>
      <name val="Arial Narrow"/>
    </font>
    <font>
      <b/>
      <sz val="13"/>
      <color rgb="FF0070C0"/>
      <name val="Arial Narrow"/>
    </font>
    <font>
      <sz val="13"/>
      <color theme="1"/>
      <name val="Arial Narrow"/>
    </font>
    <font>
      <sz val="11"/>
      <color theme="1"/>
      <name val="Calibri"/>
    </font>
    <font>
      <b/>
      <sz val="18"/>
      <color rgb="FF0070C0"/>
      <name val="Arial Narrow"/>
    </font>
    <font>
      <b/>
      <sz val="13"/>
      <color rgb="FFFF0000"/>
      <name val="Arial Narrow"/>
    </font>
    <font>
      <b/>
      <sz val="13"/>
      <color theme="1"/>
      <name val="Arial Narrow"/>
    </font>
    <font>
      <sz val="13"/>
      <color rgb="FFA61C00"/>
      <name val="Arial Narrow"/>
    </font>
    <font>
      <b/>
      <sz val="18"/>
      <color theme="1"/>
      <name val="Arial Narrow"/>
    </font>
    <font>
      <b/>
      <sz val="18"/>
      <color rgb="FF000000"/>
      <name val="Arial Narrow"/>
    </font>
    <font>
      <b/>
      <sz val="14"/>
      <color rgb="FF000000"/>
      <name val="Arial Narrow"/>
    </font>
    <font>
      <u/>
      <sz val="13"/>
      <color rgb="FF000000"/>
      <name val="Arial Narrow"/>
    </font>
    <font>
      <sz val="13"/>
      <color rgb="FF0000FF"/>
      <name val="Arial Narrow"/>
    </font>
    <font>
      <b/>
      <sz val="13"/>
      <color rgb="FF0000FF"/>
      <name val="Arial Narrow"/>
    </font>
    <font>
      <b/>
      <sz val="18"/>
      <color rgb="FF0000FF"/>
      <name val="Arial Narrow"/>
    </font>
    <font>
      <sz val="18"/>
      <color rgb="FF000000"/>
      <name val="Arial Narrow"/>
    </font>
    <font>
      <b/>
      <u/>
      <sz val="14"/>
      <color rgb="FFFFFFFF"/>
      <name val="Calibri"/>
    </font>
    <font>
      <sz val="11"/>
      <color theme="1"/>
      <name val="Calibri"/>
    </font>
    <font>
      <u/>
      <sz val="24"/>
      <color rgb="FF1155CC"/>
      <name val="Calibri"/>
    </font>
    <font>
      <sz val="24"/>
      <color rgb="FF000000"/>
      <name val="Calibri"/>
    </font>
    <font>
      <b/>
      <sz val="12"/>
      <color rgb="FF00B050"/>
      <name val="Calibri"/>
    </font>
    <font>
      <b/>
      <sz val="15"/>
      <color rgb="FF000000"/>
      <name val="Book Antiqua"/>
    </font>
    <font>
      <sz val="11"/>
      <color rgb="FFFFFFFF"/>
      <name val="Calibri"/>
    </font>
    <font>
      <b/>
      <sz val="15"/>
      <color rgb="FF00B050"/>
      <name val="Book Antiqua"/>
    </font>
    <font>
      <sz val="11"/>
      <name val="Calibri"/>
    </font>
    <font>
      <b/>
      <sz val="12"/>
      <color rgb="FF000000"/>
      <name val="Calibri"/>
    </font>
    <font>
      <b/>
      <sz val="18"/>
      <color rgb="FFFFFFFF"/>
      <name val="Calibri"/>
    </font>
    <font>
      <b/>
      <sz val="18"/>
      <color theme="0"/>
      <name val="Calibri"/>
    </font>
    <font>
      <sz val="11"/>
      <color theme="0"/>
      <name val="Calibri"/>
    </font>
    <font>
      <b/>
      <sz val="10"/>
      <color rgb="FF0070C0"/>
      <name val="Arial Narrow"/>
    </font>
    <font>
      <b/>
      <sz val="10"/>
      <color rgb="FFE36C09"/>
      <name val="Arial Narrow"/>
    </font>
    <font>
      <b/>
      <sz val="12"/>
      <color rgb="FFC00000"/>
      <name val="Calibri"/>
    </font>
    <font>
      <b/>
      <sz val="12"/>
      <color rgb="FF0000FF"/>
      <name val="Calibri"/>
    </font>
    <font>
      <b/>
      <sz val="12"/>
      <color rgb="FFFFFFFF"/>
      <name val="Calibri"/>
    </font>
    <font>
      <b/>
      <sz val="12"/>
      <color theme="0"/>
      <name val="Calibri"/>
    </font>
    <font>
      <b/>
      <sz val="12"/>
      <color rgb="FF00B050"/>
      <name val="Arial Narrow"/>
    </font>
    <font>
      <b/>
      <sz val="10"/>
      <color theme="1"/>
      <name val="Arial Narrow"/>
    </font>
    <font>
      <b/>
      <sz val="10"/>
      <color rgb="FF0000FF"/>
      <name val="Arial Narrow"/>
    </font>
    <font>
      <b/>
      <sz val="12"/>
      <color theme="1"/>
      <name val="Arial Narrow"/>
    </font>
    <font>
      <b/>
      <sz val="10"/>
      <color rgb="FFFF0000"/>
      <name val="Arial Narrow"/>
    </font>
    <font>
      <b/>
      <sz val="12"/>
      <color rgb="FF000000"/>
      <name val="Arial Narrow"/>
    </font>
    <font>
      <b/>
      <sz val="10"/>
      <color rgb="FF000000"/>
      <name val="Arial Narrow"/>
    </font>
    <font>
      <b/>
      <sz val="10"/>
      <color rgb="FF980000"/>
      <name val="Arial Narrow"/>
    </font>
    <font>
      <b/>
      <sz val="12"/>
      <color rgb="FFFFFFFF"/>
      <name val="Arial Narrow"/>
    </font>
    <font>
      <b/>
      <sz val="10"/>
      <color rgb="FFFFFFFF"/>
      <name val="Arial Narrow"/>
    </font>
    <font>
      <b/>
      <sz val="12"/>
      <color theme="0"/>
      <name val="Arial Narrow"/>
    </font>
    <font>
      <b/>
      <sz val="10"/>
      <color theme="0"/>
      <name val="Arial Narrow"/>
    </font>
    <font>
      <b/>
      <sz val="11"/>
      <color rgb="FF00B0F0"/>
      <name val="Calibri"/>
    </font>
    <font>
      <b/>
      <sz val="11"/>
      <color rgb="FF00B050"/>
      <name val="Calibri"/>
    </font>
    <font>
      <b/>
      <sz val="11"/>
      <color rgb="FF0000FF"/>
      <name val="Calibri"/>
    </font>
    <font>
      <b/>
      <sz val="11"/>
      <color rgb="FFFFFFFF"/>
      <name val="Calibri"/>
    </font>
    <font>
      <sz val="11"/>
      <color theme="0"/>
      <name val="Calibri"/>
    </font>
    <font>
      <b/>
      <sz val="11"/>
      <color rgb="FFE36C09"/>
      <name val="Calibri"/>
    </font>
    <font>
      <b/>
      <sz val="19"/>
      <color rgb="FF00B050"/>
      <name val="Calibri"/>
    </font>
    <font>
      <b/>
      <sz val="11"/>
      <color theme="1"/>
      <name val="Calibri"/>
    </font>
    <font>
      <b/>
      <sz val="11"/>
      <color rgb="FFFF0000"/>
      <name val="Calibri"/>
    </font>
    <font>
      <b/>
      <sz val="19"/>
      <color rgb="FF666666"/>
      <name val="Calibri"/>
    </font>
    <font>
      <sz val="12"/>
      <color rgb="FF666666"/>
      <name val="Calibri"/>
    </font>
    <font>
      <sz val="11"/>
      <color rgb="FF666666"/>
      <name val="Calibri"/>
    </font>
    <font>
      <sz val="12"/>
      <color rgb="FFFFFFFF"/>
      <name val="Calibri"/>
    </font>
    <font>
      <b/>
      <sz val="11"/>
      <color theme="1"/>
      <name val="Calibri"/>
    </font>
    <font>
      <b/>
      <sz val="11"/>
      <color theme="0"/>
      <name val="Calibri"/>
    </font>
    <font>
      <b/>
      <sz val="14"/>
      <color theme="0"/>
      <name val="Calibri"/>
    </font>
    <font>
      <b/>
      <sz val="11"/>
      <color rgb="FF666666"/>
      <name val="Calibri"/>
    </font>
    <font>
      <b/>
      <sz val="12"/>
      <color rgb="FF666666"/>
      <name val="Calibri"/>
    </font>
    <font>
      <b/>
      <sz val="19"/>
      <color rgb="FF000000"/>
      <name val="Calibri"/>
    </font>
    <font>
      <sz val="11"/>
      <color rgb="FF980000"/>
      <name val="Calibri"/>
    </font>
    <font>
      <sz val="11"/>
      <color rgb="FFFF0000"/>
      <name val="Calibri"/>
    </font>
    <font>
      <b/>
      <sz val="12"/>
      <color theme="1"/>
      <name val="Calibri"/>
    </font>
    <font>
      <sz val="11"/>
      <color rgb="FF999999"/>
      <name val="Calibri"/>
    </font>
    <font>
      <b/>
      <sz val="16"/>
      <color theme="1"/>
      <name val="Calibri"/>
    </font>
    <font>
      <b/>
      <sz val="12"/>
      <color theme="1"/>
      <name val="Merriweather"/>
    </font>
    <font>
      <sz val="11"/>
      <color rgb="FF0000FF"/>
      <name val="Calibri"/>
    </font>
    <font>
      <sz val="11"/>
      <color rgb="FF800000"/>
      <name val="Calibri"/>
    </font>
    <font>
      <sz val="14"/>
      <color theme="0"/>
      <name val="Calibri"/>
    </font>
    <font>
      <sz val="12"/>
      <color rgb="FF0070C0"/>
      <name val="Merriweather"/>
    </font>
    <font>
      <b/>
      <sz val="12"/>
      <color rgb="FFFFFF99"/>
      <name val="Merriweather"/>
    </font>
    <font>
      <sz val="11"/>
      <color rgb="FF00B050"/>
      <name val="Calibri"/>
    </font>
    <font>
      <sz val="11"/>
      <color rgb="FF0070C0"/>
      <name val="Calibri"/>
    </font>
    <font>
      <sz val="10"/>
      <color theme="1"/>
      <name val="Arial"/>
    </font>
    <font>
      <b/>
      <sz val="10"/>
      <color rgb="FF000000"/>
      <name val="Arial"/>
    </font>
    <font>
      <b/>
      <sz val="10"/>
      <color rgb="FFFF0000"/>
      <name val="Arial"/>
    </font>
    <font>
      <b/>
      <sz val="10"/>
      <color theme="1"/>
      <name val="Arial"/>
    </font>
    <font>
      <b/>
      <sz val="16"/>
      <color rgb="FF000000"/>
      <name val="Arial"/>
    </font>
    <font>
      <sz val="11"/>
      <color theme="1"/>
      <name val="Arial"/>
    </font>
    <font>
      <b/>
      <sz val="17"/>
      <color rgb="FFFF0000"/>
      <name val="Arial"/>
    </font>
    <font>
      <b/>
      <sz val="16"/>
      <color rgb="FFFF0000"/>
      <name val="Arial"/>
    </font>
    <font>
      <u/>
      <sz val="11"/>
      <color theme="10"/>
      <name val="Calibri"/>
    </font>
    <font>
      <b/>
      <sz val="11"/>
      <color theme="1"/>
      <name val="Corrier"/>
    </font>
    <font>
      <b/>
      <sz val="14"/>
      <color rgb="FFC00000"/>
      <name val="Arial"/>
    </font>
    <font>
      <b/>
      <sz val="10"/>
      <color theme="1"/>
      <name val="Corrier"/>
    </font>
    <font>
      <b/>
      <sz val="18"/>
      <color theme="1"/>
      <name val="Arial"/>
    </font>
    <font>
      <sz val="14"/>
      <color theme="1"/>
      <name val="Arial"/>
    </font>
    <font>
      <b/>
      <sz val="20"/>
      <color theme="1"/>
      <name val="Arial"/>
    </font>
    <font>
      <b/>
      <sz val="16"/>
      <color rgb="FF0000FF"/>
      <name val="Arial Narrow"/>
    </font>
    <font>
      <b/>
      <sz val="16"/>
      <color rgb="FFFFFFFF"/>
      <name val="Arial Narrow"/>
    </font>
    <font>
      <b/>
      <sz val="11"/>
      <color theme="0"/>
      <name val="Arial Narrow"/>
    </font>
    <font>
      <sz val="10"/>
      <color theme="0"/>
      <name val="Arial"/>
    </font>
    <font>
      <b/>
      <sz val="11"/>
      <color theme="1"/>
      <name val="Arial Narrow"/>
    </font>
    <font>
      <b/>
      <sz val="11"/>
      <color rgb="FFFFFFFF"/>
      <name val="Arial Narrow"/>
    </font>
    <font>
      <b/>
      <sz val="12"/>
      <color theme="1"/>
      <name val="Arial"/>
    </font>
    <font>
      <b/>
      <sz val="12"/>
      <color rgb="FFFFFFFF"/>
      <name val="Arial"/>
    </font>
    <font>
      <b/>
      <sz val="12"/>
      <color theme="0"/>
      <name val="Arial"/>
    </font>
    <font>
      <b/>
      <sz val="10"/>
      <color rgb="FFFFFFFF"/>
      <name val="Arial"/>
    </font>
    <font>
      <b/>
      <sz val="16"/>
      <color theme="1"/>
      <name val="Arial"/>
    </font>
    <font>
      <b/>
      <sz val="14"/>
      <color rgb="FFFFFFFF"/>
      <name val="Arial"/>
    </font>
    <font>
      <b/>
      <sz val="14"/>
      <color theme="0"/>
      <name val="Arial"/>
    </font>
    <font>
      <b/>
      <sz val="14"/>
      <color theme="1"/>
      <name val="Arial"/>
    </font>
    <font>
      <sz val="14"/>
      <color theme="0"/>
      <name val="Arial"/>
    </font>
    <font>
      <b/>
      <sz val="14"/>
      <color rgb="FF000000"/>
      <name val="Arial"/>
    </font>
    <font>
      <sz val="10"/>
      <color rgb="FFFFFFFF"/>
      <name val="Arial"/>
    </font>
    <font>
      <b/>
      <sz val="10"/>
      <color theme="0"/>
      <name val="Arial"/>
    </font>
    <font>
      <sz val="12"/>
      <color theme="1"/>
      <name val="Arial"/>
    </font>
    <font>
      <sz val="12"/>
      <color rgb="FFFFFFFF"/>
      <name val="Arial"/>
    </font>
    <font>
      <sz val="12"/>
      <color theme="0"/>
      <name val="Arial"/>
    </font>
    <font>
      <sz val="18"/>
      <color theme="1"/>
      <name val="Arial"/>
    </font>
    <font>
      <b/>
      <sz val="18"/>
      <color rgb="FFFFFFFF"/>
      <name val="Arial"/>
    </font>
    <font>
      <sz val="18"/>
      <color theme="0"/>
      <name val="Arial"/>
    </font>
    <font>
      <sz val="11"/>
      <color theme="1"/>
      <name val="Corrier"/>
    </font>
    <font>
      <sz val="11"/>
      <color theme="0"/>
      <name val="Corrier"/>
    </font>
    <font>
      <sz val="11"/>
      <color theme="1"/>
      <name val="Calibri"/>
      <scheme val="minor"/>
    </font>
    <font>
      <b/>
      <sz val="29"/>
      <color theme="1"/>
      <name val="Arial"/>
    </font>
    <font>
      <sz val="11"/>
      <color rgb="FFFFFFFF"/>
      <name val="Calibri"/>
      <scheme val="minor"/>
    </font>
    <font>
      <b/>
      <sz val="12"/>
      <color rgb="FF000000"/>
      <name val="Arial"/>
    </font>
    <font>
      <b/>
      <sz val="14"/>
      <color rgb="FFFF0000"/>
      <name val="Arial"/>
    </font>
    <font>
      <b/>
      <sz val="10"/>
      <color theme="0"/>
      <name val="Corrier"/>
    </font>
    <font>
      <b/>
      <sz val="15"/>
      <color rgb="FFFF0000"/>
      <name val="Arial"/>
    </font>
    <font>
      <b/>
      <sz val="11"/>
      <color rgb="FFFFFF00"/>
      <name val="Calibri"/>
    </font>
    <font>
      <b/>
      <sz val="11"/>
      <color rgb="FFFFFF00"/>
      <name val="Arial"/>
    </font>
    <font>
      <sz val="11"/>
      <color rgb="FF000000"/>
      <name val="Arial"/>
    </font>
    <font>
      <b/>
      <sz val="20"/>
      <color rgb="FF000000"/>
      <name val="Arial"/>
    </font>
    <font>
      <b/>
      <sz val="11"/>
      <color rgb="FF000000"/>
      <name val="Arial"/>
    </font>
    <font>
      <b/>
      <sz val="16"/>
      <color rgb="FFC00000"/>
      <name val="Calibri"/>
    </font>
    <font>
      <b/>
      <sz val="20"/>
      <color rgb="FFC00000"/>
      <name val="Calibri"/>
    </font>
    <font>
      <sz val="14"/>
      <color rgb="FF800000"/>
      <name val="Calibri"/>
    </font>
    <font>
      <b/>
      <sz val="16"/>
      <color rgb="FFC00000"/>
      <name val="Arial"/>
    </font>
    <font>
      <u/>
      <sz val="11"/>
      <color theme="10"/>
      <name val="Calibri"/>
    </font>
    <font>
      <sz val="16"/>
      <color rgb="FF000000"/>
      <name val="Arial"/>
    </font>
    <font>
      <b/>
      <sz val="11"/>
      <color theme="1"/>
      <name val="Arial"/>
    </font>
    <font>
      <b/>
      <sz val="14"/>
      <color rgb="FF000000"/>
      <name val="Calibri"/>
    </font>
    <font>
      <sz val="14"/>
      <color rgb="FF000000"/>
      <name val="Arial"/>
    </font>
    <font>
      <b/>
      <sz val="16"/>
      <color rgb="FFA5A5A5"/>
      <name val="Arial"/>
    </font>
    <font>
      <sz val="10"/>
      <color rgb="FF000000"/>
      <name val="Arial"/>
    </font>
    <font>
      <b/>
      <sz val="10"/>
      <color rgb="FFE36C09"/>
      <name val="Arial"/>
    </font>
    <font>
      <sz val="10"/>
      <color rgb="FF000000"/>
      <name val="Calibri"/>
    </font>
    <font>
      <b/>
      <sz val="10"/>
      <color theme="1"/>
      <name val="Calibri"/>
    </font>
    <font>
      <b/>
      <sz val="11"/>
      <color theme="1"/>
      <name val="Calibri"/>
      <scheme val="minor"/>
    </font>
    <font>
      <sz val="9"/>
      <color theme="1"/>
      <name val="Calibri"/>
    </font>
    <font>
      <b/>
      <sz val="10"/>
      <color rgb="FF980000"/>
      <name val="Arial"/>
    </font>
    <font>
      <b/>
      <sz val="9"/>
      <color rgb="FF980000"/>
      <name val="Calibri"/>
    </font>
    <font>
      <b/>
      <sz val="11"/>
      <color rgb="FF980000"/>
      <name val="Calibri"/>
      <scheme val="minor"/>
    </font>
    <font>
      <b/>
      <sz val="14"/>
      <color theme="1"/>
      <name val="Times New Roman"/>
    </font>
    <font>
      <sz val="11"/>
      <color theme="1"/>
      <name val="Arial"/>
    </font>
    <font>
      <b/>
      <sz val="11"/>
      <color theme="1"/>
      <name val="Arial"/>
    </font>
    <font>
      <sz val="12"/>
      <color theme="1"/>
      <name val="&quot;Times New Roman&quot;"/>
    </font>
    <font>
      <b/>
      <sz val="12"/>
      <color rgb="FFFF0000"/>
      <name val="&quot;Times New Roman&quot;"/>
    </font>
    <font>
      <b/>
      <sz val="11"/>
      <color rgb="FFFF0000"/>
      <name val="Arial"/>
    </font>
    <font>
      <sz val="9"/>
      <color theme="1"/>
      <name val="Arial"/>
    </font>
    <font>
      <b/>
      <sz val="11"/>
      <color rgb="FFFFFFFF"/>
      <name val="Arial"/>
    </font>
    <font>
      <b/>
      <sz val="15"/>
      <color rgb="FF800080"/>
      <name val="Arial"/>
    </font>
    <font>
      <b/>
      <sz val="10"/>
      <color rgb="FF00B0F0"/>
      <name val="Arial"/>
    </font>
    <font>
      <b/>
      <sz val="15"/>
      <color theme="1"/>
      <name val="Arial"/>
    </font>
    <font>
      <b/>
      <sz val="12"/>
      <color rgb="FFFF0000"/>
      <name val="Arial"/>
    </font>
    <font>
      <b/>
      <sz val="14"/>
      <color theme="1"/>
      <name val="Calibri"/>
    </font>
    <font>
      <b/>
      <sz val="10"/>
      <color rgb="FF0000FF"/>
      <name val="Arial"/>
    </font>
    <font>
      <b/>
      <sz val="9"/>
      <color rgb="FF0000FF"/>
      <name val="Arial"/>
    </font>
    <font>
      <sz val="8"/>
      <color theme="1"/>
      <name val="Arial"/>
    </font>
    <font>
      <b/>
      <sz val="12"/>
      <color rgb="FF0000FF"/>
      <name val="Arial"/>
    </font>
    <font>
      <b/>
      <sz val="12"/>
      <color rgb="FF980000"/>
      <name val="Arial"/>
    </font>
    <font>
      <sz val="9"/>
      <color rgb="FF000000"/>
      <name val="Arial"/>
    </font>
    <font>
      <b/>
      <sz val="11"/>
      <color rgb="FF000000"/>
      <name val="Arial"/>
    </font>
    <font>
      <b/>
      <strike/>
      <sz val="10"/>
      <color rgb="FFFF0000"/>
      <name val="Arial"/>
    </font>
    <font>
      <b/>
      <sz val="9"/>
      <color rgb="FFFF0000"/>
      <name val="Arial"/>
    </font>
    <font>
      <b/>
      <sz val="13"/>
      <color theme="1"/>
      <name val="Arial"/>
    </font>
    <font>
      <sz val="11"/>
      <color rgb="FF0000FF"/>
      <name val="Arial"/>
    </font>
    <font>
      <sz val="22"/>
      <color rgb="FF0000FF"/>
      <name val="Calibri"/>
      <scheme val="minor"/>
    </font>
    <font>
      <b/>
      <sz val="11"/>
      <color rgb="FF00B050"/>
      <name val="Arial"/>
    </font>
    <font>
      <sz val="22"/>
      <color rgb="FF00B050"/>
      <name val="Calibri"/>
      <scheme val="minor"/>
    </font>
    <font>
      <b/>
      <sz val="11"/>
      <color rgb="FF1C4587"/>
      <name val="Arial"/>
    </font>
    <font>
      <sz val="22"/>
      <color rgb="FF1C4587"/>
      <name val="Calibri"/>
      <scheme val="minor"/>
    </font>
    <font>
      <b/>
      <sz val="24"/>
      <color theme="1"/>
      <name val="Arial"/>
    </font>
    <font>
      <b/>
      <sz val="10"/>
      <color rgb="FF808000"/>
      <name val="Arial"/>
    </font>
    <font>
      <b/>
      <sz val="14"/>
      <color rgb="FF0000FF"/>
      <name val="Arial"/>
    </font>
    <font>
      <b/>
      <sz val="11"/>
      <color rgb="FF0000FF"/>
      <name val="Arial"/>
    </font>
    <font>
      <sz val="9"/>
      <color rgb="FF808000"/>
      <name val="Arial"/>
    </font>
    <font>
      <sz val="10"/>
      <color rgb="FFFF0000"/>
      <name val="Arial"/>
    </font>
    <font>
      <b/>
      <sz val="14"/>
      <color rgb="FF980000"/>
      <name val="Arial"/>
    </font>
    <font>
      <b/>
      <sz val="16"/>
      <color rgb="FF999999"/>
      <name val="Arial"/>
    </font>
    <font>
      <b/>
      <sz val="15"/>
      <color rgb="FF0000FF"/>
      <name val="Arial"/>
    </font>
    <font>
      <b/>
      <sz val="28"/>
      <color theme="1"/>
      <name val="Arial"/>
    </font>
    <font>
      <sz val="11"/>
      <color rgb="FF0000FF"/>
      <name val="Calibri"/>
      <scheme val="minor"/>
    </font>
    <font>
      <b/>
      <sz val="24"/>
      <color rgb="FF0000FF"/>
      <name val="Arial"/>
    </font>
    <font>
      <b/>
      <sz val="21"/>
      <color theme="1"/>
      <name val="Calibri"/>
    </font>
    <font>
      <b/>
      <sz val="13"/>
      <color theme="1"/>
      <name val="Calibri"/>
    </font>
    <font>
      <sz val="19"/>
      <color theme="1"/>
      <name val="Calibri"/>
    </font>
    <font>
      <b/>
      <sz val="18"/>
      <color rgb="FF00B050"/>
      <name val="Calibri"/>
    </font>
    <font>
      <sz val="13"/>
      <color theme="1"/>
      <name val="Calibri"/>
    </font>
    <font>
      <sz val="27"/>
      <color theme="1"/>
      <name val="Calibri"/>
    </font>
    <font>
      <sz val="28"/>
      <color rgb="FF000000"/>
      <name val="Calibri"/>
    </font>
    <font>
      <b/>
      <sz val="25"/>
      <color theme="1"/>
      <name val="Arial"/>
    </font>
    <font>
      <sz val="22"/>
      <color rgb="FF0000FF"/>
      <name val="Calibri"/>
    </font>
    <font>
      <sz val="22"/>
      <color rgb="FF00B050"/>
      <name val="Calibri"/>
    </font>
    <font>
      <sz val="22"/>
      <color rgb="FF1C4587"/>
      <name val="Calibri"/>
    </font>
    <font>
      <b/>
      <sz val="19"/>
      <color theme="1"/>
      <name val="Arial"/>
    </font>
    <font>
      <b/>
      <sz val="16"/>
      <color rgb="FF0000FF"/>
      <name val="Arial"/>
    </font>
    <font>
      <sz val="11"/>
      <color rgb="FF999999"/>
      <name val="Calibri"/>
    </font>
    <font>
      <sz val="11"/>
      <color rgb="FF999999"/>
      <name val="Arial"/>
    </font>
    <font>
      <b/>
      <sz val="16"/>
      <color rgb="FF000000"/>
      <name val="Courier New"/>
    </font>
    <font>
      <b/>
      <sz val="16"/>
      <color rgb="FFFFFFFF"/>
      <name val="Arial"/>
    </font>
    <font>
      <sz val="18"/>
      <color rgb="FFFABF8F"/>
      <name val="Calibri"/>
    </font>
    <font>
      <sz val="13"/>
      <color rgb="FF000000"/>
      <name val="&quot;Arial Narrow&quot;, Arial"/>
    </font>
    <font>
      <u/>
      <sz val="13"/>
      <color rgb="FF000000"/>
      <name val="&quot;Arial Narrow&quot;, Arial"/>
    </font>
    <font>
      <b/>
      <u/>
      <sz val="13"/>
      <color rgb="FF000000"/>
      <name val="&quot;Arial Narrow&quot;, Arial"/>
    </font>
    <font>
      <b/>
      <sz val="11"/>
      <color rgb="FFC00000"/>
      <name val="Arial"/>
    </font>
    <font>
      <b/>
      <sz val="12"/>
      <color rgb="FF00B0F0"/>
      <name val="Arial"/>
    </font>
    <font>
      <b/>
      <sz val="10"/>
      <color rgb="FFC00000"/>
      <name val="Arial"/>
    </font>
    <font>
      <b/>
      <sz val="11"/>
      <color rgb="FF0070C0"/>
      <name val="Arial"/>
    </font>
    <font>
      <b/>
      <strike/>
      <sz val="11"/>
      <color rgb="FF993366"/>
      <name val="Arial"/>
    </font>
    <font>
      <b/>
      <strike/>
      <sz val="11"/>
      <color rgb="FF808000"/>
      <name val="Arial"/>
    </font>
    <font>
      <b/>
      <strike/>
      <sz val="10"/>
      <color rgb="FF993366"/>
      <name val="Arial"/>
    </font>
    <font>
      <b/>
      <strike/>
      <sz val="11"/>
      <color rgb="FF000000"/>
      <name val="Arial"/>
    </font>
    <font>
      <b/>
      <sz val="8"/>
      <color rgb="FFFF0000"/>
      <name val="Arial"/>
    </font>
    <font>
      <b/>
      <sz val="11"/>
      <color rgb="FF808000"/>
      <name val="Arial"/>
    </font>
    <font>
      <b/>
      <sz val="10"/>
      <color rgb="FF00B050"/>
      <name val="Arial"/>
    </font>
    <font>
      <b/>
      <strike/>
      <sz val="9"/>
      <color rgb="FFFF0000"/>
      <name val="Arial"/>
    </font>
    <font>
      <b/>
      <strike/>
      <sz val="9"/>
      <color rgb="FF0000FF"/>
      <name val="Arial"/>
    </font>
    <font>
      <b/>
      <sz val="8"/>
      <color rgb="FF0000FF"/>
      <name val="Arial"/>
    </font>
    <font>
      <b/>
      <sz val="10"/>
      <color rgb="FF008080"/>
      <name val="Arial"/>
    </font>
    <font>
      <b/>
      <u/>
      <sz val="10"/>
      <color rgb="FF0000FF"/>
      <name val="Arial"/>
    </font>
    <font>
      <b/>
      <sz val="9"/>
      <color rgb="FF0066CC"/>
      <name val="Arial"/>
    </font>
    <font>
      <sz val="8"/>
      <color rgb="FFFF0000"/>
      <name val="Arial"/>
    </font>
    <font>
      <sz val="9"/>
      <color rgb="FFFF0000"/>
      <name val="Arial"/>
    </font>
    <font>
      <b/>
      <sz val="16"/>
      <color theme="1"/>
      <name val="Calibri, Arial"/>
    </font>
    <font>
      <b/>
      <sz val="16"/>
      <color rgb="FF980000"/>
      <name val="Calibri, Arial"/>
    </font>
    <font>
      <sz val="11"/>
      <color theme="1"/>
      <name val="Calibri, Arial"/>
    </font>
    <font>
      <b/>
      <sz val="11"/>
      <color rgb="FF980000"/>
      <name val="Calibri, Arial"/>
    </font>
    <font>
      <b/>
      <sz val="19"/>
      <color rgb="FF980000"/>
      <name val="Arial"/>
    </font>
    <font>
      <b/>
      <sz val="9"/>
      <color theme="1"/>
      <name val="Arial"/>
    </font>
    <font>
      <b/>
      <strike/>
      <sz val="10"/>
      <color rgb="FF0000FF"/>
      <name val="Arial"/>
    </font>
    <font>
      <b/>
      <strike/>
      <sz val="10"/>
      <color theme="1"/>
      <name val="Arial"/>
    </font>
    <font>
      <b/>
      <sz val="10"/>
      <color rgb="FF0070C0"/>
      <name val="Arial"/>
    </font>
    <font>
      <b/>
      <u/>
      <sz val="12"/>
      <color rgb="FF0000FF"/>
      <name val="Arial"/>
    </font>
    <font>
      <b/>
      <sz val="10"/>
      <color rgb="FFFF9900"/>
      <name val="Arial"/>
    </font>
  </fonts>
  <fills count="2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99999"/>
        <bgColor rgb="FF999999"/>
      </patternFill>
    </fill>
    <fill>
      <patternFill patternType="solid">
        <fgColor rgb="FF434343"/>
        <bgColor rgb="FF434343"/>
      </patternFill>
    </fill>
    <fill>
      <patternFill patternType="solid">
        <fgColor rgb="FF000000"/>
        <bgColor rgb="FF000000"/>
      </patternFill>
    </fill>
    <fill>
      <patternFill patternType="solid">
        <fgColor rgb="FFF2F2F2"/>
        <bgColor rgb="FFF2F2F2"/>
      </patternFill>
    </fill>
    <fill>
      <patternFill patternType="solid">
        <fgColor theme="1"/>
        <bgColor theme="1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CFE2F3"/>
        <bgColor rgb="FFCFE2F3"/>
      </patternFill>
    </fill>
    <fill>
      <patternFill patternType="solid">
        <fgColor rgb="FFC3FB25"/>
        <bgColor rgb="FFC3FB25"/>
      </patternFill>
    </fill>
    <fill>
      <patternFill patternType="solid">
        <fgColor rgb="FFFDE9D9"/>
        <bgColor rgb="FFFDE9D9"/>
      </patternFill>
    </fill>
    <fill>
      <patternFill patternType="solid">
        <fgColor rgb="FFEAF1DD"/>
        <bgColor rgb="FFEAF1DD"/>
      </patternFill>
    </fill>
    <fill>
      <patternFill patternType="solid">
        <fgColor rgb="FFDAEEF3"/>
        <bgColor rgb="FFDAEEF3"/>
      </patternFill>
    </fill>
    <fill>
      <patternFill patternType="solid">
        <fgColor rgb="FFD99594"/>
        <bgColor rgb="FFD99594"/>
      </patternFill>
    </fill>
    <fill>
      <patternFill patternType="solid">
        <fgColor rgb="FFF3F3F3"/>
        <bgColor rgb="FFF3F3F3"/>
      </patternFill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BF9000"/>
        <bgColor rgb="FFBF9000"/>
      </patternFill>
    </fill>
    <fill>
      <patternFill patternType="solid">
        <fgColor rgb="FF6D9EEB"/>
        <bgColor rgb="FF6D9EEB"/>
      </patternFill>
    </fill>
    <fill>
      <patternFill patternType="solid">
        <fgColor rgb="FFEBF1DE"/>
        <bgColor rgb="FFEBF1DE"/>
      </patternFill>
    </fill>
    <fill>
      <patternFill patternType="solid">
        <fgColor rgb="FFBDBDBD"/>
        <bgColor rgb="FFBDBDBD"/>
      </patternFill>
    </fill>
    <fill>
      <patternFill patternType="solid">
        <fgColor rgb="FFD9D9D9"/>
        <bgColor rgb="FFD9D9D9"/>
      </patternFill>
    </fill>
    <fill>
      <patternFill patternType="solid">
        <fgColor rgb="FFFFFF99"/>
        <bgColor rgb="FFFFFF99"/>
      </patternFill>
    </fill>
    <fill>
      <patternFill patternType="solid">
        <fgColor rgb="FFD6E3BC"/>
        <bgColor rgb="FFD6E3BC"/>
      </patternFill>
    </fill>
    <fill>
      <patternFill patternType="solid">
        <fgColor rgb="FFEFEFEF"/>
        <bgColor rgb="FFEFEFEF"/>
      </patternFill>
    </fill>
    <fill>
      <patternFill patternType="solid">
        <fgColor rgb="FF00FF00"/>
        <bgColor rgb="FF00FF00"/>
      </patternFill>
    </fill>
  </fills>
  <borders count="1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/>
      <top/>
      <bottom/>
      <diagonal/>
    </border>
    <border>
      <left/>
      <right style="hair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hair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/>
      <top/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dotted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double">
        <color rgb="FF92CDDC"/>
      </top>
      <bottom style="double">
        <color rgb="FF92CDDC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/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/>
      <top/>
      <bottom style="hair">
        <color rgb="FF7F7F7F"/>
      </bottom>
      <diagonal/>
    </border>
    <border>
      <left/>
      <right/>
      <top style="hair">
        <color rgb="FF7F7F7F"/>
      </top>
      <bottom style="hair">
        <color rgb="FF7F7F7F"/>
      </bottom>
      <diagonal/>
    </border>
    <border>
      <left/>
      <right/>
      <top/>
      <bottom style="dotted">
        <color rgb="FF000000"/>
      </bottom>
      <diagonal/>
    </border>
    <border>
      <left/>
      <right/>
      <top/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980000"/>
      </left>
      <right style="thin">
        <color rgb="FF000000"/>
      </right>
      <top style="thin">
        <color rgb="FF980000"/>
      </top>
      <bottom style="thin">
        <color rgb="FF980000"/>
      </bottom>
      <diagonal/>
    </border>
    <border>
      <left style="thin">
        <color rgb="FF000000"/>
      </left>
      <right/>
      <top style="thin">
        <color rgb="FF980000"/>
      </top>
      <bottom style="thin">
        <color rgb="FF980000"/>
      </bottom>
      <diagonal/>
    </border>
    <border>
      <left/>
      <right/>
      <top style="thin">
        <color rgb="FF980000"/>
      </top>
      <bottom style="thin">
        <color rgb="FF980000"/>
      </bottom>
      <diagonal/>
    </border>
    <border>
      <left/>
      <right style="thin">
        <color rgb="FF000000"/>
      </right>
      <top style="thin">
        <color rgb="FF980000"/>
      </top>
      <bottom style="thin">
        <color rgb="FF980000"/>
      </bottom>
      <diagonal/>
    </border>
    <border>
      <left/>
      <right style="thin">
        <color rgb="FF980000"/>
      </right>
      <top style="thin">
        <color rgb="FF980000"/>
      </top>
      <bottom style="thin">
        <color rgb="FF98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8">
    <xf numFmtId="0" fontId="0" fillId="0" borderId="0" xfId="0" applyFont="1" applyAlignment="1"/>
    <xf numFmtId="0" fontId="1" fillId="0" borderId="0" xfId="0" applyFont="1"/>
    <xf numFmtId="10" fontId="1" fillId="0" borderId="0" xfId="0" applyNumberFormat="1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2" borderId="0" xfId="0" applyFont="1" applyFill="1" applyAlignment="1"/>
    <xf numFmtId="0" fontId="4" fillId="2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49" fontId="8" fillId="0" borderId="0" xfId="0" applyNumberFormat="1" applyFont="1" applyAlignment="1">
      <alignment horizontal="center" vertical="center" wrapText="1"/>
    </xf>
    <xf numFmtId="4" fontId="8" fillId="0" borderId="0" xfId="0" applyNumberFormat="1" applyFont="1" applyAlignment="1">
      <alignment horizontal="center" vertical="center"/>
    </xf>
    <xf numFmtId="10" fontId="8" fillId="0" borderId="0" xfId="0" applyNumberFormat="1" applyFont="1" applyAlignment="1">
      <alignment horizontal="center" vertical="center"/>
    </xf>
    <xf numFmtId="10" fontId="11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12" fillId="3" borderId="0" xfId="0" applyFont="1" applyFill="1"/>
    <xf numFmtId="0" fontId="13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4" fontId="9" fillId="0" borderId="0" xfId="0" applyNumberFormat="1" applyFont="1" applyAlignment="1">
      <alignment horizontal="center" vertical="center"/>
    </xf>
    <xf numFmtId="0" fontId="13" fillId="3" borderId="0" xfId="0" applyFont="1" applyFill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4" fontId="14" fillId="0" borderId="0" xfId="0" applyNumberFormat="1" applyFont="1" applyAlignment="1">
      <alignment horizontal="center" vertical="center"/>
    </xf>
    <xf numFmtId="4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49" fontId="11" fillId="0" borderId="0" xfId="0" applyNumberFormat="1" applyFont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10" fontId="15" fillId="0" borderId="0" xfId="0" applyNumberFormat="1" applyFont="1" applyAlignment="1">
      <alignment horizontal="center" vertical="center"/>
    </xf>
    <xf numFmtId="0" fontId="17" fillId="3" borderId="0" xfId="0" applyFont="1" applyFill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5" fillId="0" borderId="1" xfId="0" applyFont="1" applyBorder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18" fillId="3" borderId="0" xfId="0" applyFont="1" applyFill="1" applyAlignment="1">
      <alignment horizontal="left" vertical="center"/>
    </xf>
    <xf numFmtId="0" fontId="18" fillId="0" borderId="0" xfId="0" applyFont="1" applyAlignment="1">
      <alignment horizontal="left" vertical="center"/>
    </xf>
    <xf numFmtId="10" fontId="9" fillId="0" borderId="0" xfId="0" applyNumberFormat="1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4" fontId="19" fillId="0" borderId="0" xfId="0" applyNumberFormat="1" applyFont="1" applyAlignment="1">
      <alignment horizontal="center" vertical="center"/>
    </xf>
    <xf numFmtId="10" fontId="9" fillId="0" borderId="0" xfId="0" applyNumberFormat="1" applyFont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" fontId="21" fillId="0" borderId="0" xfId="0" applyNumberFormat="1" applyFont="1" applyAlignment="1">
      <alignment horizontal="center" vertical="center"/>
    </xf>
    <xf numFmtId="10" fontId="21" fillId="0" borderId="0" xfId="0" applyNumberFormat="1" applyFont="1" applyAlignment="1">
      <alignment horizontal="center" vertical="center"/>
    </xf>
    <xf numFmtId="10" fontId="21" fillId="0" borderId="0" xfId="0" applyNumberFormat="1" applyFont="1" applyAlignment="1">
      <alignment horizontal="center" vertical="center"/>
    </xf>
    <xf numFmtId="1" fontId="21" fillId="0" borderId="0" xfId="0" applyNumberFormat="1" applyFont="1" applyAlignment="1">
      <alignment horizontal="center" vertical="center"/>
    </xf>
    <xf numFmtId="4" fontId="21" fillId="0" borderId="0" xfId="0" applyNumberFormat="1" applyFont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0" fontId="23" fillId="3" borderId="0" xfId="0" applyFont="1" applyFill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10" fontId="8" fillId="0" borderId="0" xfId="0" applyNumberFormat="1" applyFont="1" applyAlignment="1">
      <alignment horizontal="center" vertical="center"/>
    </xf>
    <xf numFmtId="10" fontId="8" fillId="0" borderId="0" xfId="0" applyNumberFormat="1" applyFont="1" applyAlignment="1">
      <alignment vertical="center"/>
    </xf>
    <xf numFmtId="0" fontId="24" fillId="0" borderId="0" xfId="0" applyFont="1" applyAlignment="1">
      <alignment horizontal="left" vertical="center"/>
    </xf>
    <xf numFmtId="0" fontId="24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/>
    </xf>
    <xf numFmtId="0" fontId="26" fillId="5" borderId="0" xfId="0" applyFont="1" applyFill="1"/>
    <xf numFmtId="0" fontId="26" fillId="5" borderId="0" xfId="0" applyFont="1" applyFill="1" applyAlignment="1"/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26" fillId="5" borderId="0" xfId="0" applyFont="1" applyFill="1" applyAlignment="1"/>
    <xf numFmtId="0" fontId="26" fillId="5" borderId="0" xfId="0" applyFont="1" applyFill="1" applyAlignment="1"/>
    <xf numFmtId="0" fontId="30" fillId="0" borderId="0" xfId="0" applyFont="1" applyAlignment="1">
      <alignment horizontal="center"/>
    </xf>
    <xf numFmtId="0" fontId="31" fillId="5" borderId="3" xfId="0" applyFont="1" applyFill="1" applyBorder="1" applyAlignment="1">
      <alignment horizontal="center" vertical="center"/>
    </xf>
    <xf numFmtId="0" fontId="26" fillId="5" borderId="3" xfId="0" applyFont="1" applyFill="1" applyBorder="1" applyAlignment="1"/>
    <xf numFmtId="0" fontId="26" fillId="5" borderId="3" xfId="0" applyFont="1" applyFill="1" applyBorder="1" applyAlignment="1"/>
    <xf numFmtId="0" fontId="32" fillId="0" borderId="0" xfId="0" applyFont="1" applyAlignment="1">
      <alignment horizontal="center"/>
    </xf>
    <xf numFmtId="0" fontId="30" fillId="2" borderId="4" xfId="0" applyFont="1" applyFill="1" applyBorder="1" applyAlignment="1">
      <alignment horizontal="center"/>
    </xf>
    <xf numFmtId="0" fontId="34" fillId="6" borderId="8" xfId="0" applyFont="1" applyFill="1" applyBorder="1" applyAlignment="1">
      <alignment vertical="center"/>
    </xf>
    <xf numFmtId="0" fontId="26" fillId="0" borderId="9" xfId="0" applyFont="1" applyBorder="1"/>
    <xf numFmtId="0" fontId="37" fillId="8" borderId="0" xfId="0" applyFont="1" applyFill="1"/>
    <xf numFmtId="0" fontId="34" fillId="0" borderId="0" xfId="0" applyFont="1" applyAlignment="1">
      <alignment vertical="center"/>
    </xf>
    <xf numFmtId="0" fontId="43" fillId="8" borderId="0" xfId="0" applyFont="1" applyFill="1" applyAlignment="1">
      <alignment vertical="center"/>
    </xf>
    <xf numFmtId="0" fontId="44" fillId="9" borderId="20" xfId="0" applyFont="1" applyFill="1" applyBorder="1" applyAlignment="1">
      <alignment horizontal="center" vertical="center" textRotation="90" wrapText="1"/>
    </xf>
    <xf numFmtId="0" fontId="47" fillId="9" borderId="4" xfId="0" applyFont="1" applyFill="1" applyBorder="1" applyAlignment="1">
      <alignment horizontal="center" vertical="center" wrapText="1"/>
    </xf>
    <xf numFmtId="0" fontId="44" fillId="9" borderId="27" xfId="0" applyFont="1" applyFill="1" applyBorder="1" applyAlignment="1">
      <alignment horizontal="center" vertical="center" textRotation="90" wrapText="1"/>
    </xf>
    <xf numFmtId="0" fontId="49" fillId="10" borderId="20" xfId="0" applyFont="1" applyFill="1" applyBorder="1" applyAlignment="1">
      <alignment horizontal="center" vertical="center" textRotation="90" wrapText="1"/>
    </xf>
    <xf numFmtId="0" fontId="50" fillId="10" borderId="4" xfId="0" applyFont="1" applyFill="1" applyBorder="1" applyAlignment="1">
      <alignment horizontal="center" vertical="center" wrapText="1"/>
    </xf>
    <xf numFmtId="0" fontId="49" fillId="10" borderId="27" xfId="0" applyFont="1" applyFill="1" applyBorder="1" applyAlignment="1">
      <alignment horizontal="center" vertical="center" textRotation="90" wrapText="1"/>
    </xf>
    <xf numFmtId="0" fontId="52" fillId="8" borderId="20" xfId="0" applyFont="1" applyFill="1" applyBorder="1" applyAlignment="1">
      <alignment horizontal="center" vertical="center" textRotation="90" wrapText="1"/>
    </xf>
    <xf numFmtId="0" fontId="53" fillId="8" borderId="4" xfId="0" applyFont="1" applyFill="1" applyBorder="1" applyAlignment="1">
      <alignment horizontal="center" vertical="center" wrapText="1"/>
    </xf>
    <xf numFmtId="0" fontId="54" fillId="8" borderId="20" xfId="0" applyFont="1" applyFill="1" applyBorder="1" applyAlignment="1">
      <alignment horizontal="center" vertical="center" textRotation="90" wrapText="1"/>
    </xf>
    <xf numFmtId="0" fontId="55" fillId="8" borderId="4" xfId="0" applyFont="1" applyFill="1" applyBorder="1" applyAlignment="1">
      <alignment horizontal="center" vertical="center" wrapText="1"/>
    </xf>
    <xf numFmtId="0" fontId="29" fillId="9" borderId="36" xfId="0" applyFont="1" applyFill="1" applyBorder="1" applyAlignment="1">
      <alignment horizontal="center" vertical="center"/>
    </xf>
    <xf numFmtId="0" fontId="6" fillId="9" borderId="39" xfId="0" applyFont="1" applyFill="1" applyBorder="1" applyAlignment="1">
      <alignment wrapText="1"/>
    </xf>
    <xf numFmtId="0" fontId="1" fillId="9" borderId="40" xfId="0" applyFont="1" applyFill="1" applyBorder="1" applyAlignment="1">
      <alignment horizontal="center"/>
    </xf>
    <xf numFmtId="0" fontId="58" fillId="9" borderId="39" xfId="0" applyFont="1" applyFill="1" applyBorder="1" applyAlignment="1">
      <alignment horizontal="center" wrapText="1"/>
    </xf>
    <xf numFmtId="0" fontId="34" fillId="9" borderId="4" xfId="0" applyFont="1" applyFill="1" applyBorder="1"/>
    <xf numFmtId="0" fontId="29" fillId="9" borderId="42" xfId="0" applyFont="1" applyFill="1" applyBorder="1" applyAlignment="1">
      <alignment horizontal="center" vertical="center"/>
    </xf>
    <xf numFmtId="0" fontId="34" fillId="10" borderId="36" xfId="0" applyFont="1" applyFill="1" applyBorder="1" applyAlignment="1">
      <alignment horizontal="center" vertical="center"/>
    </xf>
    <xf numFmtId="0" fontId="1" fillId="10" borderId="39" xfId="0" applyFont="1" applyFill="1" applyBorder="1"/>
    <xf numFmtId="0" fontId="1" fillId="10" borderId="40" xfId="0" applyFont="1" applyFill="1" applyBorder="1" applyAlignment="1">
      <alignment horizontal="center"/>
    </xf>
    <xf numFmtId="0" fontId="58" fillId="10" borderId="39" xfId="0" applyFont="1" applyFill="1" applyBorder="1" applyAlignment="1">
      <alignment horizontal="center" wrapText="1"/>
    </xf>
    <xf numFmtId="0" fontId="1" fillId="10" borderId="4" xfId="0" applyFont="1" applyFill="1" applyBorder="1"/>
    <xf numFmtId="0" fontId="34" fillId="10" borderId="42" xfId="0" applyFont="1" applyFill="1" applyBorder="1" applyAlignment="1">
      <alignment horizontal="center" vertical="center"/>
    </xf>
    <xf numFmtId="0" fontId="42" fillId="8" borderId="36" xfId="0" applyFont="1" applyFill="1" applyBorder="1" applyAlignment="1">
      <alignment horizontal="center" vertical="center"/>
    </xf>
    <xf numFmtId="0" fontId="31" fillId="8" borderId="39" xfId="0" applyFont="1" applyFill="1" applyBorder="1"/>
    <xf numFmtId="0" fontId="31" fillId="8" borderId="40" xfId="0" applyFont="1" applyFill="1" applyBorder="1" applyAlignment="1">
      <alignment horizontal="center"/>
    </xf>
    <xf numFmtId="0" fontId="59" fillId="8" borderId="39" xfId="0" applyFont="1" applyFill="1" applyBorder="1" applyAlignment="1">
      <alignment horizontal="center" wrapText="1"/>
    </xf>
    <xf numFmtId="0" fontId="31" fillId="8" borderId="4" xfId="0" applyFont="1" applyFill="1" applyBorder="1"/>
    <xf numFmtId="0" fontId="43" fillId="8" borderId="36" xfId="0" applyFont="1" applyFill="1" applyBorder="1" applyAlignment="1">
      <alignment horizontal="center" vertical="center"/>
    </xf>
    <xf numFmtId="0" fontId="60" fillId="8" borderId="39" xfId="0" applyFont="1" applyFill="1" applyBorder="1"/>
    <xf numFmtId="0" fontId="60" fillId="8" borderId="40" xfId="0" applyFont="1" applyFill="1" applyBorder="1" applyAlignment="1">
      <alignment horizontal="center"/>
    </xf>
    <xf numFmtId="0" fontId="3" fillId="8" borderId="39" xfId="0" applyFont="1" applyFill="1" applyBorder="1" applyAlignment="1">
      <alignment horizontal="center" wrapText="1"/>
    </xf>
    <xf numFmtId="0" fontId="60" fillId="8" borderId="4" xfId="0" applyFont="1" applyFill="1" applyBorder="1"/>
    <xf numFmtId="0" fontId="29" fillId="9" borderId="47" xfId="0" applyFont="1" applyFill="1" applyBorder="1" applyAlignment="1">
      <alignment horizontal="center" vertical="center"/>
    </xf>
    <xf numFmtId="0" fontId="6" fillId="9" borderId="47" xfId="0" applyFont="1" applyFill="1" applyBorder="1"/>
    <xf numFmtId="0" fontId="1" fillId="9" borderId="50" xfId="0" applyFont="1" applyFill="1" applyBorder="1" applyAlignment="1">
      <alignment horizontal="center"/>
    </xf>
    <xf numFmtId="0" fontId="58" fillId="9" borderId="47" xfId="0" applyFont="1" applyFill="1" applyBorder="1" applyAlignment="1">
      <alignment horizontal="center" wrapText="1"/>
    </xf>
    <xf numFmtId="0" fontId="34" fillId="9" borderId="52" xfId="0" applyFont="1" applyFill="1" applyBorder="1"/>
    <xf numFmtId="0" fontId="29" fillId="9" borderId="53" xfId="0" applyFont="1" applyFill="1" applyBorder="1" applyAlignment="1">
      <alignment horizontal="center" vertical="center"/>
    </xf>
    <xf numFmtId="0" fontId="34" fillId="10" borderId="47" xfId="0" applyFont="1" applyFill="1" applyBorder="1" applyAlignment="1">
      <alignment horizontal="center" vertical="center"/>
    </xf>
    <xf numFmtId="0" fontId="1" fillId="10" borderId="56" xfId="0" applyFont="1" applyFill="1" applyBorder="1"/>
    <xf numFmtId="0" fontId="1" fillId="10" borderId="50" xfId="0" applyFont="1" applyFill="1" applyBorder="1" applyAlignment="1">
      <alignment horizontal="center"/>
    </xf>
    <xf numFmtId="0" fontId="58" fillId="10" borderId="47" xfId="0" applyFont="1" applyFill="1" applyBorder="1" applyAlignment="1">
      <alignment horizontal="center" wrapText="1"/>
    </xf>
    <xf numFmtId="0" fontId="1" fillId="10" borderId="52" xfId="0" applyFont="1" applyFill="1" applyBorder="1"/>
    <xf numFmtId="0" fontId="34" fillId="10" borderId="53" xfId="0" applyFont="1" applyFill="1" applyBorder="1" applyAlignment="1">
      <alignment horizontal="center" vertical="center"/>
    </xf>
    <xf numFmtId="0" fontId="42" fillId="8" borderId="56" xfId="0" applyFont="1" applyFill="1" applyBorder="1" applyAlignment="1">
      <alignment horizontal="center" vertical="center"/>
    </xf>
    <xf numFmtId="0" fontId="31" fillId="8" borderId="56" xfId="0" applyFont="1" applyFill="1" applyBorder="1"/>
    <xf numFmtId="0" fontId="31" fillId="8" borderId="50" xfId="0" applyFont="1" applyFill="1" applyBorder="1" applyAlignment="1">
      <alignment horizontal="center"/>
    </xf>
    <xf numFmtId="0" fontId="59" fillId="8" borderId="47" xfId="0" applyFont="1" applyFill="1" applyBorder="1" applyAlignment="1">
      <alignment horizontal="center" wrapText="1"/>
    </xf>
    <xf numFmtId="0" fontId="31" fillId="8" borderId="52" xfId="0" applyFont="1" applyFill="1" applyBorder="1"/>
    <xf numFmtId="0" fontId="42" fillId="8" borderId="47" xfId="0" applyFont="1" applyFill="1" applyBorder="1" applyAlignment="1">
      <alignment horizontal="center" vertical="center"/>
    </xf>
    <xf numFmtId="0" fontId="31" fillId="8" borderId="58" xfId="0" applyFont="1" applyFill="1" applyBorder="1" applyAlignment="1">
      <alignment horizontal="center"/>
    </xf>
    <xf numFmtId="0" fontId="43" fillId="8" borderId="47" xfId="0" applyFont="1" applyFill="1" applyBorder="1" applyAlignment="1">
      <alignment horizontal="center" vertical="center"/>
    </xf>
    <xf numFmtId="0" fontId="60" fillId="8" borderId="56" xfId="0" applyFont="1" applyFill="1" applyBorder="1"/>
    <xf numFmtId="0" fontId="60" fillId="8" borderId="58" xfId="0" applyFont="1" applyFill="1" applyBorder="1" applyAlignment="1">
      <alignment horizontal="center"/>
    </xf>
    <xf numFmtId="0" fontId="3" fillId="8" borderId="47" xfId="0" applyFont="1" applyFill="1" applyBorder="1" applyAlignment="1">
      <alignment horizontal="center" wrapText="1"/>
    </xf>
    <xf numFmtId="0" fontId="60" fillId="8" borderId="52" xfId="0" applyFont="1" applyFill="1" applyBorder="1"/>
    <xf numFmtId="0" fontId="6" fillId="0" borderId="0" xfId="0" applyFont="1"/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vertical="center"/>
    </xf>
    <xf numFmtId="4" fontId="61" fillId="0" borderId="60" xfId="0" applyNumberFormat="1" applyFont="1" applyBorder="1" applyAlignment="1">
      <alignment horizontal="center"/>
    </xf>
    <xf numFmtId="4" fontId="61" fillId="0" borderId="61" xfId="0" applyNumberFormat="1" applyFont="1" applyBorder="1" applyAlignment="1">
      <alignment horizontal="center"/>
    </xf>
    <xf numFmtId="0" fontId="62" fillId="9" borderId="62" xfId="0" applyFont="1" applyFill="1" applyBorder="1" applyAlignment="1">
      <alignment horizontal="center" vertical="center"/>
    </xf>
    <xf numFmtId="0" fontId="34" fillId="9" borderId="62" xfId="0" applyFont="1" applyFill="1" applyBorder="1" applyAlignment="1">
      <alignment horizontal="center" vertical="center"/>
    </xf>
    <xf numFmtId="0" fontId="1" fillId="9" borderId="52" xfId="0" applyFont="1" applyFill="1" applyBorder="1" applyAlignment="1">
      <alignment horizontal="center"/>
    </xf>
    <xf numFmtId="4" fontId="6" fillId="10" borderId="47" xfId="0" applyNumberFormat="1" applyFont="1" applyFill="1" applyBorder="1" applyAlignment="1">
      <alignment horizontal="center"/>
    </xf>
    <xf numFmtId="10" fontId="6" fillId="9" borderId="47" xfId="0" applyNumberFormat="1" applyFont="1" applyFill="1" applyBorder="1" applyAlignment="1">
      <alignment horizontal="center"/>
    </xf>
    <xf numFmtId="49" fontId="6" fillId="9" borderId="50" xfId="0" applyNumberFormat="1" applyFont="1" applyFill="1" applyBorder="1" applyAlignment="1">
      <alignment horizontal="center" wrapText="1"/>
    </xf>
    <xf numFmtId="3" fontId="63" fillId="9" borderId="62" xfId="0" applyNumberFormat="1" applyFont="1" applyFill="1" applyBorder="1" applyAlignment="1">
      <alignment horizontal="center" wrapText="1"/>
    </xf>
    <xf numFmtId="2" fontId="58" fillId="9" borderId="52" xfId="0" applyNumberFormat="1" applyFont="1" applyFill="1" applyBorder="1" applyAlignment="1">
      <alignment horizontal="center"/>
    </xf>
    <xf numFmtId="0" fontId="34" fillId="9" borderId="52" xfId="0" applyFont="1" applyFill="1" applyBorder="1" applyAlignment="1">
      <alignment horizontal="center"/>
    </xf>
    <xf numFmtId="0" fontId="6" fillId="9" borderId="52" xfId="0" applyFont="1" applyFill="1" applyBorder="1" applyAlignment="1">
      <alignment horizontal="center"/>
    </xf>
    <xf numFmtId="0" fontId="64" fillId="9" borderId="51" xfId="0" applyFont="1" applyFill="1" applyBorder="1" applyAlignment="1">
      <alignment horizontal="center"/>
    </xf>
    <xf numFmtId="0" fontId="64" fillId="9" borderId="65" xfId="0" applyFont="1" applyFill="1" applyBorder="1" applyAlignment="1">
      <alignment horizontal="center"/>
    </xf>
    <xf numFmtId="0" fontId="65" fillId="10" borderId="66" xfId="0" applyFont="1" applyFill="1" applyBorder="1" applyAlignment="1">
      <alignment horizontal="center" vertical="center"/>
    </xf>
    <xf numFmtId="0" fontId="66" fillId="10" borderId="62" xfId="0" applyFont="1" applyFill="1" applyBorder="1" applyAlignment="1">
      <alignment horizontal="center" vertical="center"/>
    </xf>
    <xf numFmtId="0" fontId="1" fillId="10" borderId="52" xfId="0" applyFont="1" applyFill="1" applyBorder="1" applyAlignment="1">
      <alignment horizontal="center"/>
    </xf>
    <xf numFmtId="10" fontId="67" fillId="10" borderId="47" xfId="0" applyNumberFormat="1" applyFont="1" applyFill="1" applyBorder="1" applyAlignment="1">
      <alignment horizontal="center"/>
    </xf>
    <xf numFmtId="49" fontId="6" fillId="10" borderId="50" xfId="0" applyNumberFormat="1" applyFont="1" applyFill="1" applyBorder="1" applyAlignment="1">
      <alignment horizontal="center" wrapText="1"/>
    </xf>
    <xf numFmtId="3" fontId="67" fillId="10" borderId="62" xfId="0" applyNumberFormat="1" applyFont="1" applyFill="1" applyBorder="1" applyAlignment="1">
      <alignment horizontal="center" wrapText="1"/>
    </xf>
    <xf numFmtId="2" fontId="67" fillId="10" borderId="52" xfId="0" applyNumberFormat="1" applyFont="1" applyFill="1" applyBorder="1" applyAlignment="1">
      <alignment horizontal="center"/>
    </xf>
    <xf numFmtId="0" fontId="67" fillId="10" borderId="52" xfId="0" applyFont="1" applyFill="1" applyBorder="1" applyAlignment="1">
      <alignment horizontal="center"/>
    </xf>
    <xf numFmtId="0" fontId="67" fillId="10" borderId="51" xfId="0" applyFont="1" applyFill="1" applyBorder="1" applyAlignment="1">
      <alignment horizontal="center"/>
    </xf>
    <xf numFmtId="0" fontId="68" fillId="8" borderId="66" xfId="0" applyFont="1" applyFill="1" applyBorder="1" applyAlignment="1">
      <alignment horizontal="center" vertical="center"/>
    </xf>
    <xf numFmtId="0" fontId="68" fillId="8" borderId="62" xfId="0" applyFont="1" applyFill="1" applyBorder="1" applyAlignment="1">
      <alignment horizontal="center" vertical="center"/>
    </xf>
    <xf numFmtId="0" fontId="31" fillId="8" borderId="52" xfId="0" applyFont="1" applyFill="1" applyBorder="1" applyAlignment="1">
      <alignment horizontal="center"/>
    </xf>
    <xf numFmtId="4" fontId="31" fillId="8" borderId="52" xfId="0" applyNumberFormat="1" applyFont="1" applyFill="1" applyBorder="1" applyAlignment="1">
      <alignment horizontal="center"/>
    </xf>
    <xf numFmtId="10" fontId="31" fillId="8" borderId="47" xfId="0" applyNumberFormat="1" applyFont="1" applyFill="1" applyBorder="1" applyAlignment="1">
      <alignment horizontal="center"/>
    </xf>
    <xf numFmtId="49" fontId="31" fillId="8" borderId="50" xfId="0" applyNumberFormat="1" applyFont="1" applyFill="1" applyBorder="1" applyAlignment="1">
      <alignment horizontal="center" wrapText="1"/>
    </xf>
    <xf numFmtId="3" fontId="31" fillId="8" borderId="62" xfId="0" applyNumberFormat="1" applyFont="1" applyFill="1" applyBorder="1" applyAlignment="1">
      <alignment horizontal="center" wrapText="1"/>
    </xf>
    <xf numFmtId="2" fontId="31" fillId="8" borderId="52" xfId="0" applyNumberFormat="1" applyFont="1" applyFill="1" applyBorder="1" applyAlignment="1">
      <alignment horizontal="center"/>
    </xf>
    <xf numFmtId="0" fontId="31" fillId="8" borderId="67" xfId="0" applyFont="1" applyFill="1" applyBorder="1" applyAlignment="1">
      <alignment horizontal="center"/>
    </xf>
    <xf numFmtId="0" fontId="31" fillId="8" borderId="68" xfId="0" applyFont="1" applyFill="1" applyBorder="1" applyAlignment="1">
      <alignment horizontal="center"/>
    </xf>
    <xf numFmtId="10" fontId="59" fillId="8" borderId="47" xfId="0" applyNumberFormat="1" applyFont="1" applyFill="1" applyBorder="1" applyAlignment="1">
      <alignment horizontal="center"/>
    </xf>
    <xf numFmtId="3" fontId="59" fillId="8" borderId="62" xfId="0" applyNumberFormat="1" applyFont="1" applyFill="1" applyBorder="1" applyAlignment="1">
      <alignment horizontal="center" wrapText="1"/>
    </xf>
    <xf numFmtId="2" fontId="59" fillId="8" borderId="52" xfId="0" applyNumberFormat="1" applyFont="1" applyFill="1" applyBorder="1" applyAlignment="1">
      <alignment horizontal="center"/>
    </xf>
    <xf numFmtId="0" fontId="59" fillId="8" borderId="52" xfId="0" applyFont="1" applyFill="1" applyBorder="1" applyAlignment="1">
      <alignment horizontal="center"/>
    </xf>
    <xf numFmtId="0" fontId="42" fillId="8" borderId="66" xfId="0" applyFont="1" applyFill="1" applyBorder="1" applyAlignment="1">
      <alignment horizontal="center" vertical="center"/>
    </xf>
    <xf numFmtId="0" fontId="42" fillId="8" borderId="62" xfId="0" applyFont="1" applyFill="1" applyBorder="1" applyAlignment="1">
      <alignment horizontal="center" vertical="center"/>
    </xf>
    <xf numFmtId="4" fontId="59" fillId="8" borderId="52" xfId="0" applyNumberFormat="1" applyFont="1" applyFill="1" applyBorder="1" applyAlignment="1">
      <alignment horizontal="center"/>
    </xf>
    <xf numFmtId="49" fontId="59" fillId="8" borderId="50" xfId="0" applyNumberFormat="1" applyFont="1" applyFill="1" applyBorder="1" applyAlignment="1">
      <alignment horizontal="center" wrapText="1"/>
    </xf>
    <xf numFmtId="0" fontId="43" fillId="8" borderId="66" xfId="0" applyFont="1" applyFill="1" applyBorder="1" applyAlignment="1">
      <alignment horizontal="center" vertical="center"/>
    </xf>
    <xf numFmtId="0" fontId="43" fillId="8" borderId="62" xfId="0" applyFont="1" applyFill="1" applyBorder="1" applyAlignment="1">
      <alignment horizontal="center" vertical="center"/>
    </xf>
    <xf numFmtId="0" fontId="60" fillId="8" borderId="52" xfId="0" applyFont="1" applyFill="1" applyBorder="1" applyAlignment="1">
      <alignment horizontal="center"/>
    </xf>
    <xf numFmtId="4" fontId="3" fillId="8" borderId="52" xfId="0" applyNumberFormat="1" applyFont="1" applyFill="1" applyBorder="1" applyAlignment="1">
      <alignment horizontal="center"/>
    </xf>
    <xf numFmtId="10" fontId="3" fillId="8" borderId="47" xfId="0" applyNumberFormat="1" applyFont="1" applyFill="1" applyBorder="1" applyAlignment="1">
      <alignment horizontal="center"/>
    </xf>
    <xf numFmtId="49" fontId="3" fillId="8" borderId="50" xfId="0" applyNumberFormat="1" applyFont="1" applyFill="1" applyBorder="1" applyAlignment="1">
      <alignment horizontal="center" wrapText="1"/>
    </xf>
    <xf numFmtId="3" fontId="3" fillId="8" borderId="62" xfId="0" applyNumberFormat="1" applyFont="1" applyFill="1" applyBorder="1" applyAlignment="1">
      <alignment horizontal="center" wrapText="1"/>
    </xf>
    <xf numFmtId="2" fontId="3" fillId="8" borderId="52" xfId="0" applyNumberFormat="1" applyFont="1" applyFill="1" applyBorder="1" applyAlignment="1">
      <alignment horizontal="center"/>
    </xf>
    <xf numFmtId="0" fontId="3" fillId="8" borderId="52" xfId="0" applyFont="1" applyFill="1" applyBorder="1" applyAlignment="1">
      <alignment horizontal="center"/>
    </xf>
    <xf numFmtId="0" fontId="69" fillId="8" borderId="0" xfId="0" applyFont="1" applyFill="1" applyAlignment="1">
      <alignment horizontal="center"/>
    </xf>
    <xf numFmtId="0" fontId="70" fillId="8" borderId="0" xfId="0" applyFont="1" applyFill="1"/>
    <xf numFmtId="0" fontId="71" fillId="8" borderId="0" xfId="0" applyFont="1" applyFill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vertical="center"/>
    </xf>
    <xf numFmtId="4" fontId="61" fillId="0" borderId="2" xfId="0" applyNumberFormat="1" applyFont="1" applyBorder="1" applyAlignment="1">
      <alignment horizontal="center"/>
    </xf>
    <xf numFmtId="4" fontId="61" fillId="0" borderId="3" xfId="0" applyNumberFormat="1" applyFont="1" applyBorder="1" applyAlignment="1">
      <alignment horizontal="center"/>
    </xf>
    <xf numFmtId="0" fontId="62" fillId="9" borderId="69" xfId="0" applyFont="1" applyFill="1" applyBorder="1" applyAlignment="1">
      <alignment horizontal="center" vertical="center"/>
    </xf>
    <xf numFmtId="0" fontId="66" fillId="9" borderId="69" xfId="0" applyFont="1" applyFill="1" applyBorder="1" applyAlignment="1">
      <alignment horizontal="center" vertical="center"/>
    </xf>
    <xf numFmtId="0" fontId="67" fillId="9" borderId="52" xfId="0" applyFont="1" applyFill="1" applyBorder="1" applyAlignment="1">
      <alignment horizontal="center"/>
    </xf>
    <xf numFmtId="10" fontId="67" fillId="9" borderId="70" xfId="0" applyNumberFormat="1" applyFont="1" applyFill="1" applyBorder="1" applyAlignment="1">
      <alignment horizontal="center"/>
    </xf>
    <xf numFmtId="49" fontId="67" fillId="9" borderId="50" xfId="0" applyNumberFormat="1" applyFont="1" applyFill="1" applyBorder="1" applyAlignment="1">
      <alignment horizontal="center" wrapText="1"/>
    </xf>
    <xf numFmtId="3" fontId="72" fillId="9" borderId="62" xfId="0" applyNumberFormat="1" applyFont="1" applyFill="1" applyBorder="1" applyAlignment="1">
      <alignment horizontal="center" wrapText="1"/>
    </xf>
    <xf numFmtId="2" fontId="67" fillId="9" borderId="52" xfId="0" applyNumberFormat="1" applyFont="1" applyFill="1" applyBorder="1" applyAlignment="1">
      <alignment horizontal="center"/>
    </xf>
    <xf numFmtId="0" fontId="73" fillId="9" borderId="67" xfId="0" applyFont="1" applyFill="1" applyBorder="1" applyAlignment="1">
      <alignment horizontal="center"/>
    </xf>
    <xf numFmtId="0" fontId="67" fillId="9" borderId="67" xfId="0" applyFont="1" applyFill="1" applyBorder="1" applyAlignment="1">
      <alignment horizontal="center"/>
    </xf>
    <xf numFmtId="0" fontId="72" fillId="9" borderId="71" xfId="0" applyFont="1" applyFill="1" applyBorder="1" applyAlignment="1">
      <alignment horizontal="center"/>
    </xf>
    <xf numFmtId="0" fontId="65" fillId="10" borderId="72" xfId="0" applyFont="1" applyFill="1" applyBorder="1" applyAlignment="1">
      <alignment horizontal="center" vertical="center"/>
    </xf>
    <xf numFmtId="0" fontId="66" fillId="10" borderId="69" xfId="0" applyFont="1" applyFill="1" applyBorder="1" applyAlignment="1">
      <alignment horizontal="center" vertical="center"/>
    </xf>
    <xf numFmtId="10" fontId="67" fillId="10" borderId="70" xfId="0" applyNumberFormat="1" applyFont="1" applyFill="1" applyBorder="1" applyAlignment="1">
      <alignment horizontal="center"/>
    </xf>
    <xf numFmtId="49" fontId="67" fillId="10" borderId="50" xfId="0" applyNumberFormat="1" applyFont="1" applyFill="1" applyBorder="1" applyAlignment="1">
      <alignment horizontal="center" wrapText="1"/>
    </xf>
    <xf numFmtId="0" fontId="67" fillId="10" borderId="67" xfId="0" applyFont="1" applyFill="1" applyBorder="1" applyAlignment="1">
      <alignment horizontal="center"/>
    </xf>
    <xf numFmtId="0" fontId="68" fillId="8" borderId="72" xfId="0" applyFont="1" applyFill="1" applyBorder="1" applyAlignment="1">
      <alignment horizontal="center" vertical="center"/>
    </xf>
    <xf numFmtId="0" fontId="68" fillId="8" borderId="69" xfId="0" applyFont="1" applyFill="1" applyBorder="1" applyAlignment="1">
      <alignment horizontal="center" vertical="center"/>
    </xf>
    <xf numFmtId="4" fontId="31" fillId="8" borderId="67" xfId="0" applyNumberFormat="1" applyFont="1" applyFill="1" applyBorder="1" applyAlignment="1">
      <alignment horizontal="center"/>
    </xf>
    <xf numFmtId="10" fontId="31" fillId="8" borderId="70" xfId="0" applyNumberFormat="1" applyFont="1" applyFill="1" applyBorder="1" applyAlignment="1">
      <alignment horizontal="center"/>
    </xf>
    <xf numFmtId="0" fontId="31" fillId="8" borderId="67" xfId="0" applyFont="1" applyFill="1" applyBorder="1" applyAlignment="1">
      <alignment horizontal="center"/>
    </xf>
    <xf numFmtId="0" fontId="31" fillId="8" borderId="51" xfId="0" applyFont="1" applyFill="1" applyBorder="1" applyAlignment="1">
      <alignment horizontal="center"/>
    </xf>
    <xf numFmtId="0" fontId="31" fillId="8" borderId="73" xfId="0" applyFont="1" applyFill="1" applyBorder="1" applyAlignment="1">
      <alignment horizontal="center"/>
    </xf>
    <xf numFmtId="0" fontId="42" fillId="8" borderId="72" xfId="0" applyFont="1" applyFill="1" applyBorder="1" applyAlignment="1">
      <alignment horizontal="center" vertical="center"/>
    </xf>
    <xf numFmtId="0" fontId="42" fillId="8" borderId="69" xfId="0" applyFont="1" applyFill="1" applyBorder="1" applyAlignment="1">
      <alignment horizontal="center" vertical="center"/>
    </xf>
    <xf numFmtId="0" fontId="43" fillId="8" borderId="72" xfId="0" applyFont="1" applyFill="1" applyBorder="1" applyAlignment="1">
      <alignment horizontal="center" vertical="center"/>
    </xf>
    <xf numFmtId="0" fontId="43" fillId="8" borderId="69" xfId="0" applyFont="1" applyFill="1" applyBorder="1" applyAlignment="1">
      <alignment horizontal="center" vertical="center"/>
    </xf>
    <xf numFmtId="4" fontId="60" fillId="8" borderId="67" xfId="0" applyNumberFormat="1" applyFont="1" applyFill="1" applyBorder="1" applyAlignment="1">
      <alignment horizontal="center"/>
    </xf>
    <xf numFmtId="10" fontId="60" fillId="8" borderId="70" xfId="0" applyNumberFormat="1" applyFont="1" applyFill="1" applyBorder="1" applyAlignment="1">
      <alignment horizontal="center"/>
    </xf>
    <xf numFmtId="49" fontId="60" fillId="8" borderId="50" xfId="0" applyNumberFormat="1" applyFont="1" applyFill="1" applyBorder="1" applyAlignment="1">
      <alignment horizontal="center" wrapText="1"/>
    </xf>
    <xf numFmtId="2" fontId="60" fillId="8" borderId="52" xfId="0" applyNumberFormat="1" applyFont="1" applyFill="1" applyBorder="1" applyAlignment="1">
      <alignment horizontal="center"/>
    </xf>
    <xf numFmtId="0" fontId="60" fillId="8" borderId="67" xfId="0" applyFont="1" applyFill="1" applyBorder="1" applyAlignment="1">
      <alignment horizontal="center"/>
    </xf>
    <xf numFmtId="4" fontId="61" fillId="8" borderId="2" xfId="0" applyNumberFormat="1" applyFont="1" applyFill="1" applyBorder="1" applyAlignment="1">
      <alignment horizontal="center"/>
    </xf>
    <xf numFmtId="10" fontId="72" fillId="9" borderId="70" xfId="0" applyNumberFormat="1" applyFont="1" applyFill="1" applyBorder="1" applyAlignment="1">
      <alignment horizontal="center"/>
    </xf>
    <xf numFmtId="2" fontId="72" fillId="9" borderId="52" xfId="0" applyNumberFormat="1" applyFont="1" applyFill="1" applyBorder="1" applyAlignment="1">
      <alignment horizontal="center"/>
    </xf>
    <xf numFmtId="0" fontId="72" fillId="9" borderId="67" xfId="0" applyFont="1" applyFill="1" applyBorder="1" applyAlignment="1">
      <alignment horizontal="center"/>
    </xf>
    <xf numFmtId="0" fontId="74" fillId="10" borderId="72" xfId="0" applyFont="1" applyFill="1" applyBorder="1" applyAlignment="1">
      <alignment horizontal="center" vertical="center"/>
    </xf>
    <xf numFmtId="0" fontId="34" fillId="10" borderId="69" xfId="0" applyFont="1" applyFill="1" applyBorder="1" applyAlignment="1">
      <alignment horizontal="center" vertical="center"/>
    </xf>
    <xf numFmtId="10" fontId="1" fillId="10" borderId="70" xfId="0" applyNumberFormat="1" applyFont="1" applyFill="1" applyBorder="1" applyAlignment="1">
      <alignment horizontal="center"/>
    </xf>
    <xf numFmtId="3" fontId="1" fillId="10" borderId="62" xfId="0" applyNumberFormat="1" applyFont="1" applyFill="1" applyBorder="1" applyAlignment="1">
      <alignment horizontal="center" wrapText="1"/>
    </xf>
    <xf numFmtId="2" fontId="75" fillId="10" borderId="52" xfId="0" applyNumberFormat="1" applyFont="1" applyFill="1" applyBorder="1" applyAlignment="1">
      <alignment horizontal="center"/>
    </xf>
    <xf numFmtId="0" fontId="1" fillId="10" borderId="67" xfId="0" applyFont="1" applyFill="1" applyBorder="1" applyAlignment="1">
      <alignment horizontal="center"/>
    </xf>
    <xf numFmtId="0" fontId="26" fillId="10" borderId="52" xfId="0" applyFont="1" applyFill="1" applyBorder="1" applyAlignment="1">
      <alignment horizontal="center"/>
    </xf>
    <xf numFmtId="0" fontId="76" fillId="10" borderId="67" xfId="0" applyFont="1" applyFill="1" applyBorder="1" applyAlignment="1">
      <alignment horizontal="center"/>
    </xf>
    <xf numFmtId="10" fontId="59" fillId="8" borderId="70" xfId="0" applyNumberFormat="1" applyFont="1" applyFill="1" applyBorder="1" applyAlignment="1">
      <alignment horizontal="center"/>
    </xf>
    <xf numFmtId="0" fontId="59" fillId="8" borderId="67" xfId="0" applyFont="1" applyFill="1" applyBorder="1" applyAlignment="1">
      <alignment horizontal="center"/>
    </xf>
    <xf numFmtId="4" fontId="59" fillId="8" borderId="67" xfId="0" applyNumberFormat="1" applyFont="1" applyFill="1" applyBorder="1" applyAlignment="1">
      <alignment horizontal="center"/>
    </xf>
    <xf numFmtId="4" fontId="3" fillId="8" borderId="67" xfId="0" applyNumberFormat="1" applyFont="1" applyFill="1" applyBorder="1" applyAlignment="1">
      <alignment horizontal="center"/>
    </xf>
    <xf numFmtId="10" fontId="3" fillId="8" borderId="70" xfId="0" applyNumberFormat="1" applyFont="1" applyFill="1" applyBorder="1" applyAlignment="1">
      <alignment horizontal="center"/>
    </xf>
    <xf numFmtId="0" fontId="3" fillId="8" borderId="67" xfId="0" applyFont="1" applyFill="1" applyBorder="1" applyAlignment="1">
      <alignment horizontal="center"/>
    </xf>
    <xf numFmtId="0" fontId="3" fillId="8" borderId="0" xfId="0" applyFont="1" applyFill="1"/>
    <xf numFmtId="0" fontId="7" fillId="0" borderId="1" xfId="0" applyFont="1" applyBorder="1" applyAlignment="1">
      <alignment horizontal="center"/>
    </xf>
    <xf numFmtId="0" fontId="66" fillId="9" borderId="69" xfId="0" applyFont="1" applyFill="1" applyBorder="1" applyAlignment="1">
      <alignment horizontal="center" vertical="center"/>
    </xf>
    <xf numFmtId="0" fontId="67" fillId="10" borderId="0" xfId="0" applyFont="1" applyFill="1" applyAlignment="1">
      <alignment horizontal="center"/>
    </xf>
    <xf numFmtId="0" fontId="68" fillId="8" borderId="72" xfId="0" applyFont="1" applyFill="1" applyBorder="1" applyAlignment="1">
      <alignment horizontal="center" vertical="center"/>
    </xf>
    <xf numFmtId="3" fontId="26" fillId="10" borderId="62" xfId="0" applyNumberFormat="1" applyFont="1" applyFill="1" applyBorder="1" applyAlignment="1">
      <alignment horizontal="center" wrapText="1"/>
    </xf>
    <xf numFmtId="0" fontId="66" fillId="10" borderId="69" xfId="0" applyFont="1" applyFill="1" applyBorder="1" applyAlignment="1">
      <alignment horizontal="center" vertical="center"/>
    </xf>
    <xf numFmtId="0" fontId="77" fillId="9" borderId="69" xfId="0" applyFont="1" applyFill="1" applyBorder="1" applyAlignment="1">
      <alignment horizontal="center" vertical="center"/>
    </xf>
    <xf numFmtId="0" fontId="63" fillId="9" borderId="52" xfId="0" applyFont="1" applyFill="1" applyBorder="1" applyAlignment="1">
      <alignment horizontal="center"/>
    </xf>
    <xf numFmtId="10" fontId="63" fillId="9" borderId="70" xfId="0" applyNumberFormat="1" applyFont="1" applyFill="1" applyBorder="1" applyAlignment="1">
      <alignment horizontal="center"/>
    </xf>
    <xf numFmtId="10" fontId="63" fillId="9" borderId="70" xfId="0" applyNumberFormat="1" applyFont="1" applyFill="1" applyBorder="1" applyAlignment="1">
      <alignment horizontal="center"/>
    </xf>
    <xf numFmtId="49" fontId="63" fillId="9" borderId="50" xfId="0" applyNumberFormat="1" applyFont="1" applyFill="1" applyBorder="1" applyAlignment="1">
      <alignment horizontal="center" wrapText="1"/>
    </xf>
    <xf numFmtId="2" fontId="63" fillId="9" borderId="52" xfId="0" applyNumberFormat="1" applyFont="1" applyFill="1" applyBorder="1" applyAlignment="1">
      <alignment horizontal="center"/>
    </xf>
    <xf numFmtId="0" fontId="77" fillId="9" borderId="67" xfId="0" applyFont="1" applyFill="1" applyBorder="1" applyAlignment="1">
      <alignment horizontal="center"/>
    </xf>
    <xf numFmtId="0" fontId="34" fillId="9" borderId="67" xfId="0" applyFont="1" applyFill="1" applyBorder="1" applyAlignment="1">
      <alignment horizontal="center"/>
    </xf>
    <xf numFmtId="0" fontId="63" fillId="10" borderId="52" xfId="0" applyFont="1" applyFill="1" applyBorder="1" applyAlignment="1">
      <alignment horizontal="center"/>
    </xf>
    <xf numFmtId="49" fontId="63" fillId="10" borderId="50" xfId="0" applyNumberFormat="1" applyFont="1" applyFill="1" applyBorder="1" applyAlignment="1">
      <alignment horizontal="center" wrapText="1"/>
    </xf>
    <xf numFmtId="49" fontId="31" fillId="8" borderId="50" xfId="0" applyNumberFormat="1" applyFont="1" applyFill="1" applyBorder="1" applyAlignment="1">
      <alignment horizontal="center" wrapText="1"/>
    </xf>
    <xf numFmtId="0" fontId="31" fillId="8" borderId="67" xfId="0" applyFont="1" applyFill="1" applyBorder="1" applyAlignment="1">
      <alignment horizontal="center"/>
    </xf>
    <xf numFmtId="0" fontId="59" fillId="8" borderId="67" xfId="0" applyFont="1" applyFill="1" applyBorder="1" applyAlignment="1">
      <alignment horizontal="center"/>
    </xf>
    <xf numFmtId="0" fontId="7" fillId="0" borderId="1" xfId="0" applyFont="1" applyBorder="1"/>
    <xf numFmtId="10" fontId="78" fillId="9" borderId="70" xfId="0" applyNumberFormat="1" applyFont="1" applyFill="1" applyBorder="1" applyAlignment="1">
      <alignment horizontal="center"/>
    </xf>
    <xf numFmtId="49" fontId="78" fillId="9" borderId="50" xfId="0" applyNumberFormat="1" applyFont="1" applyFill="1" applyBorder="1" applyAlignment="1">
      <alignment horizontal="center" wrapText="1"/>
    </xf>
    <xf numFmtId="49" fontId="78" fillId="10" borderId="50" xfId="0" applyNumberFormat="1" applyFont="1" applyFill="1" applyBorder="1" applyAlignment="1">
      <alignment horizontal="center" wrapText="1"/>
    </xf>
    <xf numFmtId="0" fontId="26" fillId="0" borderId="0" xfId="0" applyFont="1" applyAlignment="1">
      <alignment horizontal="center"/>
    </xf>
    <xf numFmtId="0" fontId="77" fillId="0" borderId="0" xfId="0" applyFont="1" applyAlignment="1">
      <alignment horizontal="center" vertical="center"/>
    </xf>
    <xf numFmtId="0" fontId="26" fillId="0" borderId="0" xfId="0" applyFont="1"/>
    <xf numFmtId="0" fontId="77" fillId="8" borderId="0" xfId="0" applyFont="1" applyFill="1" applyAlignment="1">
      <alignment horizontal="center" vertical="center"/>
    </xf>
    <xf numFmtId="0" fontId="26" fillId="8" borderId="0" xfId="0" applyFont="1" applyFill="1"/>
    <xf numFmtId="4" fontId="77" fillId="8" borderId="0" xfId="0" applyNumberFormat="1" applyFont="1" applyFill="1" applyAlignment="1">
      <alignment horizontal="center" vertical="center"/>
    </xf>
    <xf numFmtId="10" fontId="77" fillId="8" borderId="0" xfId="0" applyNumberFormat="1" applyFont="1" applyFill="1" applyAlignment="1">
      <alignment horizontal="center" vertical="center"/>
    </xf>
    <xf numFmtId="49" fontId="77" fillId="8" borderId="0" xfId="0" applyNumberFormat="1" applyFont="1" applyFill="1" applyAlignment="1">
      <alignment horizontal="center" vertical="center"/>
    </xf>
    <xf numFmtId="3" fontId="77" fillId="8" borderId="0" xfId="0" applyNumberFormat="1" applyFont="1" applyFill="1" applyAlignment="1">
      <alignment horizontal="center" vertical="center"/>
    </xf>
    <xf numFmtId="2" fontId="77" fillId="8" borderId="0" xfId="0" applyNumberFormat="1" applyFont="1" applyFill="1" applyAlignment="1">
      <alignment horizontal="center" vertical="center"/>
    </xf>
    <xf numFmtId="0" fontId="77" fillId="6" borderId="0" xfId="0" applyFont="1" applyFill="1" applyAlignment="1">
      <alignment horizontal="center" vertical="center"/>
    </xf>
    <xf numFmtId="0" fontId="43" fillId="6" borderId="0" xfId="0" applyFont="1" applyFill="1" applyAlignment="1">
      <alignment horizontal="center" vertical="center"/>
    </xf>
    <xf numFmtId="0" fontId="60" fillId="8" borderId="0" xfId="0" applyFont="1" applyFill="1"/>
    <xf numFmtId="0" fontId="60" fillId="6" borderId="0" xfId="0" applyFont="1" applyFill="1"/>
    <xf numFmtId="0" fontId="43" fillId="8" borderId="0" xfId="0" applyFont="1" applyFill="1" applyAlignment="1">
      <alignment horizontal="center" vertical="center"/>
    </xf>
    <xf numFmtId="0" fontId="79" fillId="8" borderId="0" xfId="0" applyFont="1" applyFill="1" applyAlignment="1">
      <alignment horizontal="center"/>
    </xf>
    <xf numFmtId="0" fontId="80" fillId="11" borderId="5" xfId="0" applyFont="1" applyFill="1" applyBorder="1" applyAlignment="1">
      <alignment horizontal="left" vertical="center"/>
    </xf>
    <xf numFmtId="0" fontId="1" fillId="11" borderId="7" xfId="0" applyFont="1" applyFill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textRotation="90"/>
    </xf>
    <xf numFmtId="49" fontId="57" fillId="12" borderId="4" xfId="0" applyNumberFormat="1" applyFont="1" applyFill="1" applyBorder="1"/>
    <xf numFmtId="49" fontId="1" fillId="12" borderId="4" xfId="0" applyNumberFormat="1" applyFont="1" applyFill="1" applyBorder="1"/>
    <xf numFmtId="49" fontId="1" fillId="0" borderId="0" xfId="0" applyNumberFormat="1" applyFont="1"/>
    <xf numFmtId="49" fontId="7" fillId="13" borderId="4" xfId="0" applyNumberFormat="1" applyFont="1" applyFill="1" applyBorder="1"/>
    <xf numFmtId="3" fontId="7" fillId="11" borderId="4" xfId="0" applyNumberFormat="1" applyFont="1" applyFill="1" applyBorder="1" applyAlignment="1">
      <alignment horizontal="center"/>
    </xf>
    <xf numFmtId="49" fontId="81" fillId="0" borderId="0" xfId="0" applyNumberFormat="1" applyFont="1"/>
    <xf numFmtId="0" fontId="34" fillId="14" borderId="72" xfId="0" applyFont="1" applyFill="1" applyBorder="1" applyAlignment="1">
      <alignment horizontal="center" vertical="center"/>
    </xf>
    <xf numFmtId="49" fontId="75" fillId="0" borderId="0" xfId="0" applyNumberFormat="1" applyFont="1"/>
    <xf numFmtId="49" fontId="82" fillId="0" borderId="0" xfId="0" applyNumberFormat="1" applyFont="1"/>
    <xf numFmtId="0" fontId="83" fillId="8" borderId="0" xfId="0" applyFont="1" applyFill="1"/>
    <xf numFmtId="0" fontId="84" fillId="0" borderId="0" xfId="0" applyFont="1" applyAlignment="1">
      <alignment horizontal="left" vertical="center"/>
    </xf>
    <xf numFmtId="0" fontId="1" fillId="12" borderId="4" xfId="0" applyFont="1" applyFill="1" applyBorder="1"/>
    <xf numFmtId="0" fontId="7" fillId="13" borderId="4" xfId="0" applyFont="1" applyFill="1" applyBorder="1"/>
    <xf numFmtId="0" fontId="81" fillId="0" borderId="0" xfId="0" applyFont="1"/>
    <xf numFmtId="0" fontId="75" fillId="0" borderId="0" xfId="0" applyFont="1"/>
    <xf numFmtId="0" fontId="82" fillId="0" borderId="0" xfId="0" applyFont="1"/>
    <xf numFmtId="0" fontId="1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textRotation="90"/>
    </xf>
    <xf numFmtId="0" fontId="57" fillId="12" borderId="4" xfId="0" applyFont="1" applyFill="1" applyBorder="1"/>
    <xf numFmtId="0" fontId="1" fillId="12" borderId="4" xfId="0" applyFont="1" applyFill="1" applyBorder="1" applyAlignment="1">
      <alignment horizontal="center" vertical="center"/>
    </xf>
    <xf numFmtId="0" fontId="81" fillId="0" borderId="0" xfId="0" applyFont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82" fillId="0" borderId="0" xfId="0" applyFont="1" applyAlignment="1">
      <alignment horizontal="center" vertical="center"/>
    </xf>
    <xf numFmtId="0" fontId="85" fillId="7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12" borderId="4" xfId="0" applyFont="1" applyFill="1" applyBorder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6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86" fillId="12" borderId="4" xfId="0" applyFont="1" applyFill="1" applyBorder="1"/>
    <xf numFmtId="0" fontId="87" fillId="13" borderId="4" xfId="0" applyFont="1" applyFill="1" applyBorder="1"/>
    <xf numFmtId="0" fontId="7" fillId="11" borderId="4" xfId="0" applyFont="1" applyFill="1" applyBorder="1" applyAlignment="1">
      <alignment horizontal="center"/>
    </xf>
    <xf numFmtId="49" fontId="86" fillId="0" borderId="0" xfId="0" applyNumberFormat="1" applyFont="1"/>
    <xf numFmtId="0" fontId="69" fillId="14" borderId="0" xfId="0" applyFont="1" applyFill="1" applyAlignment="1">
      <alignment horizontal="center"/>
    </xf>
    <xf numFmtId="0" fontId="88" fillId="0" borderId="0" xfId="0" applyFont="1" applyAlignment="1">
      <alignment vertical="center"/>
    </xf>
    <xf numFmtId="0" fontId="88" fillId="0" borderId="0" xfId="0" applyFont="1" applyAlignment="1">
      <alignment horizontal="center" vertical="center"/>
    </xf>
    <xf numFmtId="0" fontId="89" fillId="0" borderId="0" xfId="0" applyFont="1" applyAlignment="1">
      <alignment vertical="center"/>
    </xf>
    <xf numFmtId="0" fontId="90" fillId="0" borderId="0" xfId="0" applyFont="1" applyAlignment="1">
      <alignment vertical="center"/>
    </xf>
    <xf numFmtId="0" fontId="88" fillId="0" borderId="1" xfId="0" applyFont="1" applyBorder="1" applyAlignment="1">
      <alignment horizontal="left" vertical="center" wrapText="1"/>
    </xf>
    <xf numFmtId="0" fontId="88" fillId="0" borderId="2" xfId="0" applyFont="1" applyBorder="1" applyAlignment="1">
      <alignment horizontal="left" vertical="center"/>
    </xf>
    <xf numFmtId="0" fontId="88" fillId="0" borderId="1" xfId="0" applyFont="1" applyBorder="1" applyAlignment="1">
      <alignment horizontal="left" vertical="center"/>
    </xf>
    <xf numFmtId="0" fontId="90" fillId="0" borderId="0" xfId="0" applyFont="1" applyAlignment="1">
      <alignment horizontal="center" vertical="top"/>
    </xf>
    <xf numFmtId="0" fontId="90" fillId="0" borderId="1" xfId="0" applyFont="1" applyBorder="1" applyAlignment="1">
      <alignment horizontal="center" vertical="center"/>
    </xf>
    <xf numFmtId="0" fontId="95" fillId="16" borderId="7" xfId="0" applyFont="1" applyFill="1" applyBorder="1" applyAlignment="1">
      <alignment horizontal="left" vertical="top"/>
    </xf>
    <xf numFmtId="0" fontId="91" fillId="0" borderId="0" xfId="0" applyFont="1" applyAlignment="1">
      <alignment horizontal="center" vertical="top"/>
    </xf>
    <xf numFmtId="22" fontId="93" fillId="17" borderId="74" xfId="0" applyNumberFormat="1" applyFont="1" applyFill="1" applyBorder="1" applyAlignment="1">
      <alignment horizontal="left" vertical="center"/>
    </xf>
    <xf numFmtId="0" fontId="93" fillId="17" borderId="67" xfId="0" applyFont="1" applyFill="1" applyBorder="1" applyAlignment="1">
      <alignment horizontal="left" vertical="center"/>
    </xf>
    <xf numFmtId="22" fontId="93" fillId="17" borderId="67" xfId="0" applyNumberFormat="1" applyFont="1" applyFill="1" applyBorder="1" applyAlignment="1">
      <alignment horizontal="left" vertical="center"/>
    </xf>
    <xf numFmtId="0" fontId="88" fillId="0" borderId="5" xfId="0" applyFont="1" applyBorder="1" applyAlignment="1">
      <alignment horizontal="left" vertical="center"/>
    </xf>
    <xf numFmtId="22" fontId="93" fillId="17" borderId="73" xfId="0" applyNumberFormat="1" applyFont="1" applyFill="1" applyBorder="1" applyAlignment="1">
      <alignment horizontal="left" vertical="center"/>
    </xf>
    <xf numFmtId="0" fontId="88" fillId="17" borderId="4" xfId="0" applyFont="1" applyFill="1" applyBorder="1" applyAlignment="1">
      <alignment horizontal="center" vertical="center"/>
    </xf>
    <xf numFmtId="0" fontId="99" fillId="8" borderId="4" xfId="0" applyFont="1" applyFill="1" applyBorder="1" applyAlignment="1">
      <alignment horizontal="center" vertical="center"/>
    </xf>
    <xf numFmtId="0" fontId="88" fillId="8" borderId="0" xfId="0" applyFont="1" applyFill="1" applyAlignment="1">
      <alignment vertical="center"/>
    </xf>
    <xf numFmtId="0" fontId="88" fillId="0" borderId="0" xfId="0" applyFont="1"/>
    <xf numFmtId="0" fontId="88" fillId="0" borderId="0" xfId="0" applyFont="1" applyAlignment="1">
      <alignment horizontal="center"/>
    </xf>
    <xf numFmtId="0" fontId="101" fillId="0" borderId="0" xfId="0" applyFont="1" applyAlignment="1">
      <alignment horizontal="center"/>
    </xf>
    <xf numFmtId="0" fontId="91" fillId="8" borderId="0" xfId="0" applyFont="1" applyFill="1"/>
    <xf numFmtId="0" fontId="88" fillId="8" borderId="0" xfId="0" applyFont="1" applyFill="1"/>
    <xf numFmtId="0" fontId="91" fillId="0" borderId="0" xfId="0" applyFont="1" applyAlignment="1">
      <alignment horizontal="center"/>
    </xf>
    <xf numFmtId="0" fontId="88" fillId="0" borderId="0" xfId="0" applyFont="1" applyAlignment="1">
      <alignment horizontal="right" vertical="center"/>
    </xf>
    <xf numFmtId="165" fontId="88" fillId="0" borderId="0" xfId="0" applyNumberFormat="1" applyFont="1" applyAlignment="1">
      <alignment horizontal="center" vertical="center"/>
    </xf>
    <xf numFmtId="0" fontId="26" fillId="2" borderId="4" xfId="0" applyFont="1" applyFill="1" applyBorder="1"/>
    <xf numFmtId="0" fontId="26" fillId="8" borderId="4" xfId="0" applyFont="1" applyFill="1" applyBorder="1"/>
    <xf numFmtId="0" fontId="91" fillId="0" borderId="0" xfId="0" applyFont="1" applyAlignment="1">
      <alignment horizontal="center" vertical="center"/>
    </xf>
    <xf numFmtId="0" fontId="103" fillId="0" borderId="0" xfId="0" applyFont="1" applyAlignment="1">
      <alignment horizontal="center" vertical="center" wrapText="1"/>
    </xf>
    <xf numFmtId="0" fontId="104" fillId="8" borderId="0" xfId="0" applyFont="1" applyFill="1" applyAlignment="1">
      <alignment horizontal="center" vertical="center" wrapText="1"/>
    </xf>
    <xf numFmtId="0" fontId="105" fillId="8" borderId="0" xfId="0" applyFont="1" applyFill="1" applyAlignment="1">
      <alignment horizontal="center" vertical="center" wrapText="1"/>
    </xf>
    <xf numFmtId="0" fontId="106" fillId="0" borderId="0" xfId="0" applyFont="1" applyAlignment="1">
      <alignment vertical="center"/>
    </xf>
    <xf numFmtId="0" fontId="107" fillId="0" borderId="0" xfId="0" applyFont="1" applyAlignment="1">
      <alignment horizontal="center" vertical="center" wrapText="1"/>
    </xf>
    <xf numFmtId="0" fontId="108" fillId="8" borderId="0" xfId="0" applyFont="1" applyFill="1" applyAlignment="1">
      <alignment horizontal="center" vertical="center" wrapText="1"/>
    </xf>
    <xf numFmtId="0" fontId="109" fillId="0" borderId="77" xfId="0" applyFont="1" applyBorder="1" applyAlignment="1">
      <alignment horizontal="center" vertical="center"/>
    </xf>
    <xf numFmtId="0" fontId="110" fillId="8" borderId="77" xfId="0" applyFont="1" applyFill="1" applyBorder="1" applyAlignment="1">
      <alignment horizontal="center" vertical="center"/>
    </xf>
    <xf numFmtId="0" fontId="111" fillId="8" borderId="0" xfId="0" applyFont="1" applyFill="1" applyAlignment="1">
      <alignment horizontal="center" vertical="center"/>
    </xf>
    <xf numFmtId="49" fontId="112" fillId="8" borderId="0" xfId="0" applyNumberFormat="1" applyFont="1" applyFill="1" applyAlignment="1">
      <alignment horizontal="center" vertical="center"/>
    </xf>
    <xf numFmtId="165" fontId="106" fillId="8" borderId="0" xfId="0" applyNumberFormat="1" applyFont="1" applyFill="1" applyAlignment="1">
      <alignment horizontal="center" vertical="center"/>
    </xf>
    <xf numFmtId="0" fontId="101" fillId="0" borderId="0" xfId="0" applyFont="1" applyAlignment="1">
      <alignment horizontal="right" vertical="center"/>
    </xf>
    <xf numFmtId="166" fontId="113" fillId="0" borderId="77" xfId="0" applyNumberFormat="1" applyFont="1" applyBorder="1" applyAlignment="1">
      <alignment horizontal="center" vertical="center"/>
    </xf>
    <xf numFmtId="166" fontId="114" fillId="8" borderId="77" xfId="0" applyNumberFormat="1" applyFont="1" applyFill="1" applyBorder="1" applyAlignment="1">
      <alignment horizontal="center" vertical="center"/>
    </xf>
    <xf numFmtId="166" fontId="115" fillId="8" borderId="0" xfId="0" applyNumberFormat="1" applyFont="1" applyFill="1" applyAlignment="1">
      <alignment horizontal="center" vertical="center"/>
    </xf>
    <xf numFmtId="10" fontId="109" fillId="0" borderId="0" xfId="0" applyNumberFormat="1" applyFont="1" applyAlignment="1">
      <alignment horizontal="center" vertical="center"/>
    </xf>
    <xf numFmtId="10" fontId="110" fillId="8" borderId="0" xfId="0" applyNumberFormat="1" applyFont="1" applyFill="1" applyAlignment="1">
      <alignment horizontal="center" vertical="center"/>
    </xf>
    <xf numFmtId="10" fontId="111" fillId="8" borderId="0" xfId="0" applyNumberFormat="1" applyFont="1" applyFill="1" applyAlignment="1">
      <alignment horizontal="center" vertical="center"/>
    </xf>
    <xf numFmtId="10" fontId="116" fillId="0" borderId="77" xfId="0" applyNumberFormat="1" applyFont="1" applyBorder="1" applyAlignment="1">
      <alignment horizontal="center" vertical="center"/>
    </xf>
    <xf numFmtId="10" fontId="114" fillId="8" borderId="77" xfId="0" applyNumberFormat="1" applyFont="1" applyFill="1" applyBorder="1" applyAlignment="1">
      <alignment horizontal="center" vertical="center"/>
    </xf>
    <xf numFmtId="10" fontId="115" fillId="8" borderId="0" xfId="0" applyNumberFormat="1" applyFont="1" applyFill="1" applyAlignment="1">
      <alignment horizontal="center" vertical="center"/>
    </xf>
    <xf numFmtId="0" fontId="101" fillId="0" borderId="0" xfId="0" applyFont="1" applyAlignment="1">
      <alignment vertical="center"/>
    </xf>
    <xf numFmtId="166" fontId="116" fillId="18" borderId="78" xfId="0" applyNumberFormat="1" applyFont="1" applyFill="1" applyBorder="1" applyAlignment="1">
      <alignment horizontal="center" vertical="center"/>
    </xf>
    <xf numFmtId="166" fontId="114" fillId="8" borderId="78" xfId="0" applyNumberFormat="1" applyFont="1" applyFill="1" applyBorder="1" applyAlignment="1">
      <alignment horizontal="center" vertical="center"/>
    </xf>
    <xf numFmtId="0" fontId="117" fillId="0" borderId="0" xfId="0" applyFont="1" applyAlignment="1">
      <alignment vertical="center"/>
    </xf>
    <xf numFmtId="10" fontId="116" fillId="0" borderId="0" xfId="0" applyNumberFormat="1" applyFont="1" applyAlignment="1">
      <alignment horizontal="center" vertical="center"/>
    </xf>
    <xf numFmtId="166" fontId="111" fillId="8" borderId="0" xfId="0" applyNumberFormat="1" applyFont="1" applyFill="1" applyAlignment="1">
      <alignment horizontal="center" vertical="center"/>
    </xf>
    <xf numFmtId="10" fontId="116" fillId="18" borderId="4" xfId="0" applyNumberFormat="1" applyFont="1" applyFill="1" applyBorder="1" applyAlignment="1">
      <alignment horizontal="center" vertical="center"/>
    </xf>
    <xf numFmtId="10" fontId="118" fillId="8" borderId="27" xfId="0" applyNumberFormat="1" applyFont="1" applyFill="1" applyBorder="1" applyAlignment="1">
      <alignment horizontal="center" vertical="center"/>
    </xf>
    <xf numFmtId="10" fontId="114" fillId="8" borderId="27" xfId="0" applyNumberFormat="1" applyFont="1" applyFill="1" applyBorder="1" applyAlignment="1">
      <alignment horizontal="center" vertical="center"/>
    </xf>
    <xf numFmtId="0" fontId="31" fillId="8" borderId="0" xfId="0" applyFont="1" applyFill="1"/>
    <xf numFmtId="167" fontId="88" fillId="0" borderId="0" xfId="0" applyNumberFormat="1" applyFont="1" applyAlignment="1">
      <alignment horizontal="center" vertical="center"/>
    </xf>
    <xf numFmtId="10" fontId="119" fillId="8" borderId="0" xfId="0" applyNumberFormat="1" applyFont="1" applyFill="1" applyAlignment="1">
      <alignment horizontal="center" vertical="center"/>
    </xf>
    <xf numFmtId="10" fontId="106" fillId="8" borderId="0" xfId="0" applyNumberFormat="1" applyFont="1" applyFill="1" applyAlignment="1">
      <alignment horizontal="center" vertical="center"/>
    </xf>
    <xf numFmtId="0" fontId="26" fillId="2" borderId="0" xfId="0" applyFont="1" applyFill="1"/>
    <xf numFmtId="0" fontId="106" fillId="8" borderId="0" xfId="0" applyFont="1" applyFill="1" applyAlignment="1">
      <alignment vertical="center"/>
    </xf>
    <xf numFmtId="0" fontId="91" fillId="0" borderId="79" xfId="0" applyFont="1" applyBorder="1" applyAlignment="1">
      <alignment horizontal="center" vertical="center" wrapText="1"/>
    </xf>
    <xf numFmtId="0" fontId="112" fillId="8" borderId="79" xfId="0" applyFont="1" applyFill="1" applyBorder="1" applyAlignment="1">
      <alignment horizontal="center" vertical="center" wrapText="1"/>
    </xf>
    <xf numFmtId="0" fontId="120" fillId="8" borderId="0" xfId="0" applyFont="1" applyFill="1" applyAlignment="1">
      <alignment horizontal="center" vertical="center" wrapText="1"/>
    </xf>
    <xf numFmtId="0" fontId="88" fillId="17" borderId="4" xfId="0" applyFont="1" applyFill="1" applyBorder="1" applyAlignment="1">
      <alignment horizontal="right" vertical="center"/>
    </xf>
    <xf numFmtId="4" fontId="121" fillId="0" borderId="0" xfId="0" applyNumberFormat="1" applyFont="1" applyAlignment="1">
      <alignment horizontal="center" vertical="center"/>
    </xf>
    <xf numFmtId="4" fontId="122" fillId="8" borderId="0" xfId="0" applyNumberFormat="1" applyFont="1" applyFill="1" applyAlignment="1">
      <alignment horizontal="center" vertical="center"/>
    </xf>
    <xf numFmtId="4" fontId="123" fillId="8" borderId="0" xfId="0" applyNumberFormat="1" applyFont="1" applyFill="1" applyAlignment="1">
      <alignment horizontal="center" vertical="center"/>
    </xf>
    <xf numFmtId="3" fontId="122" fillId="8" borderId="0" xfId="0" applyNumberFormat="1" applyFont="1" applyFill="1" applyAlignment="1">
      <alignment horizontal="center" vertical="center"/>
    </xf>
    <xf numFmtId="0" fontId="124" fillId="0" borderId="0" xfId="0" applyFont="1" applyAlignment="1">
      <alignment vertical="center"/>
    </xf>
    <xf numFmtId="0" fontId="100" fillId="17" borderId="4" xfId="0" applyFont="1" applyFill="1" applyBorder="1" applyAlignment="1">
      <alignment horizontal="right" vertical="center"/>
    </xf>
    <xf numFmtId="3" fontId="100" fillId="18" borderId="4" xfId="0" applyNumberFormat="1" applyFont="1" applyFill="1" applyBorder="1" applyAlignment="1">
      <alignment horizontal="center" vertical="center"/>
    </xf>
    <xf numFmtId="3" fontId="125" fillId="8" borderId="4" xfId="0" applyNumberFormat="1" applyFont="1" applyFill="1" applyBorder="1" applyAlignment="1">
      <alignment horizontal="center" vertical="center"/>
    </xf>
    <xf numFmtId="0" fontId="126" fillId="0" borderId="0" xfId="0" applyFont="1" applyAlignment="1">
      <alignment vertical="center"/>
    </xf>
    <xf numFmtId="3" fontId="109" fillId="0" borderId="0" xfId="0" applyNumberFormat="1" applyFont="1" applyAlignment="1">
      <alignment horizontal="center" vertical="center"/>
    </xf>
    <xf numFmtId="3" fontId="110" fillId="8" borderId="0" xfId="0" applyNumberFormat="1" applyFont="1" applyFill="1" applyAlignment="1">
      <alignment horizontal="center" vertical="center"/>
    </xf>
    <xf numFmtId="3" fontId="111" fillId="8" borderId="0" xfId="0" applyNumberFormat="1" applyFont="1" applyFill="1" applyAlignment="1">
      <alignment horizontal="center" vertical="center"/>
    </xf>
    <xf numFmtId="0" fontId="99" fillId="0" borderId="0" xfId="0" applyFont="1" applyAlignment="1">
      <alignment horizontal="center" vertical="center"/>
    </xf>
    <xf numFmtId="0" fontId="127" fillId="0" borderId="0" xfId="0" applyFont="1"/>
    <xf numFmtId="0" fontId="127" fillId="8" borderId="0" xfId="0" applyFont="1" applyFill="1"/>
    <xf numFmtId="0" fontId="128" fillId="8" borderId="0" xfId="0" applyFont="1" applyFill="1"/>
    <xf numFmtId="167" fontId="109" fillId="18" borderId="80" xfId="0" applyNumberFormat="1" applyFont="1" applyFill="1" applyBorder="1" applyAlignment="1">
      <alignment horizontal="center" vertical="center"/>
    </xf>
    <xf numFmtId="167" fontId="110" fillId="8" borderId="81" xfId="0" applyNumberFormat="1" applyFont="1" applyFill="1" applyBorder="1" applyAlignment="1">
      <alignment horizontal="center" vertical="center"/>
    </xf>
    <xf numFmtId="167" fontId="111" fillId="8" borderId="0" xfId="0" applyNumberFormat="1" applyFont="1" applyFill="1" applyAlignment="1">
      <alignment horizontal="center" vertical="center"/>
    </xf>
    <xf numFmtId="2" fontId="109" fillId="18" borderId="80" xfId="0" applyNumberFormat="1" applyFont="1" applyFill="1" applyBorder="1" applyAlignment="1">
      <alignment horizontal="center" vertical="center"/>
    </xf>
    <xf numFmtId="2" fontId="110" fillId="8" borderId="81" xfId="0" applyNumberFormat="1" applyFont="1" applyFill="1" applyBorder="1" applyAlignment="1">
      <alignment horizontal="center" vertical="center"/>
    </xf>
    <xf numFmtId="2" fontId="111" fillId="8" borderId="0" xfId="0" applyNumberFormat="1" applyFont="1" applyFill="1" applyAlignment="1">
      <alignment horizontal="center" vertical="center"/>
    </xf>
    <xf numFmtId="168" fontId="109" fillId="0" borderId="82" xfId="0" applyNumberFormat="1" applyFont="1" applyBorder="1" applyAlignment="1">
      <alignment horizontal="center" vertical="center"/>
    </xf>
    <xf numFmtId="168" fontId="110" fillId="8" borderId="82" xfId="0" applyNumberFormat="1" applyFont="1" applyFill="1" applyBorder="1" applyAlignment="1">
      <alignment horizontal="center" vertical="center"/>
    </xf>
    <xf numFmtId="168" fontId="111" fillId="8" borderId="0" xfId="0" applyNumberFormat="1" applyFont="1" applyFill="1" applyAlignment="1">
      <alignment horizontal="center" vertical="center"/>
    </xf>
    <xf numFmtId="166" fontId="109" fillId="0" borderId="81" xfId="0" applyNumberFormat="1" applyFont="1" applyBorder="1" applyAlignment="1">
      <alignment horizontal="center" vertical="center"/>
    </xf>
    <xf numFmtId="166" fontId="110" fillId="8" borderId="81" xfId="0" applyNumberFormat="1" applyFont="1" applyFill="1" applyBorder="1" applyAlignment="1">
      <alignment horizontal="center" vertical="center"/>
    </xf>
    <xf numFmtId="167" fontId="109" fillId="0" borderId="81" xfId="0" applyNumberFormat="1" applyFont="1" applyBorder="1" applyAlignment="1">
      <alignment horizontal="center" vertical="center"/>
    </xf>
    <xf numFmtId="3" fontId="109" fillId="0" borderId="81" xfId="0" applyNumberFormat="1" applyFont="1" applyBorder="1" applyAlignment="1">
      <alignment horizontal="center" vertical="center"/>
    </xf>
    <xf numFmtId="3" fontId="110" fillId="8" borderId="81" xfId="0" applyNumberFormat="1" applyFont="1" applyFill="1" applyBorder="1" applyAlignment="1">
      <alignment horizontal="center" vertical="center"/>
    </xf>
    <xf numFmtId="0" fontId="110" fillId="8" borderId="81" xfId="0" applyFont="1" applyFill="1" applyBorder="1" applyAlignment="1">
      <alignment horizontal="center" vertical="center"/>
    </xf>
    <xf numFmtId="3" fontId="110" fillId="8" borderId="81" xfId="0" applyNumberFormat="1" applyFont="1" applyFill="1" applyBorder="1" applyAlignment="1">
      <alignment horizontal="center" vertical="center"/>
    </xf>
    <xf numFmtId="0" fontId="88" fillId="17" borderId="52" xfId="0" applyFont="1" applyFill="1" applyBorder="1" applyAlignment="1">
      <alignment horizontal="right" vertical="center"/>
    </xf>
    <xf numFmtId="166" fontId="109" fillId="0" borderId="3" xfId="0" applyNumberFormat="1" applyFont="1" applyBorder="1" applyAlignment="1">
      <alignment horizontal="center" vertical="center"/>
    </xf>
    <xf numFmtId="166" fontId="110" fillId="8" borderId="3" xfId="0" applyNumberFormat="1" applyFont="1" applyFill="1" applyBorder="1" applyAlignment="1">
      <alignment horizontal="center" vertical="center"/>
    </xf>
    <xf numFmtId="0" fontId="91" fillId="17" borderId="4" xfId="0" applyFont="1" applyFill="1" applyBorder="1" applyAlignment="1">
      <alignment horizontal="right" vertical="center"/>
    </xf>
    <xf numFmtId="4" fontId="109" fillId="0" borderId="0" xfId="0" applyNumberFormat="1" applyFont="1" applyAlignment="1">
      <alignment horizontal="center" vertical="center"/>
    </xf>
    <xf numFmtId="4" fontId="110" fillId="8" borderId="0" xfId="0" applyNumberFormat="1" applyFont="1" applyFill="1" applyAlignment="1">
      <alignment horizontal="center" vertical="center"/>
    </xf>
    <xf numFmtId="4" fontId="111" fillId="8" borderId="0" xfId="0" applyNumberFormat="1" applyFont="1" applyFill="1" applyAlignment="1">
      <alignment horizontal="center" vertical="center"/>
    </xf>
    <xf numFmtId="3" fontId="109" fillId="18" borderId="80" xfId="0" applyNumberFormat="1" applyFont="1" applyFill="1" applyBorder="1" applyAlignment="1">
      <alignment horizontal="center" vertical="center"/>
    </xf>
    <xf numFmtId="3" fontId="110" fillId="8" borderId="83" xfId="0" applyNumberFormat="1" applyFont="1" applyFill="1" applyBorder="1" applyAlignment="1">
      <alignment horizontal="center"/>
    </xf>
    <xf numFmtId="3" fontId="111" fillId="8" borderId="0" xfId="0" applyNumberFormat="1" applyFont="1" applyFill="1" applyAlignment="1">
      <alignment horizontal="center"/>
    </xf>
    <xf numFmtId="166" fontId="121" fillId="0" borderId="3" xfId="0" applyNumberFormat="1" applyFont="1" applyBorder="1" applyAlignment="1">
      <alignment horizontal="center" vertical="center"/>
    </xf>
    <xf numFmtId="3" fontId="109" fillId="0" borderId="3" xfId="0" applyNumberFormat="1" applyFont="1" applyBorder="1" applyAlignment="1">
      <alignment horizontal="center" vertical="center"/>
    </xf>
    <xf numFmtId="3" fontId="110" fillId="8" borderId="3" xfId="0" applyNumberFormat="1" applyFont="1" applyFill="1" applyBorder="1" applyAlignment="1">
      <alignment horizontal="center" vertical="center"/>
    </xf>
    <xf numFmtId="4" fontId="109" fillId="0" borderId="84" xfId="0" applyNumberFormat="1" applyFont="1" applyBorder="1" applyAlignment="1">
      <alignment horizontal="center" vertical="center"/>
    </xf>
    <xf numFmtId="4" fontId="110" fillId="8" borderId="85" xfId="0" applyNumberFormat="1" applyFont="1" applyFill="1" applyBorder="1" applyAlignment="1">
      <alignment horizontal="center" vertical="center"/>
    </xf>
    <xf numFmtId="0" fontId="88" fillId="17" borderId="26" xfId="0" applyFont="1" applyFill="1" applyBorder="1" applyAlignment="1">
      <alignment horizontal="right" vertical="center"/>
    </xf>
    <xf numFmtId="3" fontId="110" fillId="8" borderId="83" xfId="0" applyNumberFormat="1" applyFont="1" applyFill="1" applyBorder="1" applyAlignment="1">
      <alignment horizontal="center" vertical="center"/>
    </xf>
    <xf numFmtId="0" fontId="88" fillId="17" borderId="0" xfId="0" applyFont="1" applyFill="1" applyAlignment="1">
      <alignment horizontal="right" vertical="center"/>
    </xf>
    <xf numFmtId="166" fontId="109" fillId="0" borderId="86" xfId="0" applyNumberFormat="1" applyFont="1" applyBorder="1" applyAlignment="1">
      <alignment horizontal="center" vertical="center"/>
    </xf>
    <xf numFmtId="166" fontId="110" fillId="8" borderId="86" xfId="0" applyNumberFormat="1" applyFont="1" applyFill="1" applyBorder="1" applyAlignment="1">
      <alignment horizontal="center" vertical="center"/>
    </xf>
    <xf numFmtId="0" fontId="88" fillId="17" borderId="87" xfId="0" applyFont="1" applyFill="1" applyBorder="1" applyAlignment="1">
      <alignment horizontal="right" vertical="center"/>
    </xf>
    <xf numFmtId="4" fontId="115" fillId="8" borderId="0" xfId="0" applyNumberFormat="1" applyFont="1" applyFill="1" applyAlignment="1">
      <alignment horizontal="center" vertical="center" wrapText="1"/>
    </xf>
    <xf numFmtId="3" fontId="109" fillId="18" borderId="80" xfId="0" applyNumberFormat="1" applyFont="1" applyFill="1" applyBorder="1" applyAlignment="1">
      <alignment horizontal="center" vertical="center"/>
    </xf>
    <xf numFmtId="10" fontId="114" fillId="8" borderId="0" xfId="0" applyNumberFormat="1" applyFont="1" applyFill="1" applyAlignment="1">
      <alignment horizontal="center" vertical="center"/>
    </xf>
    <xf numFmtId="0" fontId="88" fillId="0" borderId="0" xfId="0" applyFont="1" applyAlignment="1">
      <alignment horizontal="right" vertical="center"/>
    </xf>
    <xf numFmtId="0" fontId="129" fillId="0" borderId="0" xfId="0" applyFont="1" applyAlignment="1">
      <alignment horizontal="right"/>
    </xf>
    <xf numFmtId="166" fontId="109" fillId="0" borderId="82" xfId="0" applyNumberFormat="1" applyFont="1" applyBorder="1" applyAlignment="1">
      <alignment horizontal="center" vertical="center"/>
    </xf>
    <xf numFmtId="0" fontId="129" fillId="0" borderId="86" xfId="0" applyFont="1" applyBorder="1" applyAlignment="1">
      <alignment vertical="center"/>
    </xf>
    <xf numFmtId="166" fontId="130" fillId="18" borderId="88" xfId="0" applyNumberFormat="1" applyFont="1" applyFill="1" applyBorder="1" applyAlignment="1">
      <alignment horizontal="center" vertical="center"/>
    </xf>
    <xf numFmtId="0" fontId="131" fillId="8" borderId="0" xfId="0" applyFont="1" applyFill="1"/>
    <xf numFmtId="10" fontId="109" fillId="18" borderId="91" xfId="0" applyNumberFormat="1" applyFont="1" applyFill="1" applyBorder="1" applyAlignment="1">
      <alignment horizontal="center" vertical="center"/>
    </xf>
    <xf numFmtId="10" fontId="110" fillId="8" borderId="92" xfId="0" applyNumberFormat="1" applyFont="1" applyFill="1" applyBorder="1" applyAlignment="1">
      <alignment horizontal="center" vertical="center"/>
    </xf>
    <xf numFmtId="10" fontId="132" fillId="18" borderId="67" xfId="0" applyNumberFormat="1" applyFont="1" applyFill="1" applyBorder="1" applyAlignment="1">
      <alignment horizontal="center" vertical="center"/>
    </xf>
    <xf numFmtId="10" fontId="110" fillId="8" borderId="93" xfId="0" applyNumberFormat="1" applyFont="1" applyFill="1" applyBorder="1" applyAlignment="1">
      <alignment horizontal="center" vertical="center"/>
    </xf>
    <xf numFmtId="10" fontId="133" fillId="0" borderId="9" xfId="0" applyNumberFormat="1" applyFont="1" applyBorder="1" applyAlignment="1">
      <alignment horizontal="center" vertical="center"/>
    </xf>
    <xf numFmtId="10" fontId="110" fillId="8" borderId="94" xfId="0" applyNumberFormat="1" applyFont="1" applyFill="1" applyBorder="1" applyAlignment="1">
      <alignment horizontal="center" vertical="center"/>
    </xf>
    <xf numFmtId="0" fontId="119" fillId="8" borderId="0" xfId="0" applyFont="1" applyFill="1" applyAlignment="1">
      <alignment vertical="center"/>
    </xf>
    <xf numFmtId="0" fontId="134" fillId="8" borderId="0" xfId="0" applyFont="1" applyFill="1" applyAlignment="1">
      <alignment horizontal="center" vertical="center"/>
    </xf>
    <xf numFmtId="1" fontId="135" fillId="18" borderId="91" xfId="0" applyNumberFormat="1" applyFont="1" applyFill="1" applyBorder="1" applyAlignment="1">
      <alignment horizontal="center" vertical="center"/>
    </xf>
    <xf numFmtId="1" fontId="114" fillId="8" borderId="95" xfId="0" applyNumberFormat="1" applyFont="1" applyFill="1" applyBorder="1" applyAlignment="1">
      <alignment horizontal="center" vertical="center"/>
    </xf>
    <xf numFmtId="1" fontId="115" fillId="8" borderId="0" xfId="0" applyNumberFormat="1" applyFont="1" applyFill="1" applyAlignment="1">
      <alignment horizontal="center" vertical="center"/>
    </xf>
    <xf numFmtId="1" fontId="100" fillId="0" borderId="96" xfId="0" applyNumberFormat="1" applyFont="1" applyBorder="1" applyAlignment="1">
      <alignment horizontal="center" vertical="center"/>
    </xf>
    <xf numFmtId="1" fontId="110" fillId="8" borderId="96" xfId="0" applyNumberFormat="1" applyFont="1" applyFill="1" applyBorder="1" applyAlignment="1">
      <alignment horizontal="center" vertical="center"/>
    </xf>
    <xf numFmtId="1" fontId="111" fillId="8" borderId="0" xfId="0" applyNumberFormat="1" applyFont="1" applyFill="1" applyAlignment="1">
      <alignment horizontal="center" vertical="center"/>
    </xf>
    <xf numFmtId="0" fontId="88" fillId="0" borderId="3" xfId="0" applyFont="1" applyBorder="1" applyAlignment="1">
      <alignment horizontal="right" vertical="center"/>
    </xf>
    <xf numFmtId="1" fontId="109" fillId="0" borderId="96" xfId="0" applyNumberFormat="1" applyFont="1" applyBorder="1" applyAlignment="1">
      <alignment horizontal="center" vertical="center"/>
    </xf>
    <xf numFmtId="0" fontId="31" fillId="0" borderId="0" xfId="0" applyFont="1" applyAlignment="1"/>
    <xf numFmtId="3" fontId="137" fillId="5" borderId="0" xfId="0" applyNumberFormat="1" applyFont="1" applyFill="1" applyAlignment="1">
      <alignment horizontal="center" vertical="center"/>
    </xf>
    <xf numFmtId="0" fontId="138" fillId="0" borderId="0" xfId="0" applyFont="1" applyAlignment="1">
      <alignment horizontal="center"/>
    </xf>
    <xf numFmtId="0" fontId="138" fillId="0" borderId="0" xfId="0" applyFont="1"/>
    <xf numFmtId="0" fontId="60" fillId="0" borderId="0" xfId="0" applyFont="1"/>
    <xf numFmtId="0" fontId="140" fillId="0" borderId="0" xfId="0" applyFont="1" applyAlignment="1">
      <alignment horizontal="center" vertical="center"/>
    </xf>
    <xf numFmtId="0" fontId="142" fillId="0" borderId="0" xfId="0" applyFont="1" applyAlignment="1">
      <alignment horizontal="left"/>
    </xf>
    <xf numFmtId="0" fontId="142" fillId="0" borderId="0" xfId="0" applyFont="1" applyAlignment="1">
      <alignment horizontal="left"/>
    </xf>
    <xf numFmtId="0" fontId="143" fillId="0" borderId="0" xfId="0" applyFont="1" applyAlignment="1">
      <alignment horizontal="left"/>
    </xf>
    <xf numFmtId="0" fontId="1" fillId="0" borderId="97" xfId="0" applyFont="1" applyBorder="1" applyAlignment="1">
      <alignment horizontal="left"/>
    </xf>
    <xf numFmtId="0" fontId="140" fillId="0" borderId="7" xfId="0" applyFont="1" applyBorder="1" applyAlignment="1">
      <alignment horizontal="right" wrapText="1"/>
    </xf>
    <xf numFmtId="0" fontId="1" fillId="0" borderId="0" xfId="0" applyFont="1" applyAlignment="1">
      <alignment horizontal="left"/>
    </xf>
    <xf numFmtId="0" fontId="1" fillId="0" borderId="14" xfId="0" applyFont="1" applyBorder="1"/>
    <xf numFmtId="0" fontId="140" fillId="19" borderId="1" xfId="0" applyFont="1" applyFill="1" applyBorder="1" applyAlignment="1">
      <alignment horizontal="center" vertical="center"/>
    </xf>
    <xf numFmtId="0" fontId="140" fillId="19" borderId="1" xfId="0" applyFont="1" applyFill="1" applyBorder="1" applyAlignment="1">
      <alignment horizontal="center" vertical="center" wrapText="1"/>
    </xf>
    <xf numFmtId="0" fontId="146" fillId="19" borderId="1" xfId="0" applyFont="1" applyFill="1" applyBorder="1" applyAlignment="1">
      <alignment horizontal="center" vertical="center" wrapText="1"/>
    </xf>
    <xf numFmtId="0" fontId="92" fillId="19" borderId="1" xfId="0" applyFont="1" applyFill="1" applyBorder="1" applyAlignment="1">
      <alignment horizontal="center" vertical="center" wrapText="1"/>
    </xf>
    <xf numFmtId="0" fontId="147" fillId="19" borderId="1" xfId="0" applyFont="1" applyFill="1" applyBorder="1" applyAlignment="1">
      <alignment horizontal="center" vertical="center" wrapText="1"/>
    </xf>
    <xf numFmtId="0" fontId="133" fillId="19" borderId="1" xfId="0" applyFont="1" applyFill="1" applyBorder="1" applyAlignment="1">
      <alignment horizontal="center" vertical="center" wrapText="1"/>
    </xf>
    <xf numFmtId="0" fontId="138" fillId="0" borderId="1" xfId="0" applyFont="1" applyBorder="1" applyAlignment="1">
      <alignment horizontal="right" vertical="center" wrapText="1"/>
    </xf>
    <xf numFmtId="3" fontId="138" fillId="0" borderId="1" xfId="0" applyNumberFormat="1" applyFont="1" applyBorder="1" applyAlignment="1">
      <alignment horizontal="center" vertical="center" wrapText="1"/>
    </xf>
    <xf numFmtId="1" fontId="138" fillId="0" borderId="1" xfId="0" applyNumberFormat="1" applyFont="1" applyBorder="1" applyAlignment="1">
      <alignment horizontal="center" vertical="center"/>
    </xf>
    <xf numFmtId="169" fontId="138" fillId="0" borderId="1" xfId="0" applyNumberFormat="1" applyFont="1" applyBorder="1" applyAlignment="1">
      <alignment horizontal="center" vertical="center"/>
    </xf>
    <xf numFmtId="170" fontId="146" fillId="0" borderId="1" xfId="0" applyNumberFormat="1" applyFont="1" applyBorder="1" applyAlignment="1">
      <alignment horizontal="center" vertical="center"/>
    </xf>
    <xf numFmtId="169" fontId="146" fillId="0" borderId="1" xfId="0" applyNumberFormat="1" applyFont="1" applyBorder="1" applyAlignment="1">
      <alignment horizontal="center" vertical="center"/>
    </xf>
    <xf numFmtId="3" fontId="92" fillId="0" borderId="1" xfId="0" applyNumberFormat="1" applyFont="1" applyBorder="1" applyAlignment="1">
      <alignment horizontal="center" vertical="center"/>
    </xf>
    <xf numFmtId="169" fontId="149" fillId="0" borderId="1" xfId="0" applyNumberFormat="1" applyFont="1" applyBorder="1" applyAlignment="1">
      <alignment horizontal="center" vertical="center"/>
    </xf>
    <xf numFmtId="166" fontId="138" fillId="0" borderId="0" xfId="0" applyNumberFormat="1" applyFont="1" applyAlignment="1">
      <alignment horizontal="center" vertical="center"/>
    </xf>
    <xf numFmtId="3" fontId="138" fillId="0" borderId="14" xfId="0" applyNumberFormat="1" applyFont="1" applyBorder="1" applyAlignment="1">
      <alignment horizontal="center" vertical="center" wrapText="1"/>
    </xf>
    <xf numFmtId="169" fontId="138" fillId="0" borderId="14" xfId="0" applyNumberFormat="1" applyFont="1" applyBorder="1" applyAlignment="1">
      <alignment horizontal="center" vertical="center"/>
    </xf>
    <xf numFmtId="0" fontId="138" fillId="0" borderId="14" xfId="0" applyFont="1" applyBorder="1" applyAlignment="1">
      <alignment horizontal="right" vertical="center" wrapText="1"/>
    </xf>
    <xf numFmtId="1" fontId="138" fillId="0" borderId="14" xfId="0" applyNumberFormat="1" applyFont="1" applyBorder="1" applyAlignment="1">
      <alignment horizontal="center" vertical="center"/>
    </xf>
    <xf numFmtId="0" fontId="113" fillId="19" borderId="1" xfId="0" applyFont="1" applyFill="1" applyBorder="1" applyAlignment="1">
      <alignment horizontal="right" vertical="center"/>
    </xf>
    <xf numFmtId="1" fontId="113" fillId="19" borderId="1" xfId="0" applyNumberFormat="1" applyFont="1" applyFill="1" applyBorder="1" applyAlignment="1">
      <alignment horizontal="center" vertical="center"/>
    </xf>
    <xf numFmtId="1" fontId="113" fillId="0" borderId="14" xfId="0" applyNumberFormat="1" applyFont="1" applyBorder="1" applyAlignment="1">
      <alignment horizontal="center" vertical="center"/>
    </xf>
    <xf numFmtId="4" fontId="113" fillId="19" borderId="1" xfId="0" applyNumberFormat="1" applyFont="1" applyFill="1" applyBorder="1" applyAlignment="1">
      <alignment horizontal="center" vertical="center"/>
    </xf>
    <xf numFmtId="169" fontId="100" fillId="19" borderId="1" xfId="0" applyNumberFormat="1" applyFont="1" applyFill="1" applyBorder="1" applyAlignment="1">
      <alignment horizontal="center" vertical="center"/>
    </xf>
    <xf numFmtId="1" fontId="113" fillId="0" borderId="94" xfId="0" applyNumberFormat="1" applyFont="1" applyBorder="1" applyAlignment="1">
      <alignment horizontal="center" vertical="center"/>
    </xf>
    <xf numFmtId="1" fontId="113" fillId="0" borderId="0" xfId="0" applyNumberFormat="1" applyFont="1" applyAlignment="1">
      <alignment horizontal="center" vertical="center"/>
    </xf>
    <xf numFmtId="0" fontId="138" fillId="0" borderId="0" xfId="0" applyFont="1" applyAlignment="1">
      <alignment vertical="center"/>
    </xf>
    <xf numFmtId="0" fontId="148" fillId="0" borderId="0" xfId="0" applyFont="1" applyAlignment="1">
      <alignment horizontal="center" vertical="center"/>
    </xf>
    <xf numFmtId="0" fontId="150" fillId="0" borderId="0" xfId="0" applyFont="1" applyAlignment="1">
      <alignment horizontal="right"/>
    </xf>
    <xf numFmtId="0" fontId="150" fillId="0" borderId="0" xfId="0" applyFont="1" applyAlignment="1">
      <alignment horizontal="center" vertical="center"/>
    </xf>
    <xf numFmtId="4" fontId="150" fillId="0" borderId="0" xfId="0" applyNumberFormat="1" applyFont="1" applyAlignment="1">
      <alignment horizontal="center"/>
    </xf>
    <xf numFmtId="0" fontId="151" fillId="0" borderId="99" xfId="0" applyFont="1" applyBorder="1" applyAlignment="1">
      <alignment wrapText="1"/>
    </xf>
    <xf numFmtId="0" fontId="89" fillId="0" borderId="0" xfId="0" applyFont="1" applyAlignment="1">
      <alignment horizontal="center" wrapText="1"/>
    </xf>
    <xf numFmtId="0" fontId="152" fillId="0" borderId="0" xfId="0" applyFont="1" applyAlignment="1">
      <alignment horizontal="center" wrapText="1"/>
    </xf>
    <xf numFmtId="0" fontId="120" fillId="0" borderId="0" xfId="0" applyFont="1" applyAlignment="1">
      <alignment horizontal="left" wrapText="1"/>
    </xf>
    <xf numFmtId="0" fontId="154" fillId="8" borderId="1" xfId="0" applyFont="1" applyFill="1" applyBorder="1" applyAlignment="1">
      <alignment vertical="center"/>
    </xf>
    <xf numFmtId="0" fontId="91" fillId="8" borderId="1" xfId="0" applyFont="1" applyFill="1" applyBorder="1" applyAlignment="1">
      <alignment horizontal="center" vertical="center" wrapText="1"/>
    </xf>
    <xf numFmtId="0" fontId="155" fillId="0" borderId="1" xfId="0" applyFont="1" applyBorder="1" applyAlignment="1">
      <alignment horizontal="center" vertical="center"/>
    </xf>
    <xf numFmtId="0" fontId="88" fillId="8" borderId="1" xfId="0" applyFont="1" applyFill="1" applyBorder="1" applyAlignment="1">
      <alignment horizontal="right" wrapText="1"/>
    </xf>
    <xf numFmtId="0" fontId="88" fillId="8" borderId="1" xfId="0" applyFont="1" applyFill="1" applyBorder="1" applyAlignment="1">
      <alignment wrapText="1"/>
    </xf>
    <xf numFmtId="0" fontId="88" fillId="8" borderId="1" xfId="0" applyFont="1" applyFill="1" applyBorder="1" applyAlignment="1">
      <alignment horizontal="center" wrapText="1"/>
    </xf>
    <xf numFmtId="171" fontId="156" fillId="8" borderId="1" xfId="0" applyNumberFormat="1" applyFont="1" applyFill="1" applyBorder="1" applyAlignment="1">
      <alignment horizontal="center" wrapText="1"/>
    </xf>
    <xf numFmtId="3" fontId="88" fillId="8" borderId="1" xfId="0" applyNumberFormat="1" applyFont="1" applyFill="1" applyBorder="1" applyAlignment="1">
      <alignment horizontal="center"/>
    </xf>
    <xf numFmtId="171" fontId="88" fillId="8" borderId="1" xfId="0" applyNumberFormat="1" applyFont="1" applyFill="1" applyBorder="1" applyAlignment="1">
      <alignment horizontal="center" wrapText="1"/>
    </xf>
    <xf numFmtId="0" fontId="88" fillId="8" borderId="1" xfId="0" applyFont="1" applyFill="1" applyBorder="1" applyAlignment="1">
      <alignment horizontal="center" wrapText="1"/>
    </xf>
    <xf numFmtId="0" fontId="129" fillId="0" borderId="1" xfId="0" applyFont="1" applyBorder="1" applyAlignment="1">
      <alignment horizontal="center"/>
    </xf>
    <xf numFmtId="0" fontId="88" fillId="8" borderId="1" xfId="0" applyFont="1" applyFill="1" applyBorder="1" applyAlignment="1">
      <alignment horizontal="right" wrapText="1"/>
    </xf>
    <xf numFmtId="0" fontId="88" fillId="8" borderId="1" xfId="0" applyFont="1" applyFill="1" applyBorder="1" applyAlignment="1">
      <alignment wrapText="1"/>
    </xf>
    <xf numFmtId="0" fontId="88" fillId="8" borderId="1" xfId="0" applyFont="1" applyFill="1" applyBorder="1" applyAlignment="1">
      <alignment horizontal="center" wrapText="1"/>
    </xf>
    <xf numFmtId="171" fontId="156" fillId="8" borderId="1" xfId="0" applyNumberFormat="1" applyFont="1" applyFill="1" applyBorder="1" applyAlignment="1">
      <alignment horizontal="center" wrapText="1"/>
    </xf>
    <xf numFmtId="3" fontId="88" fillId="8" borderId="1" xfId="0" applyNumberFormat="1" applyFont="1" applyFill="1" applyBorder="1" applyAlignment="1">
      <alignment horizontal="center"/>
    </xf>
    <xf numFmtId="171" fontId="88" fillId="8" borderId="1" xfId="0" applyNumberFormat="1" applyFont="1" applyFill="1" applyBorder="1" applyAlignment="1">
      <alignment horizontal="center" wrapText="1"/>
    </xf>
    <xf numFmtId="0" fontId="157" fillId="8" borderId="1" xfId="0" applyFont="1" applyFill="1" applyBorder="1" applyAlignment="1">
      <alignment horizontal="right" wrapText="1"/>
    </xf>
    <xf numFmtId="0" fontId="157" fillId="8" borderId="1" xfId="0" applyFont="1" applyFill="1" applyBorder="1" applyAlignment="1">
      <alignment wrapText="1"/>
    </xf>
    <xf numFmtId="0" fontId="157" fillId="8" borderId="1" xfId="0" applyFont="1" applyFill="1" applyBorder="1" applyAlignment="1">
      <alignment horizontal="center" wrapText="1"/>
    </xf>
    <xf numFmtId="171" fontId="158" fillId="8" borderId="1" xfId="0" applyNumberFormat="1" applyFont="1" applyFill="1" applyBorder="1" applyAlignment="1">
      <alignment horizontal="center" wrapText="1"/>
    </xf>
    <xf numFmtId="3" fontId="157" fillId="8" borderId="1" xfId="0" applyNumberFormat="1" applyFont="1" applyFill="1" applyBorder="1" applyAlignment="1">
      <alignment horizontal="center"/>
    </xf>
    <xf numFmtId="171" fontId="157" fillId="8" borderId="1" xfId="0" applyNumberFormat="1" applyFont="1" applyFill="1" applyBorder="1" applyAlignment="1">
      <alignment horizontal="center" wrapText="1"/>
    </xf>
    <xf numFmtId="0" fontId="157" fillId="8" borderId="1" xfId="0" applyFont="1" applyFill="1" applyBorder="1" applyAlignment="1">
      <alignment horizontal="center" wrapText="1"/>
    </xf>
    <xf numFmtId="0" fontId="159" fillId="0" borderId="1" xfId="0" applyFont="1" applyBorder="1" applyAlignment="1">
      <alignment horizontal="center"/>
    </xf>
    <xf numFmtId="3" fontId="88" fillId="8" borderId="1" xfId="0" applyNumberFormat="1" applyFont="1" applyFill="1" applyBorder="1" applyAlignment="1">
      <alignment horizontal="right"/>
    </xf>
    <xf numFmtId="0" fontId="129" fillId="0" borderId="1" xfId="0" applyFont="1" applyBorder="1" applyAlignment="1">
      <alignment horizontal="center"/>
    </xf>
    <xf numFmtId="0" fontId="161" fillId="22" borderId="100" xfId="0" applyFont="1" applyFill="1" applyBorder="1" applyAlignment="1"/>
    <xf numFmtId="0" fontId="160" fillId="22" borderId="100" xfId="0" applyFont="1" applyFill="1" applyBorder="1" applyAlignment="1">
      <alignment horizontal="center" wrapText="1"/>
    </xf>
    <xf numFmtId="0" fontId="12" fillId="0" borderId="1" xfId="0" applyFont="1" applyBorder="1"/>
    <xf numFmtId="0" fontId="162" fillId="23" borderId="2" xfId="0" applyFont="1" applyFill="1" applyBorder="1" applyAlignment="1">
      <alignment horizontal="center" vertical="center" wrapText="1"/>
    </xf>
    <xf numFmtId="0" fontId="162" fillId="23" borderId="100" xfId="0" applyFont="1" applyFill="1" applyBorder="1" applyAlignment="1">
      <alignment horizontal="center" vertical="center" wrapText="1"/>
    </xf>
    <xf numFmtId="0" fontId="162" fillId="23" borderId="100" xfId="0" applyFont="1" applyFill="1" applyBorder="1" applyAlignment="1">
      <alignment horizontal="center" vertical="center" wrapText="1"/>
    </xf>
    <xf numFmtId="0" fontId="69" fillId="23" borderId="1" xfId="0" applyFont="1" applyFill="1" applyBorder="1" applyAlignment="1">
      <alignment horizontal="center" vertical="center" wrapText="1"/>
    </xf>
    <xf numFmtId="0" fontId="161" fillId="8" borderId="2" xfId="0" applyFont="1" applyFill="1" applyBorder="1" applyAlignment="1">
      <alignment horizontal="center" vertical="center" wrapText="1"/>
    </xf>
    <xf numFmtId="0" fontId="161" fillId="8" borderId="100" xfId="0" applyFont="1" applyFill="1" applyBorder="1" applyAlignment="1">
      <alignment vertical="center" wrapText="1"/>
    </xf>
    <xf numFmtId="0" fontId="163" fillId="0" borderId="1" xfId="0" applyFont="1" applyBorder="1" applyAlignment="1">
      <alignment vertical="center"/>
    </xf>
    <xf numFmtId="0" fontId="163" fillId="0" borderId="1" xfId="0" applyFont="1" applyBorder="1" applyAlignment="1">
      <alignment horizontal="center" vertical="center"/>
    </xf>
    <xf numFmtId="4" fontId="163" fillId="0" borderId="1" xfId="0" applyNumberFormat="1" applyFont="1" applyBorder="1" applyAlignment="1">
      <alignment horizontal="center" vertical="center"/>
    </xf>
    <xf numFmtId="0" fontId="161" fillId="8" borderId="100" xfId="0" applyFont="1" applyFill="1" applyBorder="1" applyAlignment="1">
      <alignment horizontal="center" vertical="center" wrapText="1"/>
    </xf>
    <xf numFmtId="0" fontId="163" fillId="0" borderId="1" xfId="0" applyFont="1" applyBorder="1" applyAlignment="1">
      <alignment horizontal="center" vertical="center"/>
    </xf>
    <xf numFmtId="0" fontId="161" fillId="24" borderId="2" xfId="0" applyFont="1" applyFill="1" applyBorder="1" applyAlignment="1">
      <alignment horizontal="center" vertical="center" wrapText="1"/>
    </xf>
    <xf numFmtId="0" fontId="161" fillId="24" borderId="100" xfId="0" applyFont="1" applyFill="1" applyBorder="1" applyAlignment="1">
      <alignment vertical="center" wrapText="1"/>
    </xf>
    <xf numFmtId="0" fontId="161" fillId="24" borderId="100" xfId="0" applyFont="1" applyFill="1" applyBorder="1" applyAlignment="1">
      <alignment horizontal="center" vertical="center" wrapText="1"/>
    </xf>
    <xf numFmtId="4" fontId="161" fillId="24" borderId="100" xfId="0" applyNumberFormat="1" applyFont="1" applyFill="1" applyBorder="1" applyAlignment="1">
      <alignment horizontal="center" vertical="center" wrapText="1"/>
    </xf>
    <xf numFmtId="0" fontId="164" fillId="0" borderId="1" xfId="0" applyFont="1" applyBorder="1" applyAlignment="1">
      <alignment horizontal="center" vertical="center"/>
    </xf>
    <xf numFmtId="0" fontId="165" fillId="24" borderId="100" xfId="0" applyFont="1" applyFill="1" applyBorder="1" applyAlignment="1">
      <alignment horizontal="center" vertical="center" wrapText="1"/>
    </xf>
    <xf numFmtId="4" fontId="163" fillId="0" borderId="1" xfId="0" applyNumberFormat="1" applyFont="1" applyBorder="1" applyAlignment="1">
      <alignment horizontal="center" vertical="center"/>
    </xf>
    <xf numFmtId="4" fontId="161" fillId="24" borderId="100" xfId="0" applyNumberFormat="1" applyFont="1" applyFill="1" applyBorder="1" applyAlignment="1">
      <alignment horizontal="center" vertical="center" wrapText="1"/>
    </xf>
    <xf numFmtId="4" fontId="163" fillId="0" borderId="1" xfId="0" applyNumberFormat="1" applyFont="1" applyBorder="1" applyAlignment="1">
      <alignment horizontal="right" vertical="center"/>
    </xf>
    <xf numFmtId="0" fontId="166" fillId="0" borderId="0" xfId="0" applyFont="1"/>
    <xf numFmtId="0" fontId="167" fillId="5" borderId="0" xfId="0" applyFont="1" applyFill="1" applyAlignment="1"/>
    <xf numFmtId="0" fontId="167" fillId="5" borderId="0" xfId="0" applyFont="1" applyFill="1"/>
    <xf numFmtId="0" fontId="167" fillId="5" borderId="4" xfId="0" applyFont="1" applyFill="1" applyBorder="1"/>
    <xf numFmtId="0" fontId="168" fillId="0" borderId="0" xfId="0" applyFont="1" applyAlignment="1">
      <alignment horizontal="center" vertical="center" wrapText="1"/>
    </xf>
    <xf numFmtId="0" fontId="100" fillId="0" borderId="0" xfId="0" applyFont="1" applyAlignment="1">
      <alignment horizontal="center" vertical="center" wrapText="1"/>
    </xf>
    <xf numFmtId="0" fontId="90" fillId="0" borderId="0" xfId="0" applyFont="1" applyAlignment="1">
      <alignment horizontal="center" vertical="center" wrapText="1"/>
    </xf>
    <xf numFmtId="0" fontId="91" fillId="0" borderId="5" xfId="0" applyFont="1" applyBorder="1" applyAlignment="1">
      <alignment horizontal="left" vertical="center" wrapText="1"/>
    </xf>
    <xf numFmtId="0" fontId="91" fillId="0" borderId="0" xfId="0" applyFont="1" applyAlignment="1">
      <alignment horizontal="left" vertical="center" wrapText="1"/>
    </xf>
    <xf numFmtId="0" fontId="147" fillId="0" borderId="0" xfId="0" applyFont="1" applyAlignment="1">
      <alignment horizontal="left" vertical="center" wrapText="1"/>
    </xf>
    <xf numFmtId="0" fontId="91" fillId="0" borderId="1" xfId="0" applyFont="1" applyBorder="1" applyAlignment="1">
      <alignment horizontal="center" vertical="center" wrapText="1"/>
    </xf>
    <xf numFmtId="14" fontId="90" fillId="0" borderId="0" xfId="0" applyNumberFormat="1" applyFont="1" applyAlignment="1">
      <alignment horizontal="center" vertical="center" wrapText="1"/>
    </xf>
    <xf numFmtId="0" fontId="116" fillId="0" borderId="1" xfId="0" applyFont="1" applyBorder="1" applyAlignment="1">
      <alignment horizontal="center" vertical="center" wrapText="1"/>
    </xf>
    <xf numFmtId="0" fontId="147" fillId="0" borderId="0" xfId="0" applyFont="1" applyAlignment="1">
      <alignment horizontal="center" vertical="center" wrapText="1"/>
    </xf>
    <xf numFmtId="0" fontId="91" fillId="0" borderId="0" xfId="0" applyFont="1" applyAlignment="1">
      <alignment horizontal="center" vertical="center" wrapText="1"/>
    </xf>
    <xf numFmtId="1" fontId="169" fillId="0" borderId="0" xfId="0" applyNumberFormat="1" applyFont="1" applyAlignment="1">
      <alignment horizontal="center" vertical="center" wrapText="1"/>
    </xf>
    <xf numFmtId="1" fontId="90" fillId="0" borderId="0" xfId="0" applyNumberFormat="1" applyFont="1" applyAlignment="1">
      <alignment horizontal="center" vertical="center" wrapText="1"/>
    </xf>
    <xf numFmtId="0" fontId="166" fillId="0" borderId="0" xfId="0" applyFont="1" applyAlignment="1">
      <alignment horizontal="left" vertical="center" wrapText="1"/>
    </xf>
    <xf numFmtId="0" fontId="170" fillId="0" borderId="0" xfId="0" applyFont="1" applyAlignment="1">
      <alignment horizontal="left" wrapText="1"/>
    </xf>
    <xf numFmtId="0" fontId="147" fillId="0" borderId="0" xfId="0" applyFont="1" applyAlignment="1">
      <alignment horizontal="left" wrapText="1"/>
    </xf>
    <xf numFmtId="172" fontId="90" fillId="0" borderId="0" xfId="0" applyNumberFormat="1" applyFont="1" applyAlignment="1">
      <alignment horizontal="center" vertical="center" wrapText="1"/>
    </xf>
    <xf numFmtId="0" fontId="89" fillId="0" borderId="1" xfId="0" applyFont="1" applyBorder="1" applyAlignment="1">
      <alignment horizontal="center" vertical="center" wrapText="1"/>
    </xf>
    <xf numFmtId="172" fontId="171" fillId="0" borderId="0" xfId="0" applyNumberFormat="1" applyFont="1" applyAlignment="1">
      <alignment horizontal="center" vertical="center" wrapText="1"/>
    </xf>
    <xf numFmtId="0" fontId="91" fillId="0" borderId="5" xfId="0" applyFont="1" applyBorder="1" applyAlignment="1">
      <alignment horizontal="center" vertical="center" wrapText="1"/>
    </xf>
    <xf numFmtId="0" fontId="172" fillId="0" borderId="16" xfId="0" applyFont="1" applyBorder="1" applyAlignment="1">
      <alignment horizontal="center" vertical="center" wrapText="1"/>
    </xf>
    <xf numFmtId="4" fontId="6" fillId="0" borderId="16" xfId="0" applyNumberFormat="1" applyFont="1" applyBorder="1" applyAlignment="1">
      <alignment horizontal="left" vertical="center" wrapText="1"/>
    </xf>
    <xf numFmtId="3" fontId="91" fillId="8" borderId="7" xfId="0" applyNumberFormat="1" applyFont="1" applyFill="1" applyBorder="1" applyAlignment="1">
      <alignment horizontal="center" vertical="center" wrapText="1"/>
    </xf>
    <xf numFmtId="172" fontId="173" fillId="0" borderId="0" xfId="0" applyNumberFormat="1" applyFont="1" applyAlignment="1">
      <alignment horizontal="right" vertical="center"/>
    </xf>
    <xf numFmtId="14" fontId="171" fillId="0" borderId="0" xfId="0" applyNumberFormat="1" applyFont="1" applyAlignment="1">
      <alignment horizontal="center" vertical="center" wrapText="1"/>
    </xf>
    <xf numFmtId="14" fontId="174" fillId="0" borderId="0" xfId="0" applyNumberFormat="1" applyFont="1" applyAlignment="1">
      <alignment horizontal="right" vertical="center" wrapText="1"/>
    </xf>
    <xf numFmtId="0" fontId="91" fillId="0" borderId="1" xfId="0" applyFont="1" applyBorder="1" applyAlignment="1">
      <alignment horizontal="center"/>
    </xf>
    <xf numFmtId="4" fontId="173" fillId="0" borderId="0" xfId="0" applyNumberFormat="1" applyFont="1" applyAlignment="1">
      <alignment horizontal="right" vertical="center" wrapText="1"/>
    </xf>
    <xf numFmtId="4" fontId="173" fillId="0" borderId="0" xfId="0" applyNumberFormat="1" applyFont="1" applyAlignment="1">
      <alignment horizontal="right" vertical="center"/>
    </xf>
    <xf numFmtId="0" fontId="91" fillId="0" borderId="14" xfId="0" applyFont="1" applyBorder="1" applyAlignment="1">
      <alignment horizontal="center"/>
    </xf>
    <xf numFmtId="0" fontId="157" fillId="0" borderId="103" xfId="0" applyFont="1" applyBorder="1" applyAlignment="1">
      <alignment horizontal="center"/>
    </xf>
    <xf numFmtId="3" fontId="90" fillId="0" borderId="0" xfId="0" applyNumberFormat="1" applyFont="1" applyAlignment="1">
      <alignment horizontal="center" wrapText="1"/>
    </xf>
    <xf numFmtId="0" fontId="91" fillId="0" borderId="2" xfId="0" applyFont="1" applyBorder="1" applyAlignment="1">
      <alignment horizontal="center"/>
    </xf>
    <xf numFmtId="4" fontId="90" fillId="0" borderId="0" xfId="0" applyNumberFormat="1" applyFont="1" applyAlignment="1">
      <alignment horizontal="right" vertical="center" wrapText="1"/>
    </xf>
    <xf numFmtId="0" fontId="178" fillId="0" borderId="0" xfId="0" applyFont="1" applyAlignment="1">
      <alignment horizontal="left" vertical="center" wrapText="1"/>
    </xf>
    <xf numFmtId="0" fontId="91" fillId="0" borderId="0" xfId="0" applyFont="1" applyAlignment="1">
      <alignment horizontal="left" wrapText="1"/>
    </xf>
    <xf numFmtId="0" fontId="129" fillId="8" borderId="0" xfId="0" applyFont="1" applyFill="1"/>
    <xf numFmtId="0" fontId="109" fillId="0" borderId="0" xfId="0" applyFont="1" applyAlignment="1">
      <alignment vertical="center" wrapText="1"/>
    </xf>
    <xf numFmtId="0" fontId="166" fillId="0" borderId="0" xfId="0" applyFont="1" applyAlignment="1">
      <alignment horizontal="left"/>
    </xf>
    <xf numFmtId="0" fontId="147" fillId="25" borderId="108" xfId="0" applyFont="1" applyFill="1" applyBorder="1" applyAlignment="1">
      <alignment horizontal="center" vertical="center" wrapText="1"/>
    </xf>
    <xf numFmtId="0" fontId="91" fillId="25" borderId="108" xfId="0" applyFont="1" applyFill="1" applyBorder="1" applyAlignment="1">
      <alignment horizontal="center" vertical="center" wrapText="1"/>
    </xf>
    <xf numFmtId="0" fontId="91" fillId="0" borderId="1" xfId="0" applyFont="1" applyBorder="1" applyAlignment="1">
      <alignment horizontal="left" vertical="center" wrapText="1"/>
    </xf>
    <xf numFmtId="3" fontId="91" fillId="0" borderId="1" xfId="0" applyNumberFormat="1" applyFont="1" applyBorder="1" applyAlignment="1">
      <alignment horizontal="left" vertical="center" wrapText="1"/>
    </xf>
    <xf numFmtId="0" fontId="109" fillId="0" borderId="1" xfId="0" applyFont="1" applyBorder="1" applyAlignment="1">
      <alignment horizontal="center" vertical="center" wrapText="1"/>
    </xf>
    <xf numFmtId="4" fontId="91" fillId="0" borderId="1" xfId="0" applyNumberFormat="1" applyFont="1" applyBorder="1" applyAlignment="1">
      <alignment vertical="center"/>
    </xf>
    <xf numFmtId="4" fontId="91" fillId="0" borderId="0" xfId="0" applyNumberFormat="1" applyFont="1" applyAlignment="1">
      <alignment vertical="center"/>
    </xf>
    <xf numFmtId="10" fontId="109" fillId="0" borderId="1" xfId="0" applyNumberFormat="1" applyFont="1" applyBorder="1" applyAlignment="1">
      <alignment horizontal="center" vertical="center" wrapText="1"/>
    </xf>
    <xf numFmtId="10" fontId="109" fillId="0" borderId="1" xfId="0" applyNumberFormat="1" applyFont="1" applyBorder="1" applyAlignment="1">
      <alignment horizontal="center" vertical="center"/>
    </xf>
    <xf numFmtId="10" fontId="109" fillId="0" borderId="7" xfId="0" applyNumberFormat="1" applyFont="1" applyBorder="1" applyAlignment="1">
      <alignment horizontal="center" vertical="center"/>
    </xf>
    <xf numFmtId="4" fontId="162" fillId="0" borderId="6" xfId="0" applyNumberFormat="1" applyFont="1" applyBorder="1" applyAlignment="1">
      <alignment vertical="center" wrapText="1"/>
    </xf>
    <xf numFmtId="4" fontId="100" fillId="11" borderId="7" xfId="0" applyNumberFormat="1" applyFont="1" applyFill="1" applyBorder="1" applyAlignment="1">
      <alignment horizontal="center" vertical="center" wrapText="1"/>
    </xf>
    <xf numFmtId="4" fontId="162" fillId="0" borderId="7" xfId="0" applyNumberFormat="1" applyFont="1" applyBorder="1" applyAlignment="1">
      <alignment vertical="center" wrapText="1"/>
    </xf>
    <xf numFmtId="4" fontId="162" fillId="0" borderId="7" xfId="0" applyNumberFormat="1" applyFont="1" applyBorder="1" applyAlignment="1">
      <alignment horizontal="right" wrapText="1"/>
    </xf>
    <xf numFmtId="4" fontId="162" fillId="0" borderId="6" xfId="0" applyNumberFormat="1" applyFont="1" applyBorder="1" applyAlignment="1">
      <alignment wrapText="1"/>
    </xf>
    <xf numFmtId="4" fontId="100" fillId="11" borderId="7" xfId="0" applyNumberFormat="1" applyFont="1" applyFill="1" applyBorder="1" applyAlignment="1">
      <alignment horizontal="center" wrapText="1"/>
    </xf>
    <xf numFmtId="4" fontId="162" fillId="0" borderId="7" xfId="0" applyNumberFormat="1" applyFont="1" applyBorder="1" applyAlignment="1">
      <alignment wrapText="1"/>
    </xf>
    <xf numFmtId="4" fontId="162" fillId="0" borderId="100" xfId="0" applyNumberFormat="1" applyFont="1" applyBorder="1" applyAlignment="1">
      <alignment horizontal="right" wrapText="1"/>
    </xf>
    <xf numFmtId="4" fontId="162" fillId="0" borderId="6" xfId="0" applyNumberFormat="1" applyFont="1" applyBorder="1" applyAlignment="1">
      <alignment wrapText="1"/>
    </xf>
    <xf numFmtId="4" fontId="100" fillId="8" borderId="7" xfId="0" applyNumberFormat="1" applyFont="1" applyFill="1" applyBorder="1" applyAlignment="1">
      <alignment horizontal="center" wrapText="1"/>
    </xf>
    <xf numFmtId="0" fontId="129" fillId="8" borderId="0" xfId="0" applyFont="1" applyFill="1" applyAlignment="1"/>
    <xf numFmtId="4" fontId="91" fillId="0" borderId="1" xfId="0" applyNumberFormat="1" applyFont="1" applyBorder="1" applyAlignment="1">
      <alignment horizontal="center" vertical="center"/>
    </xf>
    <xf numFmtId="4" fontId="91" fillId="0" borderId="0" xfId="0" applyNumberFormat="1" applyFont="1" applyAlignment="1">
      <alignment horizontal="center" vertical="center"/>
    </xf>
    <xf numFmtId="4" fontId="147" fillId="25" borderId="1" xfId="0" applyNumberFormat="1" applyFont="1" applyFill="1" applyBorder="1" applyAlignment="1">
      <alignment vertical="center"/>
    </xf>
    <xf numFmtId="4" fontId="147" fillId="0" borderId="0" xfId="0" applyNumberFormat="1" applyFont="1" applyAlignment="1">
      <alignment vertical="center"/>
    </xf>
    <xf numFmtId="0" fontId="91" fillId="26" borderId="1" xfId="0" applyFont="1" applyFill="1" applyBorder="1" applyAlignment="1">
      <alignment horizontal="right" vertical="center" wrapText="1"/>
    </xf>
    <xf numFmtId="4" fontId="147" fillId="26" borderId="1" xfId="0" applyNumberFormat="1" applyFont="1" applyFill="1" applyBorder="1" applyAlignment="1">
      <alignment vertical="center"/>
    </xf>
    <xf numFmtId="4" fontId="116" fillId="25" borderId="1" xfId="0" applyNumberFormat="1" applyFont="1" applyFill="1" applyBorder="1" applyAlignment="1">
      <alignment horizontal="right" vertical="center" wrapText="1"/>
    </xf>
    <xf numFmtId="4" fontId="116" fillId="0" borderId="0" xfId="0" applyNumberFormat="1" applyFont="1" applyAlignment="1">
      <alignment horizontal="right" vertical="center" wrapText="1"/>
    </xf>
    <xf numFmtId="0" fontId="91" fillId="0" borderId="0" xfId="0" applyFont="1" applyAlignment="1">
      <alignment horizontal="right" vertical="center" wrapText="1"/>
    </xf>
    <xf numFmtId="0" fontId="151" fillId="0" borderId="0" xfId="0" applyFont="1" applyAlignment="1">
      <alignment horizontal="left" vertical="center" wrapText="1"/>
    </xf>
    <xf numFmtId="0" fontId="132" fillId="0" borderId="0" xfId="0" applyFont="1" applyAlignment="1">
      <alignment horizontal="left" vertical="center"/>
    </xf>
    <xf numFmtId="0" fontId="140" fillId="0" borderId="0" xfId="0" applyFont="1" applyAlignment="1">
      <alignment horizontal="left" vertical="center"/>
    </xf>
    <xf numFmtId="0" fontId="140" fillId="0" borderId="1" xfId="0" applyFont="1" applyBorder="1" applyAlignment="1">
      <alignment horizontal="center" vertical="center"/>
    </xf>
    <xf numFmtId="0" fontId="140" fillId="0" borderId="1" xfId="0" applyFont="1" applyBorder="1" applyAlignment="1">
      <alignment horizontal="center" vertical="center" wrapText="1"/>
    </xf>
    <xf numFmtId="0" fontId="140" fillId="0" borderId="0" xfId="0" applyFont="1" applyAlignment="1">
      <alignment horizontal="center" vertical="center" wrapText="1"/>
    </xf>
    <xf numFmtId="10" fontId="140" fillId="0" borderId="1" xfId="0" applyNumberFormat="1" applyFont="1" applyBorder="1" applyAlignment="1">
      <alignment horizontal="center" vertical="center"/>
    </xf>
    <xf numFmtId="2" fontId="89" fillId="0" borderId="1" xfId="0" applyNumberFormat="1" applyFont="1" applyBorder="1" applyAlignment="1">
      <alignment horizontal="right" vertical="center" wrapText="1"/>
    </xf>
    <xf numFmtId="2" fontId="89" fillId="0" borderId="0" xfId="0" applyNumberFormat="1" applyFont="1" applyAlignment="1">
      <alignment horizontal="right" vertical="center" wrapText="1"/>
    </xf>
    <xf numFmtId="173" fontId="140" fillId="0" borderId="1" xfId="0" applyNumberFormat="1" applyFont="1" applyBorder="1" applyAlignment="1">
      <alignment horizontal="center" vertical="center"/>
    </xf>
    <xf numFmtId="4" fontId="91" fillId="25" borderId="1" xfId="0" applyNumberFormat="1" applyFont="1" applyFill="1" applyBorder="1" applyAlignment="1">
      <alignment horizontal="right" vertical="center"/>
    </xf>
    <xf numFmtId="4" fontId="91" fillId="0" borderId="0" xfId="0" applyNumberFormat="1" applyFont="1" applyAlignment="1">
      <alignment horizontal="right" vertical="center"/>
    </xf>
    <xf numFmtId="0" fontId="132" fillId="0" borderId="0" xfId="0" applyFont="1" applyAlignment="1">
      <alignment horizontal="right" vertical="center"/>
    </xf>
    <xf numFmtId="0" fontId="140" fillId="0" borderId="0" xfId="0" applyFont="1" applyAlignment="1">
      <alignment horizontal="left" vertical="center" wrapText="1"/>
    </xf>
    <xf numFmtId="0" fontId="140" fillId="25" borderId="74" xfId="0" applyFont="1" applyFill="1" applyBorder="1" applyAlignment="1">
      <alignment horizontal="center" vertical="center"/>
    </xf>
    <xf numFmtId="0" fontId="89" fillId="25" borderId="1" xfId="0" applyFont="1" applyFill="1" applyBorder="1" applyAlignment="1">
      <alignment horizontal="center" vertical="center" wrapText="1"/>
    </xf>
    <xf numFmtId="0" fontId="140" fillId="25" borderId="1" xfId="0" applyFont="1" applyFill="1" applyBorder="1" applyAlignment="1">
      <alignment horizontal="center" vertical="center" wrapText="1"/>
    </xf>
    <xf numFmtId="0" fontId="91" fillId="0" borderId="5" xfId="0" applyFont="1" applyBorder="1" applyAlignment="1">
      <alignment horizontal="center" vertical="center"/>
    </xf>
    <xf numFmtId="10" fontId="91" fillId="0" borderId="1" xfId="0" applyNumberFormat="1" applyFont="1" applyBorder="1" applyAlignment="1">
      <alignment horizontal="right" vertical="center"/>
    </xf>
    <xf numFmtId="4" fontId="91" fillId="0" borderId="1" xfId="0" applyNumberFormat="1" applyFont="1" applyBorder="1" applyAlignment="1">
      <alignment horizontal="right" vertical="center"/>
    </xf>
    <xf numFmtId="9" fontId="91" fillId="0" borderId="7" xfId="0" applyNumberFormat="1" applyFont="1" applyBorder="1" applyAlignment="1">
      <alignment horizontal="center" vertical="center" wrapText="1"/>
    </xf>
    <xf numFmtId="174" fontId="91" fillId="0" borderId="7" xfId="0" applyNumberFormat="1" applyFont="1" applyBorder="1" applyAlignment="1">
      <alignment horizontal="center" vertical="center" wrapText="1"/>
    </xf>
    <xf numFmtId="175" fontId="91" fillId="0" borderId="1" xfId="0" applyNumberFormat="1" applyFont="1" applyBorder="1" applyAlignment="1">
      <alignment horizontal="right" vertical="center"/>
    </xf>
    <xf numFmtId="175" fontId="91" fillId="25" borderId="1" xfId="0" applyNumberFormat="1" applyFont="1" applyFill="1" applyBorder="1" applyAlignment="1">
      <alignment horizontal="right" vertical="center"/>
    </xf>
    <xf numFmtId="0" fontId="91" fillId="26" borderId="74" xfId="0" applyFont="1" applyFill="1" applyBorder="1" applyAlignment="1">
      <alignment horizontal="right" vertical="center"/>
    </xf>
    <xf numFmtId="0" fontId="1" fillId="26" borderId="67" xfId="0" applyFont="1" applyFill="1" applyBorder="1" applyAlignment="1">
      <alignment horizontal="right" vertical="center"/>
    </xf>
    <xf numFmtId="10" fontId="91" fillId="26" borderId="67" xfId="0" applyNumberFormat="1" applyFont="1" applyFill="1" applyBorder="1" applyAlignment="1">
      <alignment horizontal="right" vertical="center"/>
    </xf>
    <xf numFmtId="4" fontId="91" fillId="26" borderId="73" xfId="0" applyNumberFormat="1" applyFont="1" applyFill="1" applyBorder="1" applyAlignment="1">
      <alignment horizontal="right" vertical="center"/>
    </xf>
    <xf numFmtId="0" fontId="147" fillId="25" borderId="1" xfId="0" applyFont="1" applyFill="1" applyBorder="1" applyAlignment="1">
      <alignment horizontal="center" vertical="center"/>
    </xf>
    <xf numFmtId="0" fontId="147" fillId="25" borderId="1" xfId="0" applyFont="1" applyFill="1" applyBorder="1" applyAlignment="1">
      <alignment horizontal="center" vertical="center" wrapText="1"/>
    </xf>
    <xf numFmtId="0" fontId="91" fillId="0" borderId="1" xfId="0" applyFont="1" applyBorder="1" applyAlignment="1">
      <alignment horizontal="center" vertical="center"/>
    </xf>
    <xf numFmtId="4" fontId="91" fillId="0" borderId="5" xfId="0" applyNumberFormat="1" applyFont="1" applyBorder="1" applyAlignment="1">
      <alignment horizontal="left" vertical="center" wrapText="1"/>
    </xf>
    <xf numFmtId="4" fontId="91" fillId="0" borderId="14" xfId="0" applyNumberFormat="1" applyFont="1" applyBorder="1" applyAlignment="1">
      <alignment horizontal="right" vertical="center"/>
    </xf>
    <xf numFmtId="172" fontId="90" fillId="0" borderId="1" xfId="0" applyNumberFormat="1" applyFont="1" applyBorder="1" applyAlignment="1">
      <alignment vertical="center"/>
    </xf>
    <xf numFmtId="4" fontId="120" fillId="0" borderId="18" xfId="0" applyNumberFormat="1" applyFont="1" applyBorder="1" applyAlignment="1">
      <alignment horizontal="center" vertical="center"/>
    </xf>
    <xf numFmtId="3" fontId="90" fillId="0" borderId="1" xfId="0" applyNumberFormat="1" applyFont="1" applyBorder="1" applyAlignment="1">
      <alignment vertical="center"/>
    </xf>
    <xf numFmtId="10" fontId="90" fillId="0" borderId="5" xfId="0" applyNumberFormat="1" applyFont="1" applyBorder="1" applyAlignment="1">
      <alignment vertical="center"/>
    </xf>
    <xf numFmtId="4" fontId="120" fillId="0" borderId="2" xfId="0" applyNumberFormat="1" applyFont="1" applyBorder="1" applyAlignment="1">
      <alignment horizontal="center" vertical="center"/>
    </xf>
    <xf numFmtId="172" fontId="90" fillId="0" borderId="5" xfId="0" applyNumberFormat="1" applyFont="1" applyBorder="1" applyAlignment="1">
      <alignment vertical="center"/>
    </xf>
    <xf numFmtId="4" fontId="91" fillId="0" borderId="18" xfId="0" applyNumberFormat="1" applyFont="1" applyBorder="1" applyAlignment="1">
      <alignment horizontal="center" vertical="center"/>
    </xf>
    <xf numFmtId="3" fontId="90" fillId="0" borderId="5" xfId="0" applyNumberFormat="1" applyFont="1" applyBorder="1" applyAlignment="1">
      <alignment vertical="center"/>
    </xf>
    <xf numFmtId="4" fontId="91" fillId="0" borderId="2" xfId="0" applyNumberFormat="1" applyFont="1" applyBorder="1" applyAlignment="1">
      <alignment horizontal="center" vertical="center"/>
    </xf>
    <xf numFmtId="4" fontId="91" fillId="0" borderId="2" xfId="0" applyNumberFormat="1" applyFont="1" applyBorder="1" applyAlignment="1">
      <alignment horizontal="right" vertical="center"/>
    </xf>
    <xf numFmtId="0" fontId="91" fillId="8" borderId="1" xfId="0" applyFont="1" applyFill="1" applyBorder="1" applyAlignment="1">
      <alignment horizontal="center" vertical="center"/>
    </xf>
    <xf numFmtId="0" fontId="182" fillId="8" borderId="5" xfId="0" applyFont="1" applyFill="1" applyBorder="1" applyAlignment="1">
      <alignment horizontal="left" vertical="center"/>
    </xf>
    <xf numFmtId="0" fontId="183" fillId="8" borderId="7" xfId="0" applyFont="1" applyFill="1" applyBorder="1" applyAlignment="1">
      <alignment horizontal="left" vertical="center"/>
    </xf>
    <xf numFmtId="4" fontId="184" fillId="8" borderId="5" xfId="0" applyNumberFormat="1" applyFont="1" applyFill="1" applyBorder="1" applyAlignment="1">
      <alignment horizontal="center" vertical="center"/>
    </xf>
    <xf numFmtId="0" fontId="185" fillId="8" borderId="7" xfId="0" applyFont="1" applyFill="1" applyBorder="1" applyAlignment="1">
      <alignment horizontal="left" vertical="center"/>
    </xf>
    <xf numFmtId="4" fontId="186" fillId="8" borderId="0" xfId="0" applyNumberFormat="1" applyFont="1" applyFill="1" applyAlignment="1">
      <alignment horizontal="center" vertical="center"/>
    </xf>
    <xf numFmtId="0" fontId="187" fillId="8" borderId="6" xfId="0" applyFont="1" applyFill="1" applyBorder="1" applyAlignment="1">
      <alignment horizontal="left" vertical="center"/>
    </xf>
    <xf numFmtId="4" fontId="188" fillId="8" borderId="0" xfId="0" applyNumberFormat="1" applyFont="1" applyFill="1" applyAlignment="1">
      <alignment horizontal="center" vertical="center"/>
    </xf>
    <xf numFmtId="4" fontId="189" fillId="8" borderId="7" xfId="0" applyNumberFormat="1" applyFont="1" applyFill="1" applyBorder="1" applyAlignment="1">
      <alignment horizontal="center" vertical="center" wrapText="1"/>
    </xf>
    <xf numFmtId="4" fontId="91" fillId="0" borderId="0" xfId="0" applyNumberFormat="1" applyFont="1" applyAlignment="1">
      <alignment horizontal="right" vertical="center" wrapText="1"/>
    </xf>
    <xf numFmtId="0" fontId="91" fillId="25" borderId="1" xfId="0" applyFont="1" applyFill="1" applyBorder="1" applyAlignment="1">
      <alignment horizontal="center" vertical="center"/>
    </xf>
    <xf numFmtId="0" fontId="132" fillId="0" borderId="0" xfId="0" applyFont="1" applyAlignment="1">
      <alignment horizontal="left" vertical="center" wrapText="1"/>
    </xf>
    <xf numFmtId="4" fontId="89" fillId="0" borderId="1" xfId="0" applyNumberFormat="1" applyFont="1" applyBorder="1" applyAlignment="1">
      <alignment horizontal="right" vertical="center" wrapText="1"/>
    </xf>
    <xf numFmtId="4" fontId="89" fillId="0" borderId="0" xfId="0" applyNumberFormat="1" applyFont="1" applyAlignment="1">
      <alignment horizontal="right" vertical="center" wrapText="1"/>
    </xf>
    <xf numFmtId="4" fontId="89" fillId="25" borderId="1" xfId="0" applyNumberFormat="1" applyFont="1" applyFill="1" applyBorder="1" applyAlignment="1">
      <alignment horizontal="right" vertical="center" wrapText="1"/>
    </xf>
    <xf numFmtId="0" fontId="190" fillId="0" borderId="0" xfId="0" applyFont="1" applyAlignment="1">
      <alignment horizontal="center" vertical="center" wrapText="1"/>
    </xf>
    <xf numFmtId="0" fontId="109" fillId="0" borderId="0" xfId="0" applyFont="1" applyAlignment="1">
      <alignment horizontal="left" vertical="center"/>
    </xf>
    <xf numFmtId="0" fontId="147" fillId="0" borderId="0" xfId="0" applyFont="1" applyAlignment="1">
      <alignment horizontal="center" vertical="center"/>
    </xf>
    <xf numFmtId="0" fontId="173" fillId="0" borderId="7" xfId="0" applyFont="1" applyBorder="1" applyAlignment="1">
      <alignment horizontal="center" vertical="center" wrapText="1"/>
    </xf>
    <xf numFmtId="10" fontId="191" fillId="0" borderId="1" xfId="0" applyNumberFormat="1" applyFont="1" applyBorder="1" applyAlignment="1">
      <alignment horizontal="right" vertical="center"/>
    </xf>
    <xf numFmtId="0" fontId="91" fillId="0" borderId="0" xfId="0" applyFont="1" applyAlignment="1">
      <alignment horizontal="right" vertical="center"/>
    </xf>
    <xf numFmtId="0" fontId="109" fillId="0" borderId="0" xfId="0" applyFont="1" applyAlignment="1">
      <alignment horizontal="left" vertical="center" wrapText="1"/>
    </xf>
    <xf numFmtId="0" fontId="192" fillId="0" borderId="1" xfId="0" applyFont="1" applyBorder="1" applyAlignment="1">
      <alignment horizontal="right" vertical="center" wrapText="1"/>
    </xf>
    <xf numFmtId="4" fontId="185" fillId="0" borderId="1" xfId="0" applyNumberFormat="1" applyFont="1" applyBorder="1" applyAlignment="1">
      <alignment horizontal="center" vertical="center" wrapText="1"/>
    </xf>
    <xf numFmtId="0" fontId="191" fillId="2" borderId="1" xfId="0" applyFont="1" applyFill="1" applyBorder="1" applyAlignment="1">
      <alignment horizontal="center" vertical="center" wrapText="1"/>
    </xf>
    <xf numFmtId="4" fontId="109" fillId="0" borderId="1" xfId="0" applyNumberFormat="1" applyFont="1" applyBorder="1" applyAlignment="1">
      <alignment horizontal="right" vertical="center" wrapText="1"/>
    </xf>
    <xf numFmtId="4" fontId="109" fillId="0" borderId="0" xfId="0" applyNumberFormat="1" applyFont="1" applyAlignment="1">
      <alignment horizontal="right" vertical="center" wrapText="1"/>
    </xf>
    <xf numFmtId="0" fontId="19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47" fillId="25" borderId="1" xfId="0" applyFont="1" applyFill="1" applyBorder="1" applyAlignment="1">
      <alignment horizontal="center"/>
    </xf>
    <xf numFmtId="0" fontId="147" fillId="25" borderId="14" xfId="0" applyFont="1" applyFill="1" applyBorder="1" applyAlignment="1">
      <alignment horizontal="center"/>
    </xf>
    <xf numFmtId="0" fontId="147" fillId="0" borderId="0" xfId="0" applyFont="1" applyAlignment="1">
      <alignment horizontal="center"/>
    </xf>
    <xf numFmtId="173" fontId="147" fillId="0" borderId="1" xfId="0" applyNumberFormat="1" applyFont="1" applyBorder="1" applyAlignment="1">
      <alignment horizontal="center" vertical="center" wrapText="1"/>
    </xf>
    <xf numFmtId="10" fontId="140" fillId="0" borderId="5" xfId="0" applyNumberFormat="1" applyFont="1" applyBorder="1" applyAlignment="1">
      <alignment horizontal="center" vertical="center" wrapText="1"/>
    </xf>
    <xf numFmtId="2" fontId="155" fillId="0" borderId="1" xfId="0" applyNumberFormat="1" applyFont="1" applyBorder="1" applyAlignment="1">
      <alignment vertical="center"/>
    </xf>
    <xf numFmtId="0" fontId="91" fillId="17" borderId="1" xfId="0" applyFont="1" applyFill="1" applyBorder="1" applyAlignment="1">
      <alignment horizontal="center" vertical="center"/>
    </xf>
    <xf numFmtId="4" fontId="147" fillId="17" borderId="1" xfId="0" applyNumberFormat="1" applyFont="1" applyFill="1" applyBorder="1" applyAlignment="1">
      <alignment horizontal="right" vertical="center"/>
    </xf>
    <xf numFmtId="4" fontId="147" fillId="0" borderId="0" xfId="0" applyNumberFormat="1" applyFont="1" applyAlignment="1">
      <alignment horizontal="right" vertical="center"/>
    </xf>
    <xf numFmtId="0" fontId="140" fillId="25" borderId="1" xfId="0" applyFont="1" applyFill="1" applyBorder="1" applyAlignment="1">
      <alignment horizontal="center" vertical="center"/>
    </xf>
    <xf numFmtId="4" fontId="140" fillId="25" borderId="1" xfId="0" applyNumberFormat="1" applyFont="1" applyFill="1" applyBorder="1" applyAlignment="1">
      <alignment horizontal="center" vertical="center"/>
    </xf>
    <xf numFmtId="4" fontId="140" fillId="0" borderId="0" xfId="0" applyNumberFormat="1" applyFont="1" applyAlignment="1">
      <alignment horizontal="center" vertical="center"/>
    </xf>
    <xf numFmtId="0" fontId="89" fillId="0" borderId="1" xfId="0" applyFont="1" applyBorder="1" applyAlignment="1">
      <alignment horizontal="center" vertical="center"/>
    </xf>
    <xf numFmtId="4" fontId="89" fillId="0" borderId="1" xfId="0" applyNumberFormat="1" applyFont="1" applyBorder="1" applyAlignment="1">
      <alignment horizontal="right" vertical="center"/>
    </xf>
    <xf numFmtId="4" fontId="89" fillId="0" borderId="0" xfId="0" applyNumberFormat="1" applyFont="1" applyAlignment="1">
      <alignment horizontal="right" vertical="center"/>
    </xf>
    <xf numFmtId="4" fontId="89" fillId="25" borderId="1" xfId="0" applyNumberFormat="1" applyFont="1" applyFill="1" applyBorder="1" applyAlignment="1">
      <alignment horizontal="right" vertical="center"/>
    </xf>
    <xf numFmtId="0" fontId="89" fillId="0" borderId="0" xfId="0" applyFont="1" applyAlignment="1">
      <alignment horizontal="right" vertical="center"/>
    </xf>
    <xf numFmtId="4" fontId="88" fillId="0" borderId="1" xfId="0" applyNumberFormat="1" applyFont="1" applyBorder="1" applyAlignment="1">
      <alignment horizontal="right" vertical="center"/>
    </xf>
    <xf numFmtId="4" fontId="91" fillId="0" borderId="1" xfId="0" applyNumberFormat="1" applyFont="1" applyBorder="1" applyAlignment="1">
      <alignment horizontal="right" vertical="center" wrapText="1"/>
    </xf>
    <xf numFmtId="4" fontId="91" fillId="25" borderId="1" xfId="0" applyNumberFormat="1" applyFont="1" applyFill="1" applyBorder="1" applyAlignment="1">
      <alignment horizontal="right" vertical="center" wrapText="1"/>
    </xf>
    <xf numFmtId="0" fontId="116" fillId="0" borderId="0" xfId="0" applyFont="1" applyAlignment="1">
      <alignment horizontal="center" vertical="center"/>
    </xf>
    <xf numFmtId="0" fontId="166" fillId="0" borderId="0" xfId="0" applyFont="1" applyAlignment="1">
      <alignment horizontal="left" vertical="center"/>
    </xf>
    <xf numFmtId="0" fontId="116" fillId="26" borderId="74" xfId="0" applyFont="1" applyFill="1" applyBorder="1" applyAlignment="1">
      <alignment horizontal="center" vertical="center"/>
    </xf>
    <xf numFmtId="0" fontId="1" fillId="26" borderId="67" xfId="0" applyFont="1" applyFill="1" applyBorder="1" applyAlignment="1">
      <alignment horizontal="center" vertical="center"/>
    </xf>
    <xf numFmtId="0" fontId="1" fillId="26" borderId="73" xfId="0" applyFont="1" applyFill="1" applyBorder="1" applyAlignment="1">
      <alignment horizontal="center" vertical="center"/>
    </xf>
    <xf numFmtId="0" fontId="91" fillId="25" borderId="1" xfId="0" applyFont="1" applyFill="1" applyBorder="1" applyAlignment="1">
      <alignment horizontal="center" vertical="center" wrapText="1"/>
    </xf>
    <xf numFmtId="4" fontId="147" fillId="25" borderId="1" xfId="0" applyNumberFormat="1" applyFont="1" applyFill="1" applyBorder="1" applyAlignment="1">
      <alignment horizontal="center" vertical="center" wrapText="1"/>
    </xf>
    <xf numFmtId="4" fontId="147" fillId="0" borderId="0" xfId="0" applyNumberFormat="1" applyFont="1" applyAlignment="1">
      <alignment horizontal="center" vertical="center" wrapText="1"/>
    </xf>
    <xf numFmtId="4" fontId="90" fillId="0" borderId="1" xfId="0" applyNumberFormat="1" applyFont="1" applyBorder="1" applyAlignment="1">
      <alignment horizontal="right" vertical="center"/>
    </xf>
    <xf numFmtId="4" fontId="90" fillId="0" borderId="0" xfId="0" applyNumberFormat="1" applyFont="1" applyAlignment="1">
      <alignment horizontal="right" vertical="center"/>
    </xf>
    <xf numFmtId="10" fontId="90" fillId="0" borderId="1" xfId="0" applyNumberFormat="1" applyFont="1" applyBorder="1" applyAlignment="1">
      <alignment horizontal="center" vertical="center"/>
    </xf>
    <xf numFmtId="0" fontId="109" fillId="0" borderId="1" xfId="0" applyFont="1" applyBorder="1" applyAlignment="1">
      <alignment horizontal="center" vertical="center"/>
    </xf>
    <xf numFmtId="10" fontId="91" fillId="0" borderId="1" xfId="0" applyNumberFormat="1" applyFont="1" applyBorder="1" applyAlignment="1">
      <alignment horizontal="center" vertical="center"/>
    </xf>
    <xf numFmtId="4" fontId="91" fillId="0" borderId="1" xfId="0" applyNumberFormat="1" applyFont="1" applyBorder="1"/>
    <xf numFmtId="4" fontId="91" fillId="0" borderId="0" xfId="0" applyNumberFormat="1" applyFont="1"/>
    <xf numFmtId="10" fontId="91" fillId="0" borderId="1" xfId="0" applyNumberFormat="1" applyFont="1" applyBorder="1" applyAlignment="1">
      <alignment horizontal="center" vertical="center" wrapText="1"/>
    </xf>
    <xf numFmtId="10" fontId="91" fillId="0" borderId="1" xfId="0" applyNumberFormat="1" applyFont="1" applyBorder="1" applyAlignment="1">
      <alignment horizontal="center" wrapText="1"/>
    </xf>
    <xf numFmtId="4" fontId="91" fillId="0" borderId="1" xfId="0" applyNumberFormat="1" applyFont="1" applyBorder="1" applyAlignment="1">
      <alignment horizontal="center"/>
    </xf>
    <xf numFmtId="4" fontId="91" fillId="0" borderId="0" xfId="0" applyNumberFormat="1" applyFont="1" applyAlignment="1">
      <alignment horizontal="center"/>
    </xf>
    <xf numFmtId="10" fontId="91" fillId="0" borderId="1" xfId="0" applyNumberFormat="1" applyFont="1" applyBorder="1" applyAlignment="1">
      <alignment horizontal="right" vertical="center" wrapText="1"/>
    </xf>
    <xf numFmtId="10" fontId="90" fillId="0" borderId="1" xfId="0" applyNumberFormat="1" applyFont="1" applyBorder="1" applyAlignment="1">
      <alignment horizontal="right" vertical="center"/>
    </xf>
    <xf numFmtId="0" fontId="181" fillId="0" borderId="0" xfId="0" applyFont="1" applyAlignment="1">
      <alignment horizontal="left" vertical="center"/>
    </xf>
    <xf numFmtId="0" fontId="181" fillId="0" borderId="0" xfId="0" applyFont="1" applyAlignment="1">
      <alignment horizontal="center" vertical="center"/>
    </xf>
    <xf numFmtId="0" fontId="194" fillId="0" borderId="0" xfId="0" applyFont="1" applyAlignment="1">
      <alignment vertical="center"/>
    </xf>
    <xf numFmtId="49" fontId="91" fillId="0" borderId="1" xfId="0" applyNumberFormat="1" applyFont="1" applyBorder="1" applyAlignment="1">
      <alignment horizontal="center" vertical="center" wrapText="1"/>
    </xf>
    <xf numFmtId="49" fontId="91" fillId="0" borderId="5" xfId="0" applyNumberFormat="1" applyFont="1" applyBorder="1" applyAlignment="1">
      <alignment horizontal="center" vertical="center" wrapText="1"/>
    </xf>
    <xf numFmtId="4" fontId="195" fillId="25" borderId="1" xfId="0" applyNumberFormat="1" applyFont="1" applyFill="1" applyBorder="1" applyAlignment="1">
      <alignment horizontal="right" vertical="center" wrapText="1"/>
    </xf>
    <xf numFmtId="49" fontId="91" fillId="0" borderId="0" xfId="0" applyNumberFormat="1" applyFont="1" applyAlignment="1">
      <alignment horizontal="left" vertical="center" wrapText="1"/>
    </xf>
    <xf numFmtId="0" fontId="91" fillId="0" borderId="98" xfId="0" applyFont="1" applyBorder="1" applyAlignment="1">
      <alignment horizontal="left" vertical="center" wrapText="1"/>
    </xf>
    <xf numFmtId="176" fontId="90" fillId="0" borderId="0" xfId="0" applyNumberFormat="1" applyFont="1" applyAlignment="1">
      <alignment horizontal="left"/>
    </xf>
    <xf numFmtId="176" fontId="90" fillId="8" borderId="109" xfId="0" applyNumberFormat="1" applyFont="1" applyFill="1" applyBorder="1" applyAlignment="1">
      <alignment horizontal="left"/>
    </xf>
    <xf numFmtId="0" fontId="91" fillId="25" borderId="5" xfId="0" applyFont="1" applyFill="1" applyBorder="1" applyAlignment="1">
      <alignment horizontal="center" vertical="center" wrapText="1"/>
    </xf>
    <xf numFmtId="0" fontId="91" fillId="25" borderId="7" xfId="0" applyFont="1" applyFill="1" applyBorder="1" applyAlignment="1">
      <alignment horizontal="center" vertical="center" wrapText="1"/>
    </xf>
    <xf numFmtId="0" fontId="197" fillId="2" borderId="1" xfId="0" applyFont="1" applyFill="1" applyBorder="1" applyAlignment="1">
      <alignment horizontal="center" vertical="center" wrapText="1"/>
    </xf>
    <xf numFmtId="3" fontId="173" fillId="2" borderId="1" xfId="0" applyNumberFormat="1" applyFont="1" applyFill="1" applyBorder="1" applyAlignment="1">
      <alignment horizontal="center" vertical="center" wrapText="1"/>
    </xf>
    <xf numFmtId="4" fontId="91" fillId="0" borderId="0" xfId="0" applyNumberFormat="1" applyFont="1" applyAlignment="1">
      <alignment horizontal="center" vertical="center" wrapText="1"/>
    </xf>
    <xf numFmtId="3" fontId="173" fillId="2" borderId="14" xfId="0" applyNumberFormat="1" applyFont="1" applyFill="1" applyBorder="1" applyAlignment="1">
      <alignment horizontal="center" vertical="center" wrapText="1"/>
    </xf>
    <xf numFmtId="4" fontId="116" fillId="0" borderId="6" xfId="0" applyNumberFormat="1" applyFont="1" applyBorder="1" applyAlignment="1">
      <alignment horizontal="center" vertical="center" wrapText="1"/>
    </xf>
    <xf numFmtId="3" fontId="198" fillId="0" borderId="5" xfId="0" applyNumberFormat="1" applyFont="1" applyBorder="1" applyAlignment="1">
      <alignment horizontal="center" vertical="center" wrapText="1"/>
    </xf>
    <xf numFmtId="0" fontId="199" fillId="2" borderId="14" xfId="0" applyFont="1" applyFill="1" applyBorder="1"/>
    <xf numFmtId="3" fontId="173" fillId="2" borderId="18" xfId="0" applyNumberFormat="1" applyFont="1" applyFill="1" applyBorder="1" applyAlignment="1">
      <alignment horizontal="center" vertical="center" wrapText="1"/>
    </xf>
    <xf numFmtId="3" fontId="200" fillId="2" borderId="2" xfId="0" applyNumberFormat="1" applyFont="1" applyFill="1" applyBorder="1" applyAlignment="1">
      <alignment horizontal="center" vertical="center" wrapText="1"/>
    </xf>
    <xf numFmtId="4" fontId="171" fillId="0" borderId="0" xfId="0" applyNumberFormat="1" applyFont="1" applyAlignment="1">
      <alignment horizontal="center" vertical="center"/>
    </xf>
    <xf numFmtId="0" fontId="91" fillId="0" borderId="0" xfId="0" applyFont="1" applyAlignment="1">
      <alignment horizontal="left"/>
    </xf>
    <xf numFmtId="172" fontId="133" fillId="0" borderId="0" xfId="0" applyNumberFormat="1" applyFont="1" applyAlignment="1">
      <alignment horizontal="center" vertical="center" wrapText="1"/>
    </xf>
    <xf numFmtId="0" fontId="116" fillId="0" borderId="0" xfId="0" applyFont="1" applyAlignment="1">
      <alignment horizontal="center"/>
    </xf>
    <xf numFmtId="0" fontId="133" fillId="0" borderId="0" xfId="0" applyFont="1" applyAlignment="1">
      <alignment horizontal="center" vertical="center" wrapText="1"/>
    </xf>
    <xf numFmtId="0" fontId="116" fillId="0" borderId="0" xfId="0" applyFont="1" applyAlignment="1">
      <alignment horizontal="left" vertical="center" wrapText="1"/>
    </xf>
    <xf numFmtId="172" fontId="133" fillId="0" borderId="0" xfId="0" applyNumberFormat="1" applyFont="1" applyAlignment="1">
      <alignment horizontal="center" vertical="center"/>
    </xf>
    <xf numFmtId="0" fontId="201" fillId="2" borderId="0" xfId="0" applyFont="1" applyFill="1" applyAlignment="1"/>
    <xf numFmtId="0" fontId="26" fillId="2" borderId="0" xfId="0" applyFont="1" applyFill="1"/>
    <xf numFmtId="0" fontId="63" fillId="2" borderId="0" xfId="0" applyFont="1" applyFill="1"/>
    <xf numFmtId="0" fontId="63" fillId="2" borderId="0" xfId="0" applyFont="1" applyFill="1" applyAlignment="1">
      <alignment horizontal="center"/>
    </xf>
    <xf numFmtId="0" fontId="63" fillId="2" borderId="0" xfId="0" applyFont="1" applyFill="1" applyAlignment="1">
      <alignment horizontal="right"/>
    </xf>
    <xf numFmtId="0" fontId="202" fillId="2" borderId="0" xfId="0" applyFont="1" applyFill="1" applyAlignment="1">
      <alignment horizontal="right"/>
    </xf>
    <xf numFmtId="0" fontId="166" fillId="2" borderId="0" xfId="0" applyFont="1" applyFill="1"/>
    <xf numFmtId="0" fontId="79" fillId="8" borderId="0" xfId="0" applyFont="1" applyFill="1" applyAlignment="1"/>
    <xf numFmtId="0" fontId="26" fillId="8" borderId="0" xfId="0" applyFont="1" applyFill="1"/>
    <xf numFmtId="0" fontId="63" fillId="8" borderId="0" xfId="0" applyFont="1" applyFill="1"/>
    <xf numFmtId="0" fontId="63" fillId="8" borderId="0" xfId="0" applyFont="1" applyFill="1" applyAlignment="1">
      <alignment horizontal="center"/>
    </xf>
    <xf numFmtId="0" fontId="63" fillId="8" borderId="0" xfId="0" applyFont="1" applyFill="1" applyAlignment="1">
      <alignment horizontal="right"/>
    </xf>
    <xf numFmtId="0" fontId="202" fillId="8" borderId="0" xfId="0" applyFont="1" applyFill="1" applyAlignment="1">
      <alignment horizontal="right"/>
    </xf>
    <xf numFmtId="0" fontId="166" fillId="8" borderId="0" xfId="0" applyFont="1" applyFill="1"/>
    <xf numFmtId="0" fontId="79" fillId="27" borderId="5" xfId="0" applyFont="1" applyFill="1" applyBorder="1" applyAlignment="1"/>
    <xf numFmtId="0" fontId="26" fillId="27" borderId="6" xfId="0" applyFont="1" applyFill="1" applyBorder="1"/>
    <xf numFmtId="0" fontId="63" fillId="27" borderId="7" xfId="0" applyFont="1" applyFill="1" applyBorder="1"/>
    <xf numFmtId="0" fontId="63" fillId="27" borderId="7" xfId="0" applyFont="1" applyFill="1" applyBorder="1" applyAlignment="1">
      <alignment horizontal="center"/>
    </xf>
    <xf numFmtId="0" fontId="63" fillId="27" borderId="7" xfId="0" applyFont="1" applyFill="1" applyBorder="1" applyAlignment="1">
      <alignment horizontal="right"/>
    </xf>
    <xf numFmtId="0" fontId="202" fillId="27" borderId="7" xfId="0" applyFont="1" applyFill="1" applyBorder="1" applyAlignment="1">
      <alignment horizontal="right"/>
    </xf>
    <xf numFmtId="0" fontId="26" fillId="27" borderId="102" xfId="0" applyFont="1" applyFill="1" applyBorder="1" applyAlignment="1"/>
    <xf numFmtId="0" fontId="26" fillId="27" borderId="3" xfId="0" applyFont="1" applyFill="1" applyBorder="1" applyAlignment="1"/>
    <xf numFmtId="0" fontId="26" fillId="27" borderId="100" xfId="0" applyFont="1" applyFill="1" applyBorder="1" applyAlignment="1"/>
    <xf numFmtId="0" fontId="26" fillId="27" borderId="100" xfId="0" applyFont="1" applyFill="1" applyBorder="1" applyAlignment="1"/>
    <xf numFmtId="0" fontId="26" fillId="27" borderId="100" xfId="0" applyFont="1" applyFill="1" applyBorder="1" applyAlignment="1">
      <alignment horizontal="center"/>
    </xf>
    <xf numFmtId="4" fontId="26" fillId="27" borderId="100" xfId="0" applyNumberFormat="1" applyFont="1" applyFill="1" applyBorder="1" applyAlignment="1">
      <alignment horizontal="right"/>
    </xf>
    <xf numFmtId="2" fontId="26" fillId="27" borderId="100" xfId="0" applyNumberFormat="1" applyFont="1" applyFill="1" applyBorder="1" applyAlignment="1">
      <alignment horizontal="right"/>
    </xf>
    <xf numFmtId="10" fontId="26" fillId="27" borderId="100" xfId="0" applyNumberFormat="1" applyFont="1" applyFill="1" applyBorder="1" applyAlignment="1">
      <alignment horizontal="center"/>
    </xf>
    <xf numFmtId="4" fontId="26" fillId="8" borderId="97" xfId="0" applyNumberFormat="1" applyFont="1" applyFill="1" applyBorder="1"/>
    <xf numFmtId="10" fontId="63" fillId="27" borderId="100" xfId="0" applyNumberFormat="1" applyFont="1" applyFill="1" applyBorder="1" applyAlignment="1">
      <alignment horizontal="center"/>
    </xf>
    <xf numFmtId="4" fontId="63" fillId="16" borderId="100" xfId="0" applyNumberFormat="1" applyFont="1" applyFill="1" applyBorder="1" applyAlignment="1">
      <alignment horizontal="center"/>
    </xf>
    <xf numFmtId="4" fontId="203" fillId="16" borderId="100" xfId="0" applyNumberFormat="1" applyFont="1" applyFill="1" applyBorder="1" applyAlignment="1">
      <alignment horizontal="center"/>
    </xf>
    <xf numFmtId="0" fontId="26" fillId="8" borderId="0" xfId="0" applyFont="1" applyFill="1"/>
    <xf numFmtId="4" fontId="26" fillId="8" borderId="0" xfId="0" applyNumberFormat="1" applyFont="1" applyFill="1"/>
    <xf numFmtId="0" fontId="26" fillId="8" borderId="3" xfId="0" applyFont="1" applyFill="1" applyBorder="1"/>
    <xf numFmtId="4" fontId="26" fillId="8" borderId="100" xfId="0" applyNumberFormat="1" applyFont="1" applyFill="1" applyBorder="1"/>
    <xf numFmtId="0" fontId="63" fillId="16" borderId="1" xfId="0" applyFont="1" applyFill="1" applyBorder="1" applyAlignment="1">
      <alignment horizontal="center"/>
    </xf>
    <xf numFmtId="4" fontId="63" fillId="16" borderId="1" xfId="0" applyNumberFormat="1" applyFont="1" applyFill="1" applyBorder="1" applyAlignment="1">
      <alignment horizontal="center"/>
    </xf>
    <xf numFmtId="2" fontId="204" fillId="16" borderId="14" xfId="0" applyNumberFormat="1" applyFont="1" applyFill="1" applyBorder="1" applyAlignment="1">
      <alignment horizontal="center"/>
    </xf>
    <xf numFmtId="0" fontId="172" fillId="16" borderId="5" xfId="0" applyFont="1" applyFill="1" applyBorder="1" applyAlignment="1"/>
    <xf numFmtId="0" fontId="26" fillId="27" borderId="6" xfId="0" applyFont="1" applyFill="1" applyBorder="1" applyAlignment="1">
      <alignment vertical="center"/>
    </xf>
    <xf numFmtId="4" fontId="205" fillId="27" borderId="7" xfId="0" applyNumberFormat="1" applyFont="1" applyFill="1" applyBorder="1" applyAlignment="1">
      <alignment vertical="center"/>
    </xf>
    <xf numFmtId="2" fontId="63" fillId="16" borderId="100" xfId="0" applyNumberFormat="1" applyFont="1" applyFill="1" applyBorder="1" applyAlignment="1">
      <alignment horizontal="center" vertical="center"/>
    </xf>
    <xf numFmtId="4" fontId="206" fillId="16" borderId="100" xfId="0" applyNumberFormat="1" applyFont="1" applyFill="1" applyBorder="1" applyAlignment="1">
      <alignment horizontal="center" vertical="center"/>
    </xf>
    <xf numFmtId="0" fontId="204" fillId="16" borderId="2" xfId="0" applyFont="1" applyFill="1" applyBorder="1" applyAlignment="1">
      <alignment horizontal="center"/>
    </xf>
    <xf numFmtId="4" fontId="205" fillId="27" borderId="100" xfId="0" applyNumberFormat="1" applyFont="1" applyFill="1" applyBorder="1" applyAlignment="1">
      <alignment vertical="center"/>
    </xf>
    <xf numFmtId="2" fontId="63" fillId="16" borderId="100" xfId="0" applyNumberFormat="1" applyFont="1" applyFill="1" applyBorder="1" applyAlignment="1">
      <alignment horizontal="center" vertical="center"/>
    </xf>
    <xf numFmtId="4" fontId="203" fillId="16" borderId="100" xfId="0" applyNumberFormat="1" applyFont="1" applyFill="1" applyBorder="1" applyAlignment="1">
      <alignment horizontal="center" vertical="center"/>
    </xf>
    <xf numFmtId="3" fontId="207" fillId="28" borderId="1" xfId="0" applyNumberFormat="1" applyFont="1" applyFill="1" applyBorder="1" applyAlignment="1">
      <alignment horizontal="center"/>
    </xf>
    <xf numFmtId="0" fontId="166" fillId="16" borderId="5" xfId="0" applyFont="1" applyFill="1" applyBorder="1"/>
    <xf numFmtId="2" fontId="102" fillId="16" borderId="7" xfId="0" applyNumberFormat="1" applyFont="1" applyFill="1" applyBorder="1"/>
    <xf numFmtId="2" fontId="208" fillId="16" borderId="1" xfId="0" applyNumberFormat="1" applyFont="1" applyFill="1" applyBorder="1"/>
    <xf numFmtId="0" fontId="129" fillId="8" borderId="5" xfId="0" applyFont="1" applyFill="1" applyBorder="1" applyAlignment="1">
      <alignment horizontal="center"/>
    </xf>
    <xf numFmtId="0" fontId="129" fillId="8" borderId="6" xfId="0" applyFont="1" applyFill="1" applyBorder="1" applyAlignment="1">
      <alignment horizontal="center"/>
    </xf>
    <xf numFmtId="0" fontId="129" fillId="8" borderId="7" xfId="0" applyFont="1" applyFill="1" applyBorder="1" applyAlignment="1">
      <alignment horizontal="center"/>
    </xf>
    <xf numFmtId="0" fontId="166" fillId="8" borderId="3" xfId="0" applyFont="1" applyFill="1" applyBorder="1" applyAlignment="1"/>
    <xf numFmtId="0" fontId="166" fillId="8" borderId="100" xfId="0" applyFont="1" applyFill="1" applyBorder="1"/>
    <xf numFmtId="0" fontId="182" fillId="8" borderId="5" xfId="0" applyFont="1" applyFill="1" applyBorder="1" applyAlignment="1">
      <alignment vertical="center"/>
    </xf>
    <xf numFmtId="0" fontId="183" fillId="8" borderId="7" xfId="0" applyFont="1" applyFill="1" applyBorder="1" applyAlignment="1">
      <alignment vertical="center"/>
    </xf>
    <xf numFmtId="4" fontId="209" fillId="8" borderId="6" xfId="0" applyNumberFormat="1" applyFont="1" applyFill="1" applyBorder="1" applyAlignment="1">
      <alignment horizontal="center" vertical="center"/>
    </xf>
    <xf numFmtId="0" fontId="185" fillId="8" borderId="7" xfId="0" applyFont="1" applyFill="1" applyBorder="1" applyAlignment="1">
      <alignment vertical="center"/>
    </xf>
    <xf numFmtId="4" fontId="210" fillId="8" borderId="6" xfId="0" applyNumberFormat="1" applyFont="1" applyFill="1" applyBorder="1" applyAlignment="1">
      <alignment horizontal="center" vertical="center"/>
    </xf>
    <xf numFmtId="0" fontId="187" fillId="8" borderId="6" xfId="0" applyFont="1" applyFill="1" applyBorder="1" applyAlignment="1">
      <alignment vertical="center"/>
    </xf>
    <xf numFmtId="4" fontId="211" fillId="8" borderId="6" xfId="0" applyNumberFormat="1" applyFont="1" applyFill="1" applyBorder="1" applyAlignment="1">
      <alignment horizontal="center" vertical="center"/>
    </xf>
    <xf numFmtId="3" fontId="207" fillId="8" borderId="1" xfId="0" applyNumberFormat="1" applyFont="1" applyFill="1" applyBorder="1" applyAlignment="1">
      <alignment horizontal="center" vertical="center"/>
    </xf>
    <xf numFmtId="2" fontId="208" fillId="28" borderId="7" xfId="0" applyNumberFormat="1" applyFont="1" applyFill="1" applyBorder="1" applyAlignment="1">
      <alignment vertical="center"/>
    </xf>
    <xf numFmtId="3" fontId="200" fillId="2" borderId="5" xfId="0" applyNumberFormat="1" applyFont="1" applyFill="1" applyBorder="1" applyAlignment="1">
      <alignment horizontal="center" vertical="center" wrapText="1"/>
    </xf>
    <xf numFmtId="0" fontId="167" fillId="5" borderId="0" xfId="0" applyFont="1" applyFill="1" applyAlignment="1"/>
    <xf numFmtId="0" fontId="166" fillId="5" borderId="0" xfId="0" applyFont="1" applyFill="1"/>
    <xf numFmtId="0" fontId="166" fillId="5" borderId="4" xfId="0" applyFont="1" applyFill="1" applyBorder="1"/>
    <xf numFmtId="0" fontId="148" fillId="0" borderId="16" xfId="0" applyFont="1" applyBorder="1" applyAlignment="1">
      <alignment horizontal="center" vertical="center" wrapText="1"/>
    </xf>
    <xf numFmtId="3" fontId="91" fillId="0" borderId="7" xfId="0" applyNumberFormat="1" applyFont="1" applyBorder="1" applyAlignment="1">
      <alignment horizontal="center" vertical="center" wrapText="1"/>
    </xf>
    <xf numFmtId="0" fontId="91" fillId="0" borderId="5" xfId="0" applyFont="1" applyBorder="1" applyAlignment="1">
      <alignment horizontal="center"/>
    </xf>
    <xf numFmtId="0" fontId="173" fillId="0" borderId="6" xfId="0" applyFont="1" applyBorder="1" applyAlignment="1">
      <alignment horizontal="left" vertical="center" wrapText="1"/>
    </xf>
    <xf numFmtId="10" fontId="91" fillId="0" borderId="1" xfId="0" applyNumberFormat="1" applyFont="1" applyBorder="1" applyAlignment="1">
      <alignment horizontal="left" vertical="center" wrapText="1"/>
    </xf>
    <xf numFmtId="4" fontId="88" fillId="0" borderId="1" xfId="0" applyNumberFormat="1" applyFont="1" applyBorder="1" applyAlignment="1">
      <alignment vertical="center"/>
    </xf>
    <xf numFmtId="10" fontId="91" fillId="0" borderId="7" xfId="0" applyNumberFormat="1" applyFont="1" applyBorder="1" applyAlignment="1">
      <alignment horizontal="center" vertical="center"/>
    </xf>
    <xf numFmtId="4" fontId="100" fillId="11" borderId="7" xfId="0" applyNumberFormat="1" applyFont="1" applyFill="1" applyBorder="1" applyAlignment="1">
      <alignment horizontal="center" vertical="center" wrapText="1"/>
    </xf>
    <xf numFmtId="4" fontId="100" fillId="11" borderId="7" xfId="0" applyNumberFormat="1" applyFont="1" applyFill="1" applyBorder="1" applyAlignment="1">
      <alignment horizontal="center" wrapText="1"/>
    </xf>
    <xf numFmtId="10" fontId="129" fillId="0" borderId="0" xfId="0" applyNumberFormat="1" applyFont="1"/>
    <xf numFmtId="10" fontId="140" fillId="0" borderId="1" xfId="0" applyNumberFormat="1" applyFont="1" applyBorder="1" applyAlignment="1">
      <alignment horizontal="center" vertical="center" wrapText="1"/>
    </xf>
    <xf numFmtId="49" fontId="213" fillId="0" borderId="0" xfId="0" applyNumberFormat="1" applyFont="1" applyAlignment="1">
      <alignment horizontal="left" vertical="center" wrapText="1"/>
    </xf>
    <xf numFmtId="3" fontId="91" fillId="0" borderId="1" xfId="0" applyNumberFormat="1" applyFont="1" applyBorder="1" applyAlignment="1">
      <alignment horizontal="center" vertical="center" wrapText="1"/>
    </xf>
    <xf numFmtId="2" fontId="208" fillId="28" borderId="7" xfId="0" applyNumberFormat="1" applyFont="1" applyFill="1" applyBorder="1" applyAlignment="1">
      <alignment vertical="center"/>
    </xf>
    <xf numFmtId="0" fontId="214" fillId="0" borderId="0" xfId="0" applyFont="1"/>
    <xf numFmtId="0" fontId="77" fillId="0" borderId="0" xfId="0" applyFont="1"/>
    <xf numFmtId="0" fontId="78" fillId="0" borderId="0" xfId="0" applyFont="1"/>
    <xf numFmtId="0" fontId="215" fillId="0" borderId="0" xfId="0" applyFont="1"/>
    <xf numFmtId="0" fontId="129" fillId="0" borderId="0" xfId="0" applyFont="1" applyAlignment="1"/>
    <xf numFmtId="1" fontId="138" fillId="0" borderId="6" xfId="0" applyNumberFormat="1" applyFont="1" applyBorder="1" applyAlignment="1">
      <alignment horizontal="center" vertical="center"/>
    </xf>
    <xf numFmtId="0" fontId="12" fillId="0" borderId="6" xfId="0" applyFont="1" applyBorder="1"/>
    <xf numFmtId="0" fontId="12" fillId="0" borderId="7" xfId="0" applyFont="1" applyBorder="1"/>
    <xf numFmtId="0" fontId="140" fillId="19" borderId="2" xfId="0" applyFont="1" applyFill="1" applyBorder="1" applyAlignment="1">
      <alignment horizontal="center" vertical="center"/>
    </xf>
    <xf numFmtId="0" fontId="140" fillId="19" borderId="2" xfId="0" applyFont="1" applyFill="1" applyBorder="1" applyAlignment="1">
      <alignment horizontal="center" vertical="center"/>
    </xf>
    <xf numFmtId="0" fontId="140" fillId="27" borderId="2" xfId="0" applyFont="1" applyFill="1" applyBorder="1" applyAlignment="1">
      <alignment horizontal="center" vertical="center" wrapText="1"/>
    </xf>
    <xf numFmtId="0" fontId="146" fillId="19" borderId="2" xfId="0" applyFont="1" applyFill="1" applyBorder="1" applyAlignment="1">
      <alignment horizontal="center" vertical="center" wrapText="1"/>
    </xf>
    <xf numFmtId="0" fontId="92" fillId="19" borderId="2" xfId="0" applyFont="1" applyFill="1" applyBorder="1" applyAlignment="1">
      <alignment horizontal="center" vertical="center" wrapText="1"/>
    </xf>
    <xf numFmtId="1" fontId="138" fillId="0" borderId="1" xfId="0" applyNumberFormat="1" applyFont="1" applyBorder="1" applyAlignment="1">
      <alignment horizontal="center" vertical="center"/>
    </xf>
    <xf numFmtId="0" fontId="138" fillId="0" borderId="14" xfId="0" applyFont="1" applyBorder="1" applyAlignment="1">
      <alignment horizontal="right" vertical="center" wrapText="1"/>
    </xf>
    <xf numFmtId="3" fontId="113" fillId="19" borderId="1" xfId="0" applyNumberFormat="1" applyFont="1" applyFill="1" applyBorder="1" applyAlignment="1">
      <alignment horizontal="center" vertical="center"/>
    </xf>
    <xf numFmtId="1" fontId="217" fillId="8" borderId="14" xfId="0" applyNumberFormat="1" applyFont="1" applyFill="1" applyBorder="1" applyAlignment="1">
      <alignment horizontal="center" vertical="center"/>
    </xf>
    <xf numFmtId="0" fontId="131" fillId="0" borderId="0" xfId="0" applyFont="1" applyAlignment="1"/>
    <xf numFmtId="1" fontId="161" fillId="0" borderId="7" xfId="0" applyNumberFormat="1" applyFont="1" applyBorder="1" applyAlignment="1">
      <alignment horizontal="center"/>
    </xf>
    <xf numFmtId="169" fontId="161" fillId="0" borderId="1" xfId="0" applyNumberFormat="1" applyFont="1" applyBorder="1" applyAlignment="1">
      <alignment horizontal="center"/>
    </xf>
    <xf numFmtId="1" fontId="161" fillId="0" borderId="100" xfId="0" applyNumberFormat="1" applyFont="1" applyBorder="1" applyAlignment="1">
      <alignment horizontal="center"/>
    </xf>
    <xf numFmtId="169" fontId="161" fillId="0" borderId="2" xfId="0" applyNumberFormat="1" applyFont="1" applyBorder="1" applyAlignment="1">
      <alignment horizontal="center"/>
    </xf>
    <xf numFmtId="0" fontId="100" fillId="19" borderId="5" xfId="0" applyFont="1" applyFill="1" applyBorder="1" applyAlignment="1">
      <alignment horizontal="right" vertical="center"/>
    </xf>
    <xf numFmtId="0" fontId="100" fillId="19" borderId="7" xfId="0" applyFont="1" applyFill="1" applyBorder="1" applyAlignment="1">
      <alignment horizontal="right" vertical="center"/>
    </xf>
    <xf numFmtId="1" fontId="113" fillId="19" borderId="7" xfId="0" applyNumberFormat="1" applyFont="1" applyFill="1" applyBorder="1" applyAlignment="1">
      <alignment horizontal="center" vertical="center"/>
    </xf>
    <xf numFmtId="1" fontId="100" fillId="8" borderId="6" xfId="0" applyNumberFormat="1" applyFont="1" applyFill="1" applyBorder="1" applyAlignment="1">
      <alignment horizontal="center" vertical="center"/>
    </xf>
    <xf numFmtId="4" fontId="100" fillId="27" borderId="7" xfId="0" applyNumberFormat="1" applyFont="1" applyFill="1" applyBorder="1" applyAlignment="1">
      <alignment horizontal="center" vertical="center"/>
    </xf>
    <xf numFmtId="0" fontId="166" fillId="8" borderId="4" xfId="0" applyFont="1" applyFill="1" applyBorder="1"/>
    <xf numFmtId="0" fontId="148" fillId="0" borderId="16" xfId="0" applyFont="1" applyBorder="1" applyAlignment="1">
      <alignment horizontal="center" vertical="center" wrapText="1"/>
    </xf>
    <xf numFmtId="3" fontId="171" fillId="25" borderId="1" xfId="0" applyNumberFormat="1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10" fontId="91" fillId="0" borderId="101" xfId="0" applyNumberFormat="1" applyFont="1" applyBorder="1" applyAlignment="1">
      <alignment horizontal="center" vertical="center"/>
    </xf>
    <xf numFmtId="4" fontId="100" fillId="11" borderId="73" xfId="0" applyNumberFormat="1" applyFont="1" applyFill="1" applyBorder="1" applyAlignment="1">
      <alignment horizontal="center" vertical="center" wrapText="1"/>
    </xf>
    <xf numFmtId="4" fontId="91" fillId="0" borderId="7" xfId="0" applyNumberFormat="1" applyFont="1" applyBorder="1" applyAlignment="1">
      <alignment horizontal="left" vertical="center" wrapText="1"/>
    </xf>
    <xf numFmtId="4" fontId="91" fillId="0" borderId="7" xfId="0" applyNumberFormat="1" applyFont="1" applyBorder="1" applyAlignment="1">
      <alignment vertical="center"/>
    </xf>
    <xf numFmtId="0" fontId="91" fillId="0" borderId="5" xfId="0" applyFont="1" applyBorder="1" applyAlignment="1">
      <alignment horizontal="right" vertical="center" wrapText="1"/>
    </xf>
    <xf numFmtId="9" fontId="91" fillId="0" borderId="7" xfId="0" applyNumberFormat="1" applyFont="1" applyBorder="1" applyAlignment="1">
      <alignment horizontal="left" vertical="center" wrapText="1"/>
    </xf>
    <xf numFmtId="174" fontId="91" fillId="0" borderId="7" xfId="0" applyNumberFormat="1" applyFont="1" applyBorder="1" applyAlignment="1">
      <alignment horizontal="left" vertical="center" wrapText="1"/>
    </xf>
    <xf numFmtId="4" fontId="191" fillId="0" borderId="1" xfId="0" applyNumberFormat="1" applyFont="1" applyBorder="1" applyAlignment="1">
      <alignment vertical="center"/>
    </xf>
    <xf numFmtId="0" fontId="147" fillId="25" borderId="118" xfId="0" applyFont="1" applyFill="1" applyBorder="1" applyAlignment="1">
      <alignment horizontal="center" vertical="center" wrapText="1"/>
    </xf>
    <xf numFmtId="4" fontId="91" fillId="0" borderId="18" xfId="0" applyNumberFormat="1" applyFont="1" applyBorder="1" applyAlignment="1">
      <alignment horizontal="right" vertical="center"/>
    </xf>
    <xf numFmtId="0" fontId="166" fillId="0" borderId="0" xfId="0" quotePrefix="1" applyFont="1"/>
    <xf numFmtId="4" fontId="89" fillId="0" borderId="7" xfId="0" applyNumberFormat="1" applyFont="1" applyBorder="1" applyAlignment="1">
      <alignment horizontal="center" vertical="center" wrapText="1"/>
    </xf>
    <xf numFmtId="0" fontId="3" fillId="8" borderId="22" xfId="0" applyFont="1" applyFill="1" applyBorder="1" applyAlignment="1">
      <alignment horizontal="center" wrapText="1"/>
    </xf>
    <xf numFmtId="0" fontId="33" fillId="0" borderId="55" xfId="0" applyFont="1" applyBorder="1"/>
    <xf numFmtId="0" fontId="55" fillId="8" borderId="30" xfId="0" applyFont="1" applyFill="1" applyBorder="1" applyAlignment="1">
      <alignment horizontal="center" vertical="center" wrapText="1"/>
    </xf>
    <xf numFmtId="0" fontId="33" fillId="0" borderId="31" xfId="0" applyFont="1" applyBorder="1"/>
    <xf numFmtId="0" fontId="33" fillId="0" borderId="32" xfId="0" applyFont="1" applyBorder="1"/>
    <xf numFmtId="0" fontId="55" fillId="8" borderId="26" xfId="0" applyFont="1" applyFill="1" applyBorder="1" applyAlignment="1">
      <alignment horizontal="center" vertical="center" wrapText="1"/>
    </xf>
    <xf numFmtId="0" fontId="33" fillId="0" borderId="41" xfId="0" applyFont="1" applyBorder="1"/>
    <xf numFmtId="0" fontId="33" fillId="0" borderId="51" xfId="0" applyFont="1" applyBorder="1"/>
    <xf numFmtId="0" fontId="43" fillId="8" borderId="15" xfId="0" applyFont="1" applyFill="1" applyBorder="1" applyAlignment="1">
      <alignment horizontal="center" vertical="center"/>
    </xf>
    <xf numFmtId="0" fontId="33" fillId="0" borderId="16" xfId="0" applyFont="1" applyBorder="1"/>
    <xf numFmtId="0" fontId="33" fillId="0" borderId="17" xfId="0" applyFont="1" applyBorder="1"/>
    <xf numFmtId="0" fontId="53" fillId="8" borderId="30" xfId="0" applyFont="1" applyFill="1" applyBorder="1" applyAlignment="1">
      <alignment horizontal="center" vertical="center" wrapText="1"/>
    </xf>
    <xf numFmtId="0" fontId="53" fillId="8" borderId="26" xfId="0" applyFont="1" applyFill="1" applyBorder="1" applyAlignment="1">
      <alignment horizontal="center" vertical="center" wrapText="1"/>
    </xf>
    <xf numFmtId="0" fontId="53" fillId="8" borderId="33" xfId="0" applyFont="1" applyFill="1" applyBorder="1" applyAlignment="1">
      <alignment horizontal="center" vertical="center" wrapText="1"/>
    </xf>
    <xf numFmtId="0" fontId="33" fillId="0" borderId="57" xfId="0" applyFont="1" applyBorder="1"/>
    <xf numFmtId="0" fontId="59" fillId="8" borderId="22" xfId="0" applyFont="1" applyFill="1" applyBorder="1" applyAlignment="1">
      <alignment horizontal="center" wrapText="1"/>
    </xf>
    <xf numFmtId="0" fontId="55" fillId="8" borderId="33" xfId="0" applyFont="1" applyFill="1" applyBorder="1" applyAlignment="1">
      <alignment horizontal="center" vertical="center" wrapText="1"/>
    </xf>
    <xf numFmtId="0" fontId="54" fillId="8" borderId="28" xfId="0" applyFont="1" applyFill="1" applyBorder="1" applyAlignment="1">
      <alignment horizontal="center" vertical="center" textRotation="90" wrapText="1"/>
    </xf>
    <xf numFmtId="0" fontId="33" fillId="0" borderId="43" xfId="0" applyFont="1" applyBorder="1"/>
    <xf numFmtId="0" fontId="33" fillId="0" borderId="54" xfId="0" applyFont="1" applyBorder="1"/>
    <xf numFmtId="0" fontId="55" fillId="8" borderId="21" xfId="0" applyFont="1" applyFill="1" applyBorder="1" applyAlignment="1">
      <alignment horizontal="center" vertical="center" textRotation="90" wrapText="1"/>
    </xf>
    <xf numFmtId="0" fontId="33" fillId="0" borderId="37" xfId="0" applyFont="1" applyBorder="1"/>
    <xf numFmtId="0" fontId="33" fillId="0" borderId="48" xfId="0" applyFont="1" applyBorder="1"/>
    <xf numFmtId="0" fontId="35" fillId="8" borderId="10" xfId="0" applyFont="1" applyFill="1" applyBorder="1" applyAlignment="1">
      <alignment horizontal="left"/>
    </xf>
    <xf numFmtId="0" fontId="33" fillId="0" borderId="11" xfId="0" applyFont="1" applyBorder="1"/>
    <xf numFmtId="0" fontId="36" fillId="8" borderId="10" xfId="0" applyFont="1" applyFill="1" applyBorder="1" applyAlignment="1">
      <alignment horizontal="left"/>
    </xf>
    <xf numFmtId="0" fontId="25" fillId="4" borderId="0" xfId="0" applyFont="1" applyFill="1" applyAlignment="1">
      <alignment horizontal="center" vertical="center"/>
    </xf>
    <xf numFmtId="0" fontId="0" fillId="0" borderId="0" xfId="0" applyFont="1" applyAlignment="1"/>
    <xf numFmtId="0" fontId="7" fillId="0" borderId="5" xfId="0" applyFont="1" applyBorder="1" applyAlignment="1">
      <alignment horizontal="center"/>
    </xf>
    <xf numFmtId="0" fontId="33" fillId="0" borderId="6" xfId="0" applyFont="1" applyBorder="1"/>
    <xf numFmtId="0" fontId="33" fillId="0" borderId="7" xfId="0" applyFont="1" applyBorder="1"/>
    <xf numFmtId="0" fontId="35" fillId="5" borderId="10" xfId="0" applyFont="1" applyFill="1" applyBorder="1" applyAlignment="1">
      <alignment horizontal="left"/>
    </xf>
    <xf numFmtId="0" fontId="36" fillId="7" borderId="10" xfId="0" applyFont="1" applyFill="1" applyBorder="1" applyAlignment="1">
      <alignment horizontal="left"/>
    </xf>
    <xf numFmtId="0" fontId="35" fillId="8" borderId="12" xfId="0" applyFont="1" applyFill="1" applyBorder="1" applyAlignment="1">
      <alignment horizontal="left"/>
    </xf>
    <xf numFmtId="0" fontId="33" fillId="0" borderId="13" xfId="0" applyFont="1" applyBorder="1"/>
    <xf numFmtId="0" fontId="42" fillId="8" borderId="15" xfId="0" applyFont="1" applyFill="1" applyBorder="1" applyAlignment="1">
      <alignment horizontal="center" vertical="center"/>
    </xf>
    <xf numFmtId="0" fontId="45" fillId="9" borderId="22" xfId="0" applyFont="1" applyFill="1" applyBorder="1" applyAlignment="1">
      <alignment horizontal="center" vertical="center" wrapText="1"/>
    </xf>
    <xf numFmtId="0" fontId="33" fillId="0" borderId="38" xfId="0" applyFont="1" applyBorder="1"/>
    <xf numFmtId="0" fontId="33" fillId="0" borderId="49" xfId="0" applyFont="1" applyBorder="1"/>
    <xf numFmtId="0" fontId="45" fillId="9" borderId="23" xfId="0" applyFont="1" applyFill="1" applyBorder="1" applyAlignment="1">
      <alignment horizontal="center" vertical="center" wrapText="1"/>
    </xf>
    <xf numFmtId="0" fontId="33" fillId="0" borderId="24" xfId="0" applyFont="1" applyBorder="1"/>
    <xf numFmtId="0" fontId="33" fillId="0" borderId="25" xfId="0" applyFont="1" applyBorder="1"/>
    <xf numFmtId="0" fontId="56" fillId="9" borderId="22" xfId="0" applyFont="1" applyFill="1" applyBorder="1" applyAlignment="1">
      <alignment horizontal="center" wrapText="1"/>
    </xf>
    <xf numFmtId="0" fontId="57" fillId="9" borderId="22" xfId="0" applyFont="1" applyFill="1" applyBorder="1" applyAlignment="1">
      <alignment horizontal="center" wrapText="1"/>
    </xf>
    <xf numFmtId="0" fontId="6" fillId="10" borderId="22" xfId="0" applyFont="1" applyFill="1" applyBorder="1" applyAlignment="1">
      <alignment horizontal="center" wrapText="1"/>
    </xf>
    <xf numFmtId="0" fontId="53" fillId="8" borderId="21" xfId="0" applyFont="1" applyFill="1" applyBorder="1" applyAlignment="1">
      <alignment horizontal="center" vertical="center" textRotation="90" wrapText="1"/>
    </xf>
    <xf numFmtId="0" fontId="44" fillId="9" borderId="19" xfId="0" applyFont="1" applyFill="1" applyBorder="1" applyAlignment="1">
      <alignment horizontal="center" vertical="center" textRotation="90" wrapText="1"/>
    </xf>
    <xf numFmtId="0" fontId="33" fillId="0" borderId="35" xfId="0" applyFont="1" applyBorder="1"/>
    <xf numFmtId="0" fontId="33" fillId="0" borderId="46" xfId="0" applyFont="1" applyBorder="1"/>
    <xf numFmtId="0" fontId="45" fillId="9" borderId="21" xfId="0" applyFont="1" applyFill="1" applyBorder="1" applyAlignment="1">
      <alignment horizontal="center" vertical="center" textRotation="90" wrapText="1"/>
    </xf>
    <xf numFmtId="0" fontId="53" fillId="8" borderId="34" xfId="0" applyFont="1" applyFill="1" applyBorder="1" applyAlignment="1">
      <alignment horizontal="center" vertical="center" wrapText="1"/>
    </xf>
    <xf numFmtId="0" fontId="33" fillId="0" borderId="44" xfId="0" applyFont="1" applyBorder="1"/>
    <xf numFmtId="0" fontId="33" fillId="0" borderId="59" xfId="0" applyFont="1" applyBorder="1"/>
    <xf numFmtId="0" fontId="52" fillId="8" borderId="28" xfId="0" applyFont="1" applyFill="1" applyBorder="1" applyAlignment="1">
      <alignment horizontal="center" vertical="center" textRotation="90" wrapText="1"/>
    </xf>
    <xf numFmtId="49" fontId="3" fillId="8" borderId="63" xfId="0" applyNumberFormat="1" applyFont="1" applyFill="1" applyBorder="1" applyAlignment="1">
      <alignment horizontal="center" wrapText="1"/>
    </xf>
    <xf numFmtId="0" fontId="33" fillId="0" borderId="64" xfId="0" applyFont="1" applyBorder="1"/>
    <xf numFmtId="49" fontId="31" fillId="8" borderId="63" xfId="0" applyNumberFormat="1" applyFont="1" applyFill="1" applyBorder="1" applyAlignment="1">
      <alignment horizontal="center" wrapText="1"/>
    </xf>
    <xf numFmtId="0" fontId="46" fillId="9" borderId="26" xfId="0" applyFont="1" applyFill="1" applyBorder="1" applyAlignment="1">
      <alignment horizontal="center" vertical="center" wrapText="1"/>
    </xf>
    <xf numFmtId="0" fontId="50" fillId="10" borderId="21" xfId="0" applyFont="1" applyFill="1" applyBorder="1" applyAlignment="1">
      <alignment horizontal="center" vertical="center" textRotation="90" wrapText="1"/>
    </xf>
    <xf numFmtId="0" fontId="50" fillId="10" borderId="29" xfId="0" applyFont="1" applyFill="1" applyBorder="1" applyAlignment="1">
      <alignment horizontal="center" vertical="center" wrapText="1"/>
    </xf>
    <xf numFmtId="0" fontId="48" fillId="9" borderId="26" xfId="0" applyFont="1" applyFill="1" applyBorder="1" applyAlignment="1">
      <alignment horizontal="center" vertical="center" wrapText="1"/>
    </xf>
    <xf numFmtId="0" fontId="49" fillId="10" borderId="28" xfId="0" applyFont="1" applyFill="1" applyBorder="1" applyAlignment="1">
      <alignment horizontal="center" vertical="center" textRotation="90" wrapText="1"/>
    </xf>
    <xf numFmtId="0" fontId="50" fillId="10" borderId="30" xfId="0" applyFont="1" applyFill="1" applyBorder="1" applyAlignment="1">
      <alignment horizontal="center" vertical="center" wrapText="1"/>
    </xf>
    <xf numFmtId="0" fontId="51" fillId="10" borderId="26" xfId="0" applyFont="1" applyFill="1" applyBorder="1" applyAlignment="1">
      <alignment horizontal="center" vertical="center" wrapText="1"/>
    </xf>
    <xf numFmtId="49" fontId="59" fillId="8" borderId="63" xfId="0" applyNumberFormat="1" applyFont="1" applyFill="1" applyBorder="1" applyAlignment="1">
      <alignment horizontal="center" wrapText="1"/>
    </xf>
    <xf numFmtId="49" fontId="72" fillId="10" borderId="63" xfId="0" applyNumberFormat="1" applyFont="1" applyFill="1" applyBorder="1" applyAlignment="1">
      <alignment horizontal="center" wrapText="1"/>
    </xf>
    <xf numFmtId="49" fontId="6" fillId="10" borderId="63" xfId="0" applyNumberFormat="1" applyFont="1" applyFill="1" applyBorder="1" applyAlignment="1">
      <alignment horizontal="center" wrapText="1"/>
    </xf>
    <xf numFmtId="49" fontId="72" fillId="9" borderId="63" xfId="0" applyNumberFormat="1" applyFont="1" applyFill="1" applyBorder="1" applyAlignment="1">
      <alignment horizontal="center" wrapText="1"/>
    </xf>
    <xf numFmtId="0" fontId="38" fillId="0" borderId="14" xfId="0" applyFont="1" applyBorder="1" applyAlignment="1">
      <alignment horizontal="center" vertical="center"/>
    </xf>
    <xf numFmtId="0" fontId="33" fillId="0" borderId="18" xfId="0" applyFont="1" applyBorder="1"/>
    <xf numFmtId="0" fontId="33" fillId="0" borderId="45" xfId="0" applyFont="1" applyBorder="1"/>
    <xf numFmtId="0" fontId="39" fillId="0" borderId="14" xfId="0" applyFont="1" applyBorder="1" applyAlignment="1">
      <alignment horizontal="center" vertical="center" textRotation="90" wrapText="1"/>
    </xf>
    <xf numFmtId="0" fontId="39" fillId="0" borderId="14" xfId="0" applyFont="1" applyBorder="1" applyAlignment="1">
      <alignment horizontal="center" vertical="center" wrapText="1"/>
    </xf>
    <xf numFmtId="0" fontId="40" fillId="9" borderId="15" xfId="0" applyFont="1" applyFill="1" applyBorder="1" applyAlignment="1">
      <alignment horizontal="center" vertical="center"/>
    </xf>
    <xf numFmtId="0" fontId="41" fillId="8" borderId="15" xfId="0" applyFont="1" applyFill="1" applyBorder="1" applyAlignment="1">
      <alignment horizontal="center" vertical="center"/>
    </xf>
    <xf numFmtId="0" fontId="51" fillId="10" borderId="33" xfId="0" applyFont="1" applyFill="1" applyBorder="1" applyAlignment="1">
      <alignment horizontal="center" vertical="center" wrapText="1"/>
    </xf>
    <xf numFmtId="0" fontId="45" fillId="10" borderId="26" xfId="0" applyFont="1" applyFill="1" applyBorder="1" applyAlignment="1">
      <alignment horizontal="center" vertical="center" wrapText="1"/>
    </xf>
    <xf numFmtId="49" fontId="6" fillId="9" borderId="63" xfId="0" applyNumberFormat="1" applyFont="1" applyFill="1" applyBorder="1" applyAlignment="1">
      <alignment horizontal="center" wrapText="1"/>
    </xf>
    <xf numFmtId="49" fontId="63" fillId="9" borderId="63" xfId="0" applyNumberFormat="1" applyFont="1" applyFill="1" applyBorder="1" applyAlignment="1">
      <alignment horizontal="center" wrapText="1"/>
    </xf>
    <xf numFmtId="49" fontId="63" fillId="10" borderId="63" xfId="0" applyNumberFormat="1" applyFont="1" applyFill="1" applyBorder="1" applyAlignment="1">
      <alignment horizontal="center" wrapText="1"/>
    </xf>
    <xf numFmtId="0" fontId="91" fillId="2" borderId="27" xfId="0" applyFont="1" applyFill="1" applyBorder="1" applyAlignment="1">
      <alignment horizontal="center" vertical="center"/>
    </xf>
    <xf numFmtId="0" fontId="92" fillId="0" borderId="5" xfId="0" applyFont="1" applyBorder="1" applyAlignment="1">
      <alignment horizontal="center" vertical="center" wrapText="1"/>
    </xf>
    <xf numFmtId="0" fontId="93" fillId="15" borderId="5" xfId="0" applyFont="1" applyFill="1" applyBorder="1" applyAlignment="1">
      <alignment horizontal="left" vertical="center"/>
    </xf>
    <xf numFmtId="0" fontId="94" fillId="16" borderId="5" xfId="0" applyFont="1" applyFill="1" applyBorder="1" applyAlignment="1">
      <alignment horizontal="center" vertical="top" wrapText="1"/>
    </xf>
    <xf numFmtId="164" fontId="93" fillId="15" borderId="5" xfId="0" applyNumberFormat="1" applyFont="1" applyFill="1" applyBorder="1" applyAlignment="1">
      <alignment horizontal="left" vertical="center"/>
    </xf>
    <xf numFmtId="0" fontId="98" fillId="2" borderId="26" xfId="0" applyFont="1" applyFill="1" applyBorder="1" applyAlignment="1">
      <alignment horizontal="center" vertical="center"/>
    </xf>
    <xf numFmtId="0" fontId="96" fillId="15" borderId="5" xfId="0" applyFont="1" applyFill="1" applyBorder="1" applyAlignment="1">
      <alignment horizontal="left" vertical="center"/>
    </xf>
    <xf numFmtId="0" fontId="93" fillId="15" borderId="75" xfId="0" applyFont="1" applyFill="1" applyBorder="1" applyAlignment="1">
      <alignment horizontal="left" vertical="center"/>
    </xf>
    <xf numFmtId="0" fontId="97" fillId="2" borderId="27" xfId="0" applyFont="1" applyFill="1" applyBorder="1" applyAlignment="1">
      <alignment horizontal="center" vertical="center"/>
    </xf>
    <xf numFmtId="0" fontId="109" fillId="0" borderId="0" xfId="0" applyFont="1" applyAlignment="1">
      <alignment horizontal="center" vertical="center"/>
    </xf>
    <xf numFmtId="0" fontId="99" fillId="2" borderId="27" xfId="0" applyFont="1" applyFill="1" applyBorder="1" applyAlignment="1">
      <alignment horizontal="center" vertical="center"/>
    </xf>
    <xf numFmtId="0" fontId="100" fillId="18" borderId="26" xfId="0" applyFont="1" applyFill="1" applyBorder="1" applyAlignment="1">
      <alignment horizontal="center" vertical="center"/>
    </xf>
    <xf numFmtId="0" fontId="33" fillId="0" borderId="76" xfId="0" applyFont="1" applyBorder="1"/>
    <xf numFmtId="10" fontId="102" fillId="18" borderId="26" xfId="0" applyNumberFormat="1" applyFont="1" applyFill="1" applyBorder="1" applyAlignment="1">
      <alignment horizontal="center" vertical="center"/>
    </xf>
    <xf numFmtId="0" fontId="99" fillId="2" borderId="89" xfId="0" applyFont="1" applyFill="1" applyBorder="1" applyAlignment="1">
      <alignment horizontal="center" vertical="center"/>
    </xf>
    <xf numFmtId="0" fontId="33" fillId="0" borderId="90" xfId="0" applyFont="1" applyBorder="1"/>
    <xf numFmtId="0" fontId="136" fillId="5" borderId="0" xfId="0" applyFont="1" applyFill="1" applyAlignment="1">
      <alignment horizontal="center" vertical="center"/>
    </xf>
    <xf numFmtId="0" fontId="139" fillId="19" borderId="27" xfId="0" applyFont="1" applyFill="1" applyBorder="1" applyAlignment="1">
      <alignment horizontal="center" vertical="center"/>
    </xf>
    <xf numFmtId="0" fontId="141" fillId="0" borderId="0" xfId="0" applyFont="1"/>
    <xf numFmtId="0" fontId="138" fillId="0" borderId="0" xfId="0" applyFont="1" applyAlignment="1">
      <alignment wrapText="1"/>
    </xf>
    <xf numFmtId="0" fontId="33" fillId="0" borderId="97" xfId="0" applyFont="1" applyBorder="1"/>
    <xf numFmtId="0" fontId="144" fillId="0" borderId="98" xfId="0" applyFont="1" applyBorder="1" applyAlignment="1">
      <alignment horizontal="left" wrapText="1"/>
    </xf>
    <xf numFmtId="0" fontId="140" fillId="0" borderId="98" xfId="0" applyFont="1" applyBorder="1" applyAlignment="1">
      <alignment horizontal="left" wrapText="1"/>
    </xf>
    <xf numFmtId="164" fontId="140" fillId="0" borderId="98" xfId="0" applyNumberFormat="1" applyFont="1" applyBorder="1" applyAlignment="1">
      <alignment horizontal="left" wrapText="1"/>
    </xf>
    <xf numFmtId="0" fontId="118" fillId="0" borderId="5" xfId="0" applyFont="1" applyBorder="1" applyAlignment="1">
      <alignment horizontal="center" vertical="center"/>
    </xf>
    <xf numFmtId="0" fontId="148" fillId="0" borderId="18" xfId="0" applyFont="1" applyBorder="1" applyAlignment="1">
      <alignment horizontal="center" vertical="center" textRotation="90"/>
    </xf>
    <xf numFmtId="0" fontId="33" fillId="0" borderId="2" xfId="0" applyFont="1" applyBorder="1"/>
    <xf numFmtId="49" fontId="140" fillId="0" borderId="0" xfId="0" applyNumberFormat="1" applyFont="1" applyAlignment="1">
      <alignment horizontal="left" wrapText="1"/>
    </xf>
    <xf numFmtId="0" fontId="145" fillId="0" borderId="5" xfId="0" applyFont="1" applyBorder="1" applyAlignment="1">
      <alignment horizontal="center" wrapText="1"/>
    </xf>
    <xf numFmtId="0" fontId="89" fillId="0" borderId="0" xfId="0" applyFont="1" applyAlignment="1">
      <alignment horizontal="center" wrapText="1"/>
    </xf>
    <xf numFmtId="0" fontId="89" fillId="14" borderId="5" xfId="0" applyFont="1" applyFill="1" applyBorder="1" applyAlignment="1">
      <alignment horizontal="center" vertical="center" wrapText="1"/>
    </xf>
    <xf numFmtId="0" fontId="153" fillId="20" borderId="0" xfId="0" applyFont="1" applyFill="1" applyAlignment="1">
      <alignment wrapText="1"/>
    </xf>
    <xf numFmtId="0" fontId="91" fillId="8" borderId="5" xfId="0" applyFont="1" applyFill="1" applyBorder="1" applyAlignment="1">
      <alignment horizontal="center" vertical="center" wrapText="1"/>
    </xf>
    <xf numFmtId="0" fontId="91" fillId="21" borderId="5" xfId="0" applyFont="1" applyFill="1" applyBorder="1" applyAlignment="1">
      <alignment horizontal="right" vertical="center" wrapText="1"/>
    </xf>
    <xf numFmtId="171" fontId="88" fillId="21" borderId="5" xfId="0" applyNumberFormat="1" applyFont="1" applyFill="1" applyBorder="1" applyAlignment="1"/>
    <xf numFmtId="0" fontId="160" fillId="22" borderId="5" xfId="0" applyFont="1" applyFill="1" applyBorder="1" applyAlignment="1">
      <alignment horizontal="center" wrapText="1"/>
    </xf>
    <xf numFmtId="0" fontId="160" fillId="22" borderId="3" xfId="0" applyFont="1" applyFill="1" applyBorder="1" applyAlignment="1">
      <alignment horizontal="center" wrapText="1"/>
    </xf>
    <xf numFmtId="0" fontId="33" fillId="0" borderId="3" xfId="0" applyFont="1" applyBorder="1"/>
    <xf numFmtId="0" fontId="33" fillId="0" borderId="100" xfId="0" applyFont="1" applyBorder="1"/>
    <xf numFmtId="0" fontId="162" fillId="23" borderId="3" xfId="0" applyFont="1" applyFill="1" applyBorder="1" applyAlignment="1">
      <alignment horizontal="center" vertical="center" wrapText="1"/>
    </xf>
    <xf numFmtId="0" fontId="169" fillId="14" borderId="5" xfId="0" applyFont="1" applyFill="1" applyBorder="1" applyAlignment="1">
      <alignment horizontal="left" vertical="center" wrapText="1"/>
    </xf>
    <xf numFmtId="0" fontId="169" fillId="14" borderId="5" xfId="0" applyFont="1" applyFill="1" applyBorder="1" applyAlignment="1">
      <alignment horizontal="center" vertical="center" wrapText="1"/>
    </xf>
    <xf numFmtId="1" fontId="169" fillId="14" borderId="5" xfId="0" applyNumberFormat="1" applyFont="1" applyFill="1" applyBorder="1" applyAlignment="1">
      <alignment horizontal="center" vertical="center" wrapText="1"/>
    </xf>
    <xf numFmtId="1" fontId="90" fillId="25" borderId="5" xfId="0" applyNumberFormat="1" applyFont="1" applyFill="1" applyBorder="1" applyAlignment="1">
      <alignment horizontal="center" vertical="center" wrapText="1"/>
    </xf>
    <xf numFmtId="0" fontId="90" fillId="25" borderId="5" xfId="0" applyFont="1" applyFill="1" applyBorder="1" applyAlignment="1">
      <alignment horizontal="right" vertical="center" wrapText="1"/>
    </xf>
    <xf numFmtId="0" fontId="91" fillId="26" borderId="5" xfId="0" applyFont="1" applyFill="1" applyBorder="1" applyAlignment="1">
      <alignment horizontal="center" vertical="center" wrapText="1"/>
    </xf>
    <xf numFmtId="0" fontId="166" fillId="0" borderId="5" xfId="0" applyFont="1" applyBorder="1" applyAlignment="1">
      <alignment horizontal="left" vertical="center" wrapText="1"/>
    </xf>
    <xf numFmtId="0" fontId="91" fillId="26" borderId="5" xfId="0" applyFont="1" applyFill="1" applyBorder="1" applyAlignment="1">
      <alignment horizontal="center" vertical="center"/>
    </xf>
    <xf numFmtId="0" fontId="170" fillId="0" borderId="5" xfId="0" applyFont="1" applyBorder="1" applyAlignment="1">
      <alignment horizontal="left" wrapText="1"/>
    </xf>
    <xf numFmtId="0" fontId="147" fillId="26" borderId="5" xfId="0" applyFont="1" applyFill="1" applyBorder="1" applyAlignment="1">
      <alignment horizontal="left" wrapText="1"/>
    </xf>
    <xf numFmtId="0" fontId="147" fillId="25" borderId="5" xfId="0" applyFont="1" applyFill="1" applyBorder="1" applyAlignment="1">
      <alignment horizontal="left" vertical="center" wrapText="1"/>
    </xf>
    <xf numFmtId="0" fontId="91" fillId="0" borderId="5" xfId="0" applyFont="1" applyBorder="1" applyAlignment="1">
      <alignment horizontal="left" vertical="center" wrapText="1"/>
    </xf>
    <xf numFmtId="172" fontId="90" fillId="0" borderId="5" xfId="0" applyNumberFormat="1" applyFont="1" applyBorder="1" applyAlignment="1">
      <alignment horizontal="center" vertical="center" wrapText="1"/>
    </xf>
    <xf numFmtId="0" fontId="89" fillId="0" borderId="94" xfId="0" applyFont="1" applyBorder="1" applyAlignment="1">
      <alignment horizontal="left" vertical="center" wrapText="1"/>
    </xf>
    <xf numFmtId="0" fontId="33" fillId="0" borderId="9" xfId="0" applyFont="1" applyBorder="1"/>
    <xf numFmtId="0" fontId="33" fillId="0" borderId="101" xfId="0" applyFont="1" applyBorder="1"/>
    <xf numFmtId="172" fontId="171" fillId="11" borderId="5" xfId="0" applyNumberFormat="1" applyFont="1" applyFill="1" applyBorder="1" applyAlignment="1">
      <alignment horizontal="center" vertical="center" wrapText="1"/>
    </xf>
    <xf numFmtId="0" fontId="91" fillId="0" borderId="15" xfId="0" applyFont="1" applyBorder="1" applyAlignment="1">
      <alignment horizontal="left" vertical="center" wrapText="1"/>
    </xf>
    <xf numFmtId="172" fontId="173" fillId="0" borderId="5" xfId="0" applyNumberFormat="1" applyFont="1" applyBorder="1" applyAlignment="1">
      <alignment horizontal="right" vertical="center"/>
    </xf>
    <xf numFmtId="14" fontId="171" fillId="11" borderId="5" xfId="0" applyNumberFormat="1" applyFont="1" applyFill="1" applyBorder="1" applyAlignment="1">
      <alignment horizontal="center" vertical="center" wrapText="1"/>
    </xf>
    <xf numFmtId="0" fontId="91" fillId="0" borderId="102" xfId="0" applyFont="1" applyBorder="1" applyAlignment="1">
      <alignment horizontal="left" vertical="center" wrapText="1"/>
    </xf>
    <xf numFmtId="14" fontId="174" fillId="0" borderId="5" xfId="0" applyNumberFormat="1" applyFont="1" applyBorder="1" applyAlignment="1">
      <alignment horizontal="right" vertical="center" wrapText="1"/>
    </xf>
    <xf numFmtId="0" fontId="90" fillId="0" borderId="5" xfId="0" applyFont="1" applyBorder="1" applyAlignment="1">
      <alignment horizontal="left" vertical="center" wrapText="1"/>
    </xf>
    <xf numFmtId="4" fontId="173" fillId="0" borderId="5" xfId="0" applyNumberFormat="1" applyFont="1" applyBorder="1" applyAlignment="1">
      <alignment horizontal="right" vertical="center" wrapText="1"/>
    </xf>
    <xf numFmtId="10" fontId="175" fillId="0" borderId="5" xfId="0" applyNumberFormat="1" applyFont="1" applyBorder="1" applyAlignment="1">
      <alignment horizontal="center" vertical="center" wrapText="1"/>
    </xf>
    <xf numFmtId="4" fontId="132" fillId="0" borderId="5" xfId="0" applyNumberFormat="1" applyFont="1" applyBorder="1" applyAlignment="1">
      <alignment horizontal="right" vertical="center" wrapText="1"/>
    </xf>
    <xf numFmtId="0" fontId="168" fillId="0" borderId="94" xfId="0" applyFont="1" applyBorder="1" applyAlignment="1">
      <alignment horizontal="center" vertical="center" wrapText="1"/>
    </xf>
    <xf numFmtId="0" fontId="100" fillId="0" borderId="102" xfId="0" applyFont="1" applyBorder="1" applyAlignment="1">
      <alignment horizontal="center" vertical="center" wrapText="1"/>
    </xf>
    <xf numFmtId="0" fontId="90" fillId="0" borderId="102" xfId="0" applyFont="1" applyBorder="1" applyAlignment="1">
      <alignment horizontal="center" vertical="center" wrapText="1"/>
    </xf>
    <xf numFmtId="0" fontId="90" fillId="0" borderId="5" xfId="0" applyFont="1" applyBorder="1" applyAlignment="1">
      <alignment horizontal="center" vertical="center" wrapText="1"/>
    </xf>
    <xf numFmtId="164" fontId="91" fillId="0" borderId="5" xfId="0" applyNumberFormat="1" applyFont="1" applyBorder="1" applyAlignment="1">
      <alignment horizontal="left" vertical="center" wrapText="1"/>
    </xf>
    <xf numFmtId="14" fontId="90" fillId="0" borderId="5" xfId="0" applyNumberFormat="1" applyFont="1" applyBorder="1" applyAlignment="1">
      <alignment horizontal="center" vertical="center" wrapText="1"/>
    </xf>
    <xf numFmtId="0" fontId="116" fillId="0" borderId="5" xfId="0" applyFont="1" applyBorder="1" applyAlignment="1">
      <alignment horizontal="left" vertical="center" wrapText="1"/>
    </xf>
    <xf numFmtId="1" fontId="133" fillId="0" borderId="5" xfId="0" applyNumberFormat="1" applyFont="1" applyBorder="1" applyAlignment="1">
      <alignment horizontal="center" vertical="center" wrapText="1"/>
    </xf>
    <xf numFmtId="0" fontId="147" fillId="0" borderId="5" xfId="0" applyFont="1" applyBorder="1" applyAlignment="1">
      <alignment horizontal="center" vertical="center" wrapText="1"/>
    </xf>
    <xf numFmtId="0" fontId="91" fillId="25" borderId="5" xfId="0" applyFont="1" applyFill="1" applyBorder="1" applyAlignment="1">
      <alignment horizontal="center" vertical="center" wrapText="1"/>
    </xf>
    <xf numFmtId="4" fontId="176" fillId="0" borderId="5" xfId="0" applyNumberFormat="1" applyFont="1" applyBorder="1" applyAlignment="1">
      <alignment horizontal="right" vertical="center" wrapText="1"/>
    </xf>
    <xf numFmtId="4" fontId="173" fillId="0" borderId="94" xfId="0" applyNumberFormat="1" applyFont="1" applyBorder="1" applyAlignment="1">
      <alignment horizontal="right" vertical="center" wrapText="1"/>
    </xf>
    <xf numFmtId="0" fontId="90" fillId="0" borderId="94" xfId="0" applyFont="1" applyBorder="1" applyAlignment="1">
      <alignment horizontal="left" vertical="center" wrapText="1"/>
    </xf>
    <xf numFmtId="0" fontId="177" fillId="0" borderId="104" xfId="0" applyFont="1" applyBorder="1" applyAlignment="1">
      <alignment horizontal="left" vertical="center"/>
    </xf>
    <xf numFmtId="0" fontId="33" fillId="0" borderId="105" xfId="0" applyFont="1" applyBorder="1"/>
    <xf numFmtId="0" fontId="33" fillId="0" borderId="106" xfId="0" applyFont="1" applyBorder="1"/>
    <xf numFmtId="3" fontId="177" fillId="0" borderId="104" xfId="0" applyNumberFormat="1" applyFont="1" applyBorder="1" applyAlignment="1">
      <alignment horizontal="center" vertical="center" wrapText="1"/>
    </xf>
    <xf numFmtId="0" fontId="33" fillId="0" borderId="107" xfId="0" applyFont="1" applyBorder="1"/>
    <xf numFmtId="0" fontId="90" fillId="0" borderId="102" xfId="0" applyFont="1" applyBorder="1" applyAlignment="1">
      <alignment horizontal="left" vertical="center"/>
    </xf>
    <xf numFmtId="4" fontId="90" fillId="0" borderId="102" xfId="0" applyNumberFormat="1" applyFont="1" applyBorder="1" applyAlignment="1">
      <alignment horizontal="right" vertical="center" wrapText="1"/>
    </xf>
    <xf numFmtId="0" fontId="178" fillId="0" borderId="5" xfId="0" applyFont="1" applyBorder="1" applyAlignment="1">
      <alignment horizontal="left" vertical="center" wrapText="1"/>
    </xf>
    <xf numFmtId="0" fontId="91" fillId="26" borderId="5" xfId="0" applyFont="1" applyFill="1" applyBorder="1" applyAlignment="1">
      <alignment horizontal="left" wrapText="1"/>
    </xf>
    <xf numFmtId="0" fontId="109" fillId="0" borderId="5" xfId="0" applyFont="1" applyBorder="1" applyAlignment="1">
      <alignment vertical="center" wrapText="1"/>
    </xf>
    <xf numFmtId="0" fontId="147" fillId="25" borderId="5" xfId="0" applyFont="1" applyFill="1" applyBorder="1" applyAlignment="1">
      <alignment horizontal="center" vertical="center" wrapText="1"/>
    </xf>
    <xf numFmtId="10" fontId="175" fillId="0" borderId="6" xfId="0" applyNumberFormat="1" applyFont="1" applyBorder="1" applyAlignment="1">
      <alignment horizontal="left" vertical="center" wrapText="1"/>
    </xf>
    <xf numFmtId="4" fontId="179" fillId="0" borderId="6" xfId="0" applyNumberFormat="1" applyFont="1" applyBorder="1" applyAlignment="1">
      <alignment vertical="center" wrapText="1"/>
    </xf>
    <xf numFmtId="0" fontId="89" fillId="0" borderId="5" xfId="0" applyFont="1" applyBorder="1" applyAlignment="1">
      <alignment horizontal="left" vertical="center" wrapText="1"/>
    </xf>
    <xf numFmtId="0" fontId="162" fillId="0" borderId="3" xfId="0" applyFont="1" applyBorder="1" applyAlignment="1">
      <alignment wrapText="1"/>
    </xf>
    <xf numFmtId="0" fontId="162" fillId="0" borderId="0" xfId="0" applyFont="1" applyAlignment="1">
      <alignment wrapText="1"/>
    </xf>
    <xf numFmtId="0" fontId="91" fillId="26" borderId="5" xfId="0" applyFont="1" applyFill="1" applyBorder="1" applyAlignment="1">
      <alignment horizontal="right" vertical="center" wrapText="1"/>
    </xf>
    <xf numFmtId="0" fontId="116" fillId="25" borderId="5" xfId="0" applyFont="1" applyFill="1" applyBorder="1" applyAlignment="1">
      <alignment horizontal="left" vertical="center" wrapText="1"/>
    </xf>
    <xf numFmtId="0" fontId="151" fillId="0" borderId="5" xfId="0" applyFont="1" applyBorder="1" applyAlignment="1">
      <alignment horizontal="left" vertical="center" wrapText="1"/>
    </xf>
    <xf numFmtId="0" fontId="132" fillId="0" borderId="5" xfId="0" applyFont="1" applyBorder="1" applyAlignment="1">
      <alignment horizontal="left" vertical="center"/>
    </xf>
    <xf numFmtId="0" fontId="140" fillId="25" borderId="5" xfId="0" applyFont="1" applyFill="1" applyBorder="1" applyAlignment="1">
      <alignment horizontal="left" vertical="center"/>
    </xf>
    <xf numFmtId="0" fontId="140" fillId="0" borderId="5" xfId="0" applyFont="1" applyBorder="1" applyAlignment="1">
      <alignment horizontal="center" vertical="center"/>
    </xf>
    <xf numFmtId="10" fontId="180" fillId="0" borderId="5" xfId="0" applyNumberFormat="1" applyFont="1" applyBorder="1" applyAlignment="1">
      <alignment horizontal="left" vertical="center" wrapText="1"/>
    </xf>
    <xf numFmtId="0" fontId="89" fillId="25" borderId="5" xfId="0" applyFont="1" applyFill="1" applyBorder="1" applyAlignment="1">
      <alignment horizontal="right" vertical="center"/>
    </xf>
    <xf numFmtId="0" fontId="132" fillId="26" borderId="5" xfId="0" applyFont="1" applyFill="1" applyBorder="1" applyAlignment="1">
      <alignment horizontal="right" vertical="center"/>
    </xf>
    <xf numFmtId="0" fontId="178" fillId="26" borderId="5" xfId="0" applyFont="1" applyFill="1" applyBorder="1" applyAlignment="1">
      <alignment horizontal="left" vertical="center" wrapText="1"/>
    </xf>
    <xf numFmtId="0" fontId="140" fillId="0" borderId="5" xfId="0" applyFont="1" applyBorder="1" applyAlignment="1">
      <alignment horizontal="left" vertical="center" wrapText="1"/>
    </xf>
    <xf numFmtId="0" fontId="173" fillId="0" borderId="5" xfId="0" applyFont="1" applyBorder="1" applyAlignment="1">
      <alignment horizontal="left" vertical="center" wrapText="1"/>
    </xf>
    <xf numFmtId="0" fontId="181" fillId="0" borderId="5" xfId="0" applyFont="1" applyBorder="1" applyAlignment="1">
      <alignment horizontal="left" vertical="center" wrapText="1"/>
    </xf>
    <xf numFmtId="0" fontId="91" fillId="25" borderId="5" xfId="0" applyFont="1" applyFill="1" applyBorder="1" applyAlignment="1">
      <alignment horizontal="right" vertical="center"/>
    </xf>
    <xf numFmtId="0" fontId="132" fillId="0" borderId="5" xfId="0" applyFont="1" applyBorder="1" applyAlignment="1">
      <alignment horizontal="left" vertical="center" wrapText="1"/>
    </xf>
    <xf numFmtId="0" fontId="140" fillId="25" borderId="5" xfId="0" applyFont="1" applyFill="1" applyBorder="1" applyAlignment="1">
      <alignment horizontal="center" vertical="center" wrapText="1"/>
    </xf>
    <xf numFmtId="0" fontId="91" fillId="0" borderId="5" xfId="0" applyFont="1" applyBorder="1" applyAlignment="1">
      <alignment horizontal="left" vertical="center"/>
    </xf>
    <xf numFmtId="0" fontId="91" fillId="26" borderId="5" xfId="0" applyFont="1" applyFill="1" applyBorder="1" applyAlignment="1">
      <alignment horizontal="right" vertical="center"/>
    </xf>
    <xf numFmtId="0" fontId="109" fillId="0" borderId="5" xfId="0" applyFont="1" applyBorder="1" applyAlignment="1">
      <alignment horizontal="left" vertical="center" wrapText="1"/>
    </xf>
    <xf numFmtId="0" fontId="140" fillId="0" borderId="5" xfId="0" applyFont="1" applyBorder="1" applyAlignment="1">
      <alignment horizontal="left" vertical="center"/>
    </xf>
    <xf numFmtId="0" fontId="89" fillId="25" borderId="5" xfId="0" applyFont="1" applyFill="1" applyBorder="1" applyAlignment="1">
      <alignment horizontal="right" vertical="center" wrapText="1"/>
    </xf>
    <xf numFmtId="0" fontId="190" fillId="26" borderId="5" xfId="0" applyFont="1" applyFill="1" applyBorder="1" applyAlignment="1">
      <alignment horizontal="center" vertical="center" wrapText="1"/>
    </xf>
    <xf numFmtId="0" fontId="109" fillId="0" borderId="5" xfId="0" applyFont="1" applyBorder="1" applyAlignment="1">
      <alignment horizontal="left" vertical="center"/>
    </xf>
    <xf numFmtId="0" fontId="147" fillId="25" borderId="5" xfId="0" applyFont="1" applyFill="1" applyBorder="1" applyAlignment="1">
      <alignment horizontal="center" vertical="center"/>
    </xf>
    <xf numFmtId="0" fontId="91" fillId="17" borderId="5" xfId="0" applyFont="1" applyFill="1" applyBorder="1" applyAlignment="1">
      <alignment horizontal="left" vertical="center" wrapText="1"/>
    </xf>
    <xf numFmtId="0" fontId="193" fillId="26" borderId="5" xfId="0" applyFont="1" applyFill="1" applyBorder="1" applyAlignment="1">
      <alignment horizontal="left" vertical="center" wrapText="1"/>
    </xf>
    <xf numFmtId="0" fontId="147" fillId="0" borderId="5" xfId="0" applyFont="1" applyBorder="1" applyAlignment="1">
      <alignment horizontal="left" vertical="center" wrapText="1"/>
    </xf>
    <xf numFmtId="0" fontId="140" fillId="25" borderId="5" xfId="0" applyFont="1" applyFill="1" applyBorder="1" applyAlignment="1">
      <alignment horizontal="center" vertical="center"/>
    </xf>
    <xf numFmtId="0" fontId="91" fillId="0" borderId="6" xfId="0" applyFont="1" applyBorder="1" applyAlignment="1">
      <alignment horizontal="left" vertical="center" wrapText="1"/>
    </xf>
    <xf numFmtId="49" fontId="91" fillId="25" borderId="5" xfId="0" applyNumberFormat="1" applyFont="1" applyFill="1" applyBorder="1" applyAlignment="1">
      <alignment horizontal="right" vertical="center" wrapText="1"/>
    </xf>
    <xf numFmtId="0" fontId="89" fillId="0" borderId="5" xfId="0" applyFont="1" applyBorder="1" applyAlignment="1">
      <alignment horizontal="left" vertical="center"/>
    </xf>
    <xf numFmtId="0" fontId="89" fillId="26" borderId="5" xfId="0" applyFont="1" applyFill="1" applyBorder="1" applyAlignment="1">
      <alignment horizontal="right" vertical="center"/>
    </xf>
    <xf numFmtId="49" fontId="196" fillId="0" borderId="5" xfId="0" applyNumberFormat="1" applyFont="1" applyBorder="1" applyAlignment="1">
      <alignment horizontal="left" vertical="center" wrapText="1"/>
    </xf>
    <xf numFmtId="49" fontId="91" fillId="2" borderId="5" xfId="0" applyNumberFormat="1" applyFont="1" applyFill="1" applyBorder="1" applyAlignment="1">
      <alignment horizontal="left" vertical="center" wrapText="1"/>
    </xf>
    <xf numFmtId="0" fontId="147" fillId="0" borderId="98" xfId="0" applyFont="1" applyBorder="1" applyAlignment="1">
      <alignment horizontal="left" vertical="center" wrapText="1"/>
    </xf>
    <xf numFmtId="4" fontId="116" fillId="0" borderId="6" xfId="0" applyNumberFormat="1" applyFont="1" applyBorder="1" applyAlignment="1">
      <alignment horizontal="center" vertical="center" wrapText="1"/>
    </xf>
    <xf numFmtId="4" fontId="91" fillId="0" borderId="6" xfId="0" applyNumberFormat="1" applyFont="1" applyBorder="1" applyAlignment="1">
      <alignment horizontal="center" vertical="center" wrapText="1"/>
    </xf>
    <xf numFmtId="4" fontId="200" fillId="2" borderId="6" xfId="0" applyNumberFormat="1" applyFont="1" applyFill="1" applyBorder="1" applyAlignment="1">
      <alignment horizontal="center" vertical="center"/>
    </xf>
    <xf numFmtId="0" fontId="116" fillId="16" borderId="94" xfId="0" applyFont="1" applyFill="1" applyBorder="1" applyAlignment="1">
      <alignment horizontal="center"/>
    </xf>
    <xf numFmtId="0" fontId="33" fillId="0" borderId="102" xfId="0" applyFont="1" applyBorder="1"/>
    <xf numFmtId="0" fontId="116" fillId="26" borderId="75" xfId="0" applyFont="1" applyFill="1" applyBorder="1" applyAlignment="1">
      <alignment horizontal="center"/>
    </xf>
    <xf numFmtId="0" fontId="33" fillId="0" borderId="112" xfId="0" applyFont="1" applyBorder="1"/>
    <xf numFmtId="0" fontId="116" fillId="26" borderId="5" xfId="0" applyFont="1" applyFill="1" applyBorder="1" applyAlignment="1">
      <alignment horizontal="left" vertical="center" wrapText="1"/>
    </xf>
    <xf numFmtId="172" fontId="133" fillId="0" borderId="5" xfId="0" applyNumberFormat="1" applyFont="1" applyBorder="1" applyAlignment="1">
      <alignment horizontal="center" vertical="center"/>
    </xf>
    <xf numFmtId="0" fontId="91" fillId="26" borderId="5" xfId="0" applyFont="1" applyFill="1" applyBorder="1" applyAlignment="1">
      <alignment horizontal="left" vertical="center" wrapText="1"/>
    </xf>
    <xf numFmtId="4" fontId="91" fillId="0" borderId="5" xfId="0" applyNumberFormat="1" applyFont="1" applyBorder="1" applyAlignment="1">
      <alignment horizontal="center" vertical="center" wrapText="1"/>
    </xf>
    <xf numFmtId="0" fontId="91" fillId="18" borderId="5" xfId="0" applyFont="1" applyFill="1" applyBorder="1" applyAlignment="1">
      <alignment horizontal="left" vertical="center" wrapText="1"/>
    </xf>
    <xf numFmtId="0" fontId="91" fillId="0" borderId="5" xfId="0" applyFont="1" applyBorder="1" applyAlignment="1">
      <alignment wrapText="1"/>
    </xf>
    <xf numFmtId="0" fontId="109" fillId="25" borderId="5" xfId="0" applyFont="1" applyFill="1" applyBorder="1" applyAlignment="1">
      <alignment horizontal="right" vertical="center"/>
    </xf>
    <xf numFmtId="0" fontId="91" fillId="26" borderId="110" xfId="0" applyFont="1" applyFill="1" applyBorder="1" applyAlignment="1">
      <alignment horizontal="right" vertical="center"/>
    </xf>
    <xf numFmtId="0" fontId="33" fillId="0" borderId="77" xfId="0" applyFont="1" applyBorder="1"/>
    <xf numFmtId="0" fontId="33" fillId="0" borderId="111" xfId="0" applyFont="1" applyBorder="1"/>
    <xf numFmtId="0" fontId="166" fillId="0" borderId="102" xfId="0" applyFont="1" applyBorder="1" applyAlignment="1">
      <alignment horizontal="left" vertical="center" wrapText="1"/>
    </xf>
    <xf numFmtId="0" fontId="91" fillId="26" borderId="5" xfId="0" applyFont="1" applyFill="1" applyBorder="1" applyAlignment="1">
      <alignment horizontal="left"/>
    </xf>
    <xf numFmtId="172" fontId="133" fillId="0" borderId="5" xfId="0" applyNumberFormat="1" applyFont="1" applyBorder="1" applyAlignment="1">
      <alignment horizontal="center" vertical="center" wrapText="1"/>
    </xf>
    <xf numFmtId="0" fontId="26" fillId="27" borderId="98" xfId="0" applyFont="1" applyFill="1" applyBorder="1" applyAlignment="1">
      <alignment vertical="center"/>
    </xf>
    <xf numFmtId="0" fontId="33" fillId="0" borderId="98" xfId="0" applyFont="1" applyBorder="1"/>
    <xf numFmtId="0" fontId="212" fillId="25" borderId="5" xfId="0" applyFont="1" applyFill="1" applyBorder="1" applyAlignment="1">
      <alignment horizontal="right" vertical="center"/>
    </xf>
    <xf numFmtId="0" fontId="116" fillId="26" borderId="5" xfId="0" applyFont="1" applyFill="1" applyBorder="1" applyAlignment="1">
      <alignment horizontal="center" vertical="center"/>
    </xf>
    <xf numFmtId="0" fontId="166" fillId="0" borderId="5" xfId="0" applyFont="1" applyBorder="1" applyAlignment="1">
      <alignment horizontal="left" vertical="center"/>
    </xf>
    <xf numFmtId="0" fontId="147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90" fillId="0" borderId="5" xfId="0" applyFont="1" applyBorder="1" applyAlignment="1">
      <alignment horizontal="right" vertical="center" wrapText="1"/>
    </xf>
    <xf numFmtId="0" fontId="90" fillId="0" borderId="98" xfId="0" applyFont="1" applyBorder="1" applyAlignment="1">
      <alignment horizontal="center" vertical="center"/>
    </xf>
    <xf numFmtId="0" fontId="181" fillId="0" borderId="0" xfId="0" applyFont="1" applyAlignment="1">
      <alignment horizontal="left" vertical="center"/>
    </xf>
    <xf numFmtId="0" fontId="181" fillId="0" borderId="0" xfId="0" applyFont="1" applyAlignment="1">
      <alignment horizontal="center" vertical="center"/>
    </xf>
    <xf numFmtId="0" fontId="181" fillId="0" borderId="3" xfId="0" applyFont="1" applyBorder="1" applyAlignment="1">
      <alignment horizontal="left" vertical="center"/>
    </xf>
    <xf numFmtId="0" fontId="194" fillId="26" borderId="5" xfId="0" applyFont="1" applyFill="1" applyBorder="1" applyAlignment="1">
      <alignment vertical="center"/>
    </xf>
    <xf numFmtId="3" fontId="109" fillId="0" borderId="5" xfId="0" applyNumberFormat="1" applyFont="1" applyBorder="1" applyAlignment="1">
      <alignment horizontal="center" vertical="center" wrapText="1"/>
    </xf>
    <xf numFmtId="0" fontId="90" fillId="0" borderId="5" xfId="0" applyFont="1" applyBorder="1" applyAlignment="1">
      <alignment horizontal="left" vertical="center"/>
    </xf>
    <xf numFmtId="4" fontId="90" fillId="0" borderId="5" xfId="0" applyNumberFormat="1" applyFont="1" applyBorder="1" applyAlignment="1">
      <alignment horizontal="right" vertical="center" wrapText="1"/>
    </xf>
    <xf numFmtId="0" fontId="90" fillId="0" borderId="6" xfId="0" applyFont="1" applyBorder="1" applyAlignment="1">
      <alignment horizontal="left" vertical="center" wrapText="1"/>
    </xf>
    <xf numFmtId="4" fontId="173" fillId="0" borderId="6" xfId="0" applyNumberFormat="1" applyFont="1" applyBorder="1" applyAlignment="1">
      <alignment horizontal="right" vertical="center" wrapText="1"/>
    </xf>
    <xf numFmtId="0" fontId="90" fillId="0" borderId="102" xfId="0" applyFont="1" applyBorder="1" applyAlignment="1">
      <alignment horizontal="left" vertical="center" wrapText="1"/>
    </xf>
    <xf numFmtId="49" fontId="213" fillId="0" borderId="5" xfId="0" applyNumberFormat="1" applyFont="1" applyBorder="1" applyAlignment="1">
      <alignment horizontal="left" vertical="center" wrapText="1"/>
    </xf>
    <xf numFmtId="49" fontId="91" fillId="26" borderId="5" xfId="0" applyNumberFormat="1" applyFont="1" applyFill="1" applyBorder="1" applyAlignment="1">
      <alignment horizontal="left" vertical="center" wrapText="1"/>
    </xf>
    <xf numFmtId="0" fontId="91" fillId="2" borderId="113" xfId="0" applyFont="1" applyFill="1" applyBorder="1" applyAlignment="1">
      <alignment horizontal="right" vertical="center"/>
    </xf>
    <xf numFmtId="0" fontId="33" fillId="0" borderId="114" xfId="0" applyFont="1" applyBorder="1"/>
    <xf numFmtId="0" fontId="33" fillId="0" borderId="115" xfId="0" applyFont="1" applyBorder="1"/>
    <xf numFmtId="0" fontId="216" fillId="0" borderId="5" xfId="0" applyFont="1" applyBorder="1" applyAlignment="1">
      <alignment horizontal="center" vertical="center"/>
    </xf>
    <xf numFmtId="1" fontId="90" fillId="0" borderId="5" xfId="0" applyNumberFormat="1" applyFont="1" applyBorder="1" applyAlignment="1">
      <alignment horizontal="center" vertical="center" wrapText="1"/>
    </xf>
    <xf numFmtId="4" fontId="171" fillId="25" borderId="5" xfId="0" applyNumberFormat="1" applyFont="1" applyFill="1" applyBorder="1" applyAlignment="1">
      <alignment horizontal="center" vertical="center"/>
    </xf>
    <xf numFmtId="0" fontId="91" fillId="0" borderId="15" xfId="0" applyFont="1" applyBorder="1" applyAlignment="1">
      <alignment horizontal="left" vertical="center"/>
    </xf>
    <xf numFmtId="0" fontId="33" fillId="0" borderId="116" xfId="0" applyFont="1" applyBorder="1"/>
    <xf numFmtId="3" fontId="91" fillId="0" borderId="117" xfId="0" applyNumberFormat="1" applyFont="1" applyBorder="1" applyAlignment="1">
      <alignment horizontal="center" wrapText="1"/>
    </xf>
    <xf numFmtId="10" fontId="175" fillId="0" borderId="9" xfId="0" applyNumberFormat="1" applyFont="1" applyBorder="1" applyAlignment="1">
      <alignment horizontal="left" vertical="center" wrapText="1"/>
    </xf>
    <xf numFmtId="4" fontId="91" fillId="0" borderId="5" xfId="0" applyNumberFormat="1" applyFont="1" applyBorder="1" applyAlignment="1">
      <alignment horizontal="left" vertical="center" wrapText="1"/>
    </xf>
    <xf numFmtId="3" fontId="90" fillId="0" borderId="5" xfId="0" applyNumberFormat="1" applyFont="1" applyBorder="1" applyAlignment="1">
      <alignment horizontal="center" wrapText="1"/>
    </xf>
    <xf numFmtId="0" fontId="91" fillId="2" borderId="5" xfId="0" applyFont="1" applyFill="1" applyBorder="1" applyAlignment="1">
      <alignment horizontal="left" vertical="center" wrapText="1"/>
    </xf>
    <xf numFmtId="4" fontId="173" fillId="0" borderId="5" xfId="0" applyNumberFormat="1" applyFont="1" applyBorder="1" applyAlignment="1">
      <alignment horizontal="right" vertical="center"/>
    </xf>
    <xf numFmtId="0" fontId="89" fillId="0" borderId="6" xfId="0" applyFont="1" applyBorder="1" applyAlignment="1">
      <alignment horizontal="left" vertical="center" wrapText="1"/>
    </xf>
    <xf numFmtId="2" fontId="204" fillId="16" borderId="14" xfId="0" applyNumberFormat="1" applyFont="1" applyFill="1" applyBorder="1" applyAlignment="1">
      <alignment horizontal="center" wrapText="1"/>
    </xf>
    <xf numFmtId="0" fontId="116" fillId="16" borderId="94" xfId="0" applyFont="1" applyFill="1" applyBorder="1" applyAlignment="1">
      <alignment horizontal="center" wrapText="1"/>
    </xf>
    <xf numFmtId="0" fontId="33" fillId="0" borderId="101" xfId="0" applyFont="1" applyBorder="1" applyAlignment="1">
      <alignment wrapText="1"/>
    </xf>
    <xf numFmtId="0" fontId="204" fillId="16" borderId="2" xfId="0" applyFont="1" applyFill="1" applyBorder="1" applyAlignment="1">
      <alignment horizontal="center" wrapText="1"/>
    </xf>
    <xf numFmtId="0" fontId="33" fillId="0" borderId="102" xfId="0" applyFont="1" applyBorder="1" applyAlignment="1">
      <alignment wrapText="1"/>
    </xf>
    <xf numFmtId="0" fontId="33" fillId="0" borderId="100" xfId="0" applyFont="1" applyBorder="1" applyAlignment="1">
      <alignment wrapText="1"/>
    </xf>
    <xf numFmtId="0" fontId="202" fillId="27" borderId="7" xfId="0" applyFont="1" applyFill="1" applyBorder="1" applyAlignment="1">
      <alignment horizontal="right" wrapText="1"/>
    </xf>
    <xf numFmtId="0" fontId="79" fillId="27" borderId="74" xfId="0" applyFont="1" applyFill="1" applyBorder="1" applyAlignment="1">
      <alignment horizontal="center" wrapText="1"/>
    </xf>
    <xf numFmtId="0" fontId="79" fillId="27" borderId="93" xfId="0" applyFont="1" applyFill="1" applyBorder="1" applyAlignment="1">
      <alignment horizontal="center" wrapText="1"/>
    </xf>
    <xf numFmtId="0" fontId="63" fillId="27" borderId="119" xfId="0" applyFont="1" applyFill="1" applyBorder="1"/>
    <xf numFmtId="0" fontId="63" fillId="27" borderId="7" xfId="0" applyFont="1" applyFill="1" applyBorder="1" applyAlignment="1">
      <alignment horizontal="right" wrapText="1"/>
    </xf>
    <xf numFmtId="0" fontId="201" fillId="2" borderId="0" xfId="0" applyFont="1" applyFill="1" applyAlignment="1">
      <alignment horizontal="center" wrapText="1"/>
    </xf>
  </cellXfs>
  <cellStyles count="1">
    <cellStyle name="Normal" xfId="0" builtinId="0"/>
  </cellStyles>
  <dxfs count="219"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rgb="FF000000"/>
      </font>
      <fill>
        <patternFill patternType="solid">
          <fgColor rgb="FFD6E3BC"/>
          <bgColor rgb="FFD6E3BC"/>
        </patternFill>
      </fill>
    </dxf>
    <dxf>
      <font>
        <b/>
        <color rgb="FF000000"/>
      </font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ont>
        <b/>
        <color rgb="FF999999"/>
      </font>
      <fill>
        <patternFill patternType="solid">
          <fgColor theme="0"/>
          <bgColor theme="0"/>
        </patternFill>
      </fill>
    </dxf>
    <dxf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ont>
        <b/>
        <color rgb="FFD6E3BC"/>
      </font>
      <fill>
        <patternFill patternType="solid">
          <fgColor rgb="FFD6E3BC"/>
          <bgColor rgb="FFD6E3BC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solid">
          <fgColor rgb="FFFF00FF"/>
          <bgColor rgb="FFFF00FF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ill>
        <patternFill patternType="solid">
          <fgColor rgb="FFFF00FF"/>
          <bgColor rgb="FFFF00FF"/>
        </patternFill>
      </fill>
    </dxf>
    <dxf>
      <font>
        <b/>
        <color rgb="FFD6E3BC"/>
      </font>
      <fill>
        <patternFill patternType="solid">
          <fgColor rgb="FFD6E3BC"/>
          <bgColor rgb="FFD6E3BC"/>
        </patternFill>
      </fill>
    </dxf>
    <dxf>
      <font>
        <b/>
        <color rgb="FF000000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rgb="FF000000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rgb="FF000000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rgb="FF000000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695325</xdr:colOff>
      <xdr:row>1</xdr:row>
      <xdr:rowOff>85725</xdr:rowOff>
    </xdr:from>
    <xdr:ext cx="2314575" cy="285750"/>
    <xdr:sp macro="" textlink="">
      <xdr:nvSpPr>
        <xdr:cNvPr id="3" name="Shape 3"/>
        <xdr:cNvSpPr/>
      </xdr:nvSpPr>
      <xdr:spPr>
        <a:xfrm>
          <a:off x="557925" y="687425"/>
          <a:ext cx="1590900" cy="353400"/>
        </a:xfrm>
        <a:prstGeom prst="roundRect">
          <a:avLst>
            <a:gd name="adj" fmla="val 16667"/>
          </a:avLst>
        </a:prstGeom>
        <a:solidFill>
          <a:srgbClr val="FFFF00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/>
            <a:t>Reexibir Tudo</a:t>
          </a:r>
          <a:endParaRPr sz="1600" b="1"/>
        </a:p>
      </xdr:txBody>
    </xdr:sp>
    <xdr:clientData fLocksWithSheet="0"/>
  </xdr:oneCellAnchor>
  <xdr:oneCellAnchor>
    <xdr:from>
      <xdr:col>1</xdr:col>
      <xdr:colOff>66675</xdr:colOff>
      <xdr:row>1</xdr:row>
      <xdr:rowOff>428625</xdr:rowOff>
    </xdr:from>
    <xdr:ext cx="876300" cy="285750"/>
    <xdr:sp macro="" textlink="">
      <xdr:nvSpPr>
        <xdr:cNvPr id="4" name="Shape 4"/>
        <xdr:cNvSpPr txBox="1"/>
      </xdr:nvSpPr>
      <xdr:spPr>
        <a:xfrm>
          <a:off x="1441700" y="854375"/>
          <a:ext cx="746400" cy="400200"/>
        </a:xfrm>
        <a:prstGeom prst="rect">
          <a:avLst/>
        </a:prstGeom>
        <a:solidFill>
          <a:srgbClr val="9FC5E8"/>
        </a:solidFill>
        <a:ln w="9525" cap="flat" cmpd="sng">
          <a:solidFill>
            <a:srgbClr val="00FF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/>
            <a:t>C C T</a:t>
          </a:r>
          <a:endParaRPr sz="1400"/>
        </a:p>
      </xdr:txBody>
    </xdr:sp>
    <xdr:clientData fLocksWithSheet="0"/>
  </xdr:oneCellAnchor>
  <xdr:oneCellAnchor>
    <xdr:from>
      <xdr:col>2</xdr:col>
      <xdr:colOff>447675</xdr:colOff>
      <xdr:row>1</xdr:row>
      <xdr:rowOff>438150</xdr:rowOff>
    </xdr:from>
    <xdr:ext cx="1009650" cy="285750"/>
    <xdr:sp macro="" textlink="">
      <xdr:nvSpPr>
        <xdr:cNvPr id="5" name="Shape 5"/>
        <xdr:cNvSpPr/>
      </xdr:nvSpPr>
      <xdr:spPr>
        <a:xfrm>
          <a:off x="2708050" y="966475"/>
          <a:ext cx="956700" cy="439200"/>
        </a:xfrm>
        <a:prstGeom prst="rect">
          <a:avLst/>
        </a:prstGeom>
        <a:solidFill>
          <a:srgbClr val="CFE2F3"/>
        </a:solidFill>
        <a:ln w="9525" cap="flat" cmpd="sng">
          <a:solidFill>
            <a:srgbClr val="FF99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/>
            <a:t>Salário</a:t>
          </a:r>
          <a:endParaRPr sz="1400" b="1">
            <a:highlight>
              <a:srgbClr val="FFF2CC"/>
            </a:highlight>
          </a:endParaRPr>
        </a:p>
      </xdr:txBody>
    </xdr:sp>
    <xdr:clientData fLocksWithSheet="0"/>
  </xdr:oneCellAnchor>
  <xdr:oneCellAnchor>
    <xdr:from>
      <xdr:col>3</xdr:col>
      <xdr:colOff>19050</xdr:colOff>
      <xdr:row>1</xdr:row>
      <xdr:rowOff>371475</xdr:rowOff>
    </xdr:from>
    <xdr:ext cx="1362075" cy="419100"/>
    <xdr:sp macro="" textlink="">
      <xdr:nvSpPr>
        <xdr:cNvPr id="6" name="Shape 6"/>
        <xdr:cNvSpPr txBox="1"/>
      </xdr:nvSpPr>
      <xdr:spPr>
        <a:xfrm>
          <a:off x="2566225" y="1887225"/>
          <a:ext cx="1592100" cy="398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highlight>
                <a:srgbClr val="B6D7A8"/>
              </a:highlight>
            </a:rPr>
            <a:t>QUANTIDADES</a:t>
          </a:r>
          <a:endParaRPr sz="1400">
            <a:highlight>
              <a:srgbClr val="B6D7A8"/>
            </a:highlight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2714625</xdr:colOff>
      <xdr:row>2</xdr:row>
      <xdr:rowOff>57150</xdr:rowOff>
    </xdr:from>
    <xdr:ext cx="609600" cy="714375"/>
    <xdr:sp macro="" textlink="">
      <xdr:nvSpPr>
        <xdr:cNvPr id="8" name="Shape 8"/>
        <xdr:cNvSpPr/>
      </xdr:nvSpPr>
      <xdr:spPr>
        <a:xfrm rot="-5400000">
          <a:off x="4998338" y="3484725"/>
          <a:ext cx="695325" cy="590550"/>
        </a:xfrm>
        <a:prstGeom prst="leftArrow">
          <a:avLst>
            <a:gd name="adj1" fmla="val 50000"/>
            <a:gd name="adj2" fmla="val 50000"/>
          </a:avLst>
        </a:prstGeom>
        <a:solidFill>
          <a:srgbClr val="FF0000"/>
        </a:solidFill>
        <a:ln w="2540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4</xdr:col>
      <xdr:colOff>533400</xdr:colOff>
      <xdr:row>1</xdr:row>
      <xdr:rowOff>66675</xdr:rowOff>
    </xdr:from>
    <xdr:ext cx="2124075" cy="914400"/>
    <xdr:sp macro="" textlink="">
      <xdr:nvSpPr>
        <xdr:cNvPr id="9" name="Shape 9"/>
        <xdr:cNvSpPr txBox="1"/>
      </xdr:nvSpPr>
      <xdr:spPr>
        <a:xfrm>
          <a:off x="4288725" y="3327563"/>
          <a:ext cx="2114550" cy="904875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B050"/>
            </a:buClr>
            <a:buSzPts val="1200"/>
            <a:buFont typeface="Arial"/>
            <a:buNone/>
          </a:pPr>
          <a:r>
            <a:rPr lang="en-US" sz="1200" b="1">
              <a:solidFill>
                <a:srgbClr val="00B050"/>
              </a:solidFill>
              <a:latin typeface="Arial"/>
              <a:ea typeface="Arial"/>
              <a:cs typeface="Arial"/>
              <a:sym typeface="Arial"/>
            </a:rPr>
            <a:t>O licitante deverá preencher todas as células destacadas na cor verde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85725</xdr:colOff>
      <xdr:row>1</xdr:row>
      <xdr:rowOff>47625</xdr:rowOff>
    </xdr:from>
    <xdr:ext cx="3095625" cy="828675"/>
    <xdr:pic>
      <xdr:nvPicPr>
        <xdr:cNvPr id="2" name="image1.png" title="Imagem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0</xdr:row>
      <xdr:rowOff>0</xdr:rowOff>
    </xdr:from>
    <xdr:ext cx="3705225" cy="514350"/>
    <xdr:sp macro="" textlink="">
      <xdr:nvSpPr>
        <xdr:cNvPr id="10" name="Shape 10"/>
        <xdr:cNvSpPr txBox="1"/>
      </xdr:nvSpPr>
      <xdr:spPr>
        <a:xfrm>
          <a:off x="1630825" y="1718075"/>
          <a:ext cx="3681900" cy="4974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100" b="1">
              <a:solidFill>
                <a:srgbClr val="FFFF00"/>
              </a:solidFill>
              <a:highlight>
                <a:srgbClr val="000000"/>
              </a:highlight>
            </a:rPr>
            <a:t>EXECUTAR TOTALIZAÇÃO</a:t>
          </a:r>
          <a:endParaRPr sz="2100" b="1">
            <a:solidFill>
              <a:srgbClr val="FFFF00"/>
            </a:solidFill>
            <a:highlight>
              <a:srgbClr val="000000"/>
            </a:highlight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://ent.cult.recr.de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1000"/>
  <sheetViews>
    <sheetView workbookViewId="0"/>
  </sheetViews>
  <sheetFormatPr defaultColWidth="14.42578125" defaultRowHeight="15" customHeight="1"/>
  <cols>
    <col min="1" max="1" width="4" customWidth="1"/>
    <col min="2" max="2" width="11.140625" customWidth="1"/>
    <col min="3" max="3" width="21.42578125" customWidth="1"/>
    <col min="4" max="4" width="25.5703125" customWidth="1"/>
    <col min="5" max="5" width="22.28515625" customWidth="1"/>
    <col min="6" max="7" width="12.42578125" customWidth="1"/>
    <col min="8" max="8" width="12.42578125" hidden="1" customWidth="1"/>
    <col min="9" max="9" width="16.140625" hidden="1" customWidth="1"/>
    <col min="10" max="10" width="16" hidden="1" customWidth="1"/>
    <col min="11" max="14" width="13.28515625" hidden="1" customWidth="1"/>
    <col min="15" max="16" width="17.85546875" hidden="1" customWidth="1"/>
    <col min="17" max="17" width="33.28515625" hidden="1" customWidth="1"/>
    <col min="18" max="18" width="12.28515625" hidden="1" customWidth="1"/>
    <col min="19" max="19" width="68.140625" hidden="1" customWidth="1"/>
    <col min="20" max="20" width="28" hidden="1" customWidth="1"/>
    <col min="21" max="21" width="45.140625" hidden="1" customWidth="1"/>
    <col min="22" max="22" width="12.7109375" hidden="1" customWidth="1"/>
    <col min="23" max="23" width="7.42578125" hidden="1" customWidth="1"/>
    <col min="24" max="24" width="34.7109375" customWidth="1"/>
    <col min="25" max="29" width="8.7109375" customWidth="1"/>
  </cols>
  <sheetData>
    <row r="1" spans="1:29" ht="15.75" customHeight="1">
      <c r="A1" s="1"/>
      <c r="B1" s="1"/>
      <c r="C1" s="1"/>
      <c r="D1" s="1"/>
      <c r="E1" s="1"/>
      <c r="F1" s="1"/>
      <c r="G1" s="1"/>
      <c r="H1" s="2"/>
      <c r="I1" s="1"/>
      <c r="J1" s="1"/>
      <c r="K1" s="1"/>
      <c r="L1" s="1"/>
      <c r="M1" s="1"/>
      <c r="N1" s="1"/>
      <c r="O1" s="1"/>
      <c r="P1" s="1"/>
      <c r="Q1" s="1"/>
      <c r="R1" s="3"/>
      <c r="S1" s="3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75" customHeight="1">
      <c r="B2" s="1"/>
      <c r="C2" s="1"/>
      <c r="D2" s="1"/>
      <c r="E2" s="1"/>
      <c r="F2" s="1"/>
      <c r="G2" s="1"/>
      <c r="H2" s="2"/>
      <c r="I2" s="1"/>
      <c r="J2" s="1"/>
      <c r="K2" s="1"/>
      <c r="L2" s="1"/>
      <c r="M2" s="1"/>
      <c r="N2" s="1"/>
      <c r="O2" s="1"/>
      <c r="P2" s="1"/>
      <c r="Q2" s="1"/>
      <c r="R2" s="3"/>
      <c r="S2" s="3"/>
    </row>
    <row r="3" spans="1:29" ht="15.75" customHeight="1">
      <c r="B3" s="4" t="s">
        <v>0</v>
      </c>
      <c r="C3" s="1"/>
      <c r="D3" s="1"/>
      <c r="E3" s="1"/>
      <c r="F3" s="1"/>
      <c r="G3" s="1"/>
      <c r="H3" s="2"/>
      <c r="I3" s="1"/>
      <c r="J3" s="1"/>
      <c r="K3" s="1"/>
      <c r="L3" s="1"/>
      <c r="M3" s="1"/>
      <c r="N3" s="1"/>
      <c r="O3" s="1"/>
      <c r="P3" s="1"/>
      <c r="Q3" s="1"/>
      <c r="R3" s="3"/>
      <c r="S3" s="3"/>
    </row>
    <row r="4" spans="1:29" ht="15.75" customHeight="1">
      <c r="B4" s="5" t="s">
        <v>1</v>
      </c>
      <c r="C4" s="6">
        <v>1</v>
      </c>
      <c r="D4" s="6">
        <f t="shared" ref="D4:Q4" si="0">C4+1</f>
        <v>2</v>
      </c>
      <c r="E4" s="6">
        <f t="shared" si="0"/>
        <v>3</v>
      </c>
      <c r="F4" s="6">
        <f t="shared" si="0"/>
        <v>4</v>
      </c>
      <c r="G4" s="6">
        <f t="shared" si="0"/>
        <v>5</v>
      </c>
      <c r="H4" s="6">
        <f t="shared" si="0"/>
        <v>6</v>
      </c>
      <c r="I4" s="6">
        <f t="shared" si="0"/>
        <v>7</v>
      </c>
      <c r="J4" s="6">
        <f t="shared" si="0"/>
        <v>8</v>
      </c>
      <c r="K4" s="6">
        <f t="shared" si="0"/>
        <v>9</v>
      </c>
      <c r="L4" s="6">
        <f t="shared" si="0"/>
        <v>10</v>
      </c>
      <c r="M4" s="6">
        <f t="shared" si="0"/>
        <v>11</v>
      </c>
      <c r="N4" s="6">
        <f t="shared" si="0"/>
        <v>12</v>
      </c>
      <c r="O4" s="6">
        <f t="shared" si="0"/>
        <v>13</v>
      </c>
      <c r="P4" s="6">
        <f t="shared" si="0"/>
        <v>14</v>
      </c>
      <c r="Q4" s="6">
        <f t="shared" si="0"/>
        <v>15</v>
      </c>
      <c r="R4" s="7"/>
      <c r="S4" s="7"/>
    </row>
    <row r="5" spans="1:29" ht="59.25" customHeight="1">
      <c r="A5" s="8"/>
      <c r="B5" s="9" t="s">
        <v>2</v>
      </c>
      <c r="C5" s="10" t="s">
        <v>3</v>
      </c>
      <c r="D5" s="11" t="s">
        <v>4</v>
      </c>
      <c r="E5" s="9" t="s">
        <v>5</v>
      </c>
      <c r="F5" s="11" t="s">
        <v>6</v>
      </c>
      <c r="G5" s="11" t="s">
        <v>7</v>
      </c>
      <c r="H5" s="12" t="s">
        <v>8</v>
      </c>
      <c r="I5" s="11" t="s">
        <v>9</v>
      </c>
      <c r="J5" s="11" t="s">
        <v>10</v>
      </c>
      <c r="K5" s="11" t="s">
        <v>11</v>
      </c>
      <c r="L5" s="11" t="s">
        <v>12</v>
      </c>
      <c r="M5" s="11" t="s">
        <v>13</v>
      </c>
      <c r="N5" s="11" t="s">
        <v>14</v>
      </c>
      <c r="O5" s="13" t="s">
        <v>15</v>
      </c>
      <c r="P5" s="13" t="s">
        <v>16</v>
      </c>
      <c r="Q5" s="13" t="s">
        <v>17</v>
      </c>
      <c r="R5" s="14"/>
      <c r="S5" s="15" t="s">
        <v>18</v>
      </c>
      <c r="T5" s="8"/>
      <c r="U5" s="8"/>
      <c r="V5" s="8"/>
      <c r="W5" s="8"/>
      <c r="X5" s="8"/>
      <c r="Y5" s="8"/>
      <c r="Z5" s="8"/>
      <c r="AA5" s="8"/>
      <c r="AB5" s="8"/>
      <c r="AC5" s="8"/>
    </row>
    <row r="6" spans="1:29" ht="49.5" customHeight="1">
      <c r="A6" s="16"/>
      <c r="B6" s="17"/>
      <c r="C6" s="18" t="s">
        <v>19</v>
      </c>
      <c r="D6" s="19" t="s">
        <v>20</v>
      </c>
      <c r="E6" s="20" t="s">
        <v>21</v>
      </c>
      <c r="F6" s="21">
        <v>0</v>
      </c>
      <c r="G6" s="21">
        <v>0</v>
      </c>
      <c r="H6" s="22">
        <v>0</v>
      </c>
      <c r="I6" s="23">
        <v>0.06</v>
      </c>
      <c r="J6" s="24">
        <v>2019</v>
      </c>
      <c r="K6" s="21">
        <v>0</v>
      </c>
      <c r="L6" s="21"/>
      <c r="M6" s="21"/>
      <c r="N6" s="21"/>
      <c r="O6" s="21"/>
      <c r="P6" s="21"/>
      <c r="Q6" s="21"/>
      <c r="R6" s="25"/>
      <c r="S6" s="26" t="s">
        <v>22</v>
      </c>
      <c r="T6" s="16"/>
      <c r="U6" s="16"/>
      <c r="V6" s="16"/>
      <c r="W6" s="16"/>
      <c r="X6" s="16"/>
      <c r="Y6" s="16"/>
      <c r="Z6" s="16"/>
      <c r="AA6" s="16"/>
      <c r="AB6" s="16"/>
      <c r="AC6" s="16"/>
    </row>
    <row r="7" spans="1:29" ht="49.5" customHeight="1">
      <c r="A7" s="16"/>
      <c r="B7" s="17"/>
      <c r="C7" s="18" t="s">
        <v>23</v>
      </c>
      <c r="D7" s="19" t="s">
        <v>24</v>
      </c>
      <c r="E7" s="20" t="s">
        <v>21</v>
      </c>
      <c r="F7" s="21">
        <v>0</v>
      </c>
      <c r="G7" s="21">
        <v>0</v>
      </c>
      <c r="H7" s="22">
        <v>0</v>
      </c>
      <c r="I7" s="23">
        <v>0.06</v>
      </c>
      <c r="J7" s="24">
        <v>2019</v>
      </c>
      <c r="K7" s="21">
        <v>0</v>
      </c>
      <c r="L7" s="21"/>
      <c r="M7" s="21"/>
      <c r="N7" s="21"/>
      <c r="O7" s="21"/>
      <c r="P7" s="21"/>
      <c r="Q7" s="21"/>
      <c r="R7" s="25"/>
      <c r="S7" s="26" t="s">
        <v>25</v>
      </c>
      <c r="T7" s="16"/>
      <c r="U7" s="16"/>
      <c r="V7" s="16"/>
      <c r="W7" s="16"/>
      <c r="X7" s="27"/>
      <c r="Y7" s="16"/>
      <c r="Z7" s="16"/>
      <c r="AA7" s="16"/>
      <c r="AB7" s="16"/>
      <c r="AC7" s="16"/>
    </row>
    <row r="8" spans="1:29" ht="49.5" customHeight="1">
      <c r="A8" s="16"/>
      <c r="B8" s="17"/>
      <c r="C8" s="18" t="s">
        <v>26</v>
      </c>
      <c r="D8" s="19" t="s">
        <v>24</v>
      </c>
      <c r="E8" s="20" t="s">
        <v>21</v>
      </c>
      <c r="F8" s="21">
        <v>0</v>
      </c>
      <c r="G8" s="21">
        <v>0</v>
      </c>
      <c r="H8" s="22">
        <v>0</v>
      </c>
      <c r="I8" s="23">
        <v>0.06</v>
      </c>
      <c r="J8" s="24">
        <v>2019</v>
      </c>
      <c r="K8" s="21">
        <v>0</v>
      </c>
      <c r="L8" s="21"/>
      <c r="M8" s="21"/>
      <c r="N8" s="21"/>
      <c r="O8" s="21"/>
      <c r="P8" s="21"/>
      <c r="Q8" s="21"/>
      <c r="R8" s="25"/>
      <c r="S8" s="26" t="s">
        <v>27</v>
      </c>
      <c r="T8" s="16"/>
      <c r="U8" s="16"/>
      <c r="V8" s="16"/>
      <c r="W8" s="16"/>
      <c r="X8" s="27"/>
      <c r="Y8" s="16"/>
      <c r="Z8" s="16"/>
      <c r="AA8" s="16"/>
      <c r="AB8" s="16"/>
      <c r="AC8" s="16"/>
    </row>
    <row r="9" spans="1:29" ht="49.5" customHeight="1">
      <c r="A9" s="16"/>
      <c r="B9" s="17"/>
      <c r="C9" s="18" t="s">
        <v>28</v>
      </c>
      <c r="D9" s="19" t="s">
        <v>29</v>
      </c>
      <c r="E9" s="20" t="s">
        <v>30</v>
      </c>
      <c r="F9" s="21">
        <v>20.18</v>
      </c>
      <c r="G9" s="28">
        <v>10.09</v>
      </c>
      <c r="H9" s="22">
        <v>0.19</v>
      </c>
      <c r="I9" s="22">
        <v>0.06</v>
      </c>
      <c r="J9" s="24">
        <v>2022</v>
      </c>
      <c r="K9" s="21">
        <v>17.32</v>
      </c>
      <c r="L9" s="21"/>
      <c r="M9" s="21"/>
      <c r="N9" s="21"/>
      <c r="O9" s="21"/>
      <c r="P9" s="21"/>
      <c r="Q9" s="21"/>
      <c r="R9" s="29"/>
      <c r="S9" s="26" t="s">
        <v>31</v>
      </c>
      <c r="T9" s="16"/>
      <c r="U9" s="16"/>
      <c r="V9" s="16"/>
      <c r="W9" s="16" t="s">
        <v>32</v>
      </c>
      <c r="X9" s="30" t="s">
        <v>33</v>
      </c>
      <c r="Y9" s="16"/>
      <c r="Z9" s="16"/>
      <c r="AA9" s="16"/>
      <c r="AB9" s="16"/>
      <c r="AC9" s="16"/>
    </row>
    <row r="10" spans="1:29" ht="49.5" customHeight="1">
      <c r="A10" s="16"/>
      <c r="B10" s="17"/>
      <c r="C10" s="18" t="s">
        <v>34</v>
      </c>
      <c r="D10" s="19" t="s">
        <v>35</v>
      </c>
      <c r="E10" s="20" t="s">
        <v>36</v>
      </c>
      <c r="F10" s="21">
        <v>264.60000000000002</v>
      </c>
      <c r="G10" s="21">
        <v>0</v>
      </c>
      <c r="H10" s="22">
        <v>0.2</v>
      </c>
      <c r="I10" s="22">
        <v>0.03</v>
      </c>
      <c r="J10" s="24"/>
      <c r="K10" s="21">
        <v>0</v>
      </c>
      <c r="L10" s="21"/>
      <c r="M10" s="21"/>
      <c r="N10" s="21"/>
      <c r="O10" s="21"/>
      <c r="P10" s="21"/>
      <c r="Q10" s="21"/>
      <c r="R10" s="29"/>
      <c r="S10" s="26" t="s">
        <v>37</v>
      </c>
      <c r="T10" s="16"/>
      <c r="U10" s="16"/>
      <c r="V10" s="16"/>
      <c r="W10" s="16" t="s">
        <v>38</v>
      </c>
      <c r="X10" s="31" t="s">
        <v>39</v>
      </c>
      <c r="Y10" s="16"/>
      <c r="Z10" s="16"/>
      <c r="AA10" s="16"/>
      <c r="AB10" s="16"/>
      <c r="AC10" s="16"/>
    </row>
    <row r="11" spans="1:29" ht="49.5" customHeight="1">
      <c r="A11" s="16"/>
      <c r="B11" s="17"/>
      <c r="C11" s="18" t="s">
        <v>40</v>
      </c>
      <c r="D11" s="19" t="s">
        <v>41</v>
      </c>
      <c r="E11" s="20" t="s">
        <v>21</v>
      </c>
      <c r="F11" s="21">
        <v>21.5</v>
      </c>
      <c r="G11" s="21">
        <v>0</v>
      </c>
      <c r="H11" s="22">
        <v>0.2</v>
      </c>
      <c r="I11" s="22">
        <v>0.06</v>
      </c>
      <c r="J11" s="24"/>
      <c r="K11" s="21">
        <v>0</v>
      </c>
      <c r="L11" s="21">
        <v>10.97</v>
      </c>
      <c r="M11" s="21">
        <v>0.6</v>
      </c>
      <c r="N11" s="21"/>
      <c r="O11" s="21"/>
      <c r="P11" s="21"/>
      <c r="Q11" s="21"/>
      <c r="R11" s="29"/>
      <c r="S11" s="26" t="s">
        <v>42</v>
      </c>
      <c r="T11" s="16"/>
      <c r="U11" s="16"/>
      <c r="V11" s="16"/>
      <c r="W11" s="16" t="s">
        <v>43</v>
      </c>
      <c r="X11" s="30" t="s">
        <v>44</v>
      </c>
      <c r="Y11" s="16"/>
      <c r="Z11" s="16"/>
      <c r="AA11" s="16"/>
      <c r="AB11" s="16"/>
      <c r="AC11" s="16"/>
    </row>
    <row r="12" spans="1:29" ht="49.5" customHeight="1">
      <c r="A12" s="16"/>
      <c r="B12" s="17"/>
      <c r="C12" s="18" t="s">
        <v>45</v>
      </c>
      <c r="D12" s="19" t="s">
        <v>46</v>
      </c>
      <c r="E12" s="20" t="s">
        <v>47</v>
      </c>
      <c r="F12" s="32">
        <v>13.9</v>
      </c>
      <c r="G12" s="21">
        <v>0</v>
      </c>
      <c r="H12" s="22">
        <v>0.2</v>
      </c>
      <c r="I12" s="22">
        <v>0.06</v>
      </c>
      <c r="J12" s="24"/>
      <c r="K12" s="21">
        <v>0</v>
      </c>
      <c r="L12" s="21"/>
      <c r="M12" s="21"/>
      <c r="N12" s="21"/>
      <c r="O12" s="21"/>
      <c r="P12" s="21"/>
      <c r="Q12" s="21"/>
      <c r="R12" s="29"/>
      <c r="S12" s="26" t="s">
        <v>48</v>
      </c>
      <c r="T12" s="16"/>
      <c r="U12" s="16"/>
      <c r="V12" s="16"/>
      <c r="W12" s="16" t="s">
        <v>49</v>
      </c>
      <c r="X12" s="30" t="s">
        <v>50</v>
      </c>
      <c r="Y12" s="16"/>
      <c r="Z12" s="16"/>
      <c r="AA12" s="16"/>
      <c r="AB12" s="16"/>
      <c r="AC12" s="16"/>
    </row>
    <row r="13" spans="1:29" ht="49.5" customHeight="1">
      <c r="A13" s="16"/>
      <c r="B13" s="17"/>
      <c r="C13" s="18" t="s">
        <v>51</v>
      </c>
      <c r="D13" s="19" t="s">
        <v>52</v>
      </c>
      <c r="E13" s="20" t="s">
        <v>36</v>
      </c>
      <c r="F13" s="21">
        <v>0</v>
      </c>
      <c r="G13" s="21">
        <v>0</v>
      </c>
      <c r="H13" s="22">
        <v>0</v>
      </c>
      <c r="I13" s="22">
        <v>0.06</v>
      </c>
      <c r="J13" s="24"/>
      <c r="K13" s="21">
        <v>0</v>
      </c>
      <c r="L13" s="21"/>
      <c r="M13" s="21"/>
      <c r="N13" s="21"/>
      <c r="O13" s="21"/>
      <c r="P13" s="21"/>
      <c r="Q13" s="21"/>
      <c r="R13" s="29"/>
      <c r="S13" s="26" t="s">
        <v>53</v>
      </c>
      <c r="T13" s="16"/>
      <c r="U13" s="16"/>
      <c r="V13" s="16"/>
      <c r="W13" s="16" t="s">
        <v>54</v>
      </c>
      <c r="X13" s="30" t="s">
        <v>55</v>
      </c>
      <c r="Y13" s="16"/>
      <c r="Z13" s="16"/>
      <c r="AA13" s="16"/>
      <c r="AB13" s="16"/>
      <c r="AC13" s="16"/>
    </row>
    <row r="14" spans="1:29" ht="49.5" customHeight="1">
      <c r="A14" s="16"/>
      <c r="B14" s="17"/>
      <c r="C14" s="18" t="s">
        <v>56</v>
      </c>
      <c r="D14" s="19" t="s">
        <v>57</v>
      </c>
      <c r="E14" s="20" t="s">
        <v>58</v>
      </c>
      <c r="F14" s="21">
        <v>0</v>
      </c>
      <c r="G14" s="21">
        <v>0</v>
      </c>
      <c r="H14" s="22">
        <v>0</v>
      </c>
      <c r="I14" s="22">
        <v>0.06</v>
      </c>
      <c r="J14" s="24">
        <v>2022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/>
      <c r="Q14" s="21"/>
      <c r="R14" s="29"/>
      <c r="S14" s="26" t="s">
        <v>59</v>
      </c>
      <c r="T14" s="16"/>
      <c r="U14" s="16"/>
      <c r="V14" s="16"/>
      <c r="W14" s="16" t="s">
        <v>60</v>
      </c>
      <c r="X14" s="30" t="s">
        <v>61</v>
      </c>
      <c r="Y14" s="16"/>
      <c r="Z14" s="16"/>
      <c r="AA14" s="16"/>
      <c r="AB14" s="16"/>
      <c r="AC14" s="16"/>
    </row>
    <row r="15" spans="1:29" ht="49.5" customHeight="1">
      <c r="A15" s="16"/>
      <c r="B15" s="17"/>
      <c r="C15" s="18" t="s">
        <v>62</v>
      </c>
      <c r="D15" s="19" t="s">
        <v>63</v>
      </c>
      <c r="E15" s="20" t="s">
        <v>47</v>
      </c>
      <c r="F15" s="33">
        <v>15.53</v>
      </c>
      <c r="G15" s="21">
        <v>0</v>
      </c>
      <c r="H15" s="22">
        <v>0.2</v>
      </c>
      <c r="I15" s="22">
        <v>0.06</v>
      </c>
      <c r="J15" s="24">
        <v>2022</v>
      </c>
      <c r="K15" s="21">
        <v>0</v>
      </c>
      <c r="L15" s="21"/>
      <c r="M15" s="21"/>
      <c r="N15" s="21"/>
      <c r="O15" s="21"/>
      <c r="P15" s="21"/>
      <c r="Q15" s="21"/>
      <c r="R15" s="29"/>
      <c r="S15" s="26" t="s">
        <v>64</v>
      </c>
      <c r="T15" s="16"/>
      <c r="U15" s="16"/>
      <c r="V15" s="16"/>
      <c r="W15" s="16" t="s">
        <v>65</v>
      </c>
      <c r="X15" s="30" t="s">
        <v>66</v>
      </c>
      <c r="Y15" s="16"/>
      <c r="Z15" s="16"/>
      <c r="AA15" s="16"/>
      <c r="AB15" s="16"/>
      <c r="AC15" s="16"/>
    </row>
    <row r="16" spans="1:29" ht="49.5" customHeight="1">
      <c r="A16" s="16"/>
      <c r="B16" s="17"/>
      <c r="C16" s="34" t="s">
        <v>67</v>
      </c>
      <c r="D16" s="35" t="s">
        <v>68</v>
      </c>
      <c r="E16" s="36" t="s">
        <v>21</v>
      </c>
      <c r="F16" s="37">
        <v>23.93</v>
      </c>
      <c r="G16" s="37">
        <v>0</v>
      </c>
      <c r="H16" s="23">
        <v>0.2</v>
      </c>
      <c r="I16" s="23">
        <v>0.06</v>
      </c>
      <c r="J16" s="38">
        <v>2022</v>
      </c>
      <c r="K16" s="38"/>
      <c r="L16" s="37" t="s">
        <v>69</v>
      </c>
      <c r="M16" s="37" t="s">
        <v>69</v>
      </c>
      <c r="N16" s="39"/>
      <c r="O16" s="39"/>
      <c r="P16" s="39"/>
      <c r="Q16" s="39"/>
      <c r="R16" s="29"/>
      <c r="S16" s="26" t="s">
        <v>70</v>
      </c>
      <c r="T16" s="16"/>
      <c r="U16" s="16"/>
      <c r="V16" s="16"/>
      <c r="W16" s="16" t="s">
        <v>71</v>
      </c>
      <c r="X16" s="30" t="s">
        <v>72</v>
      </c>
      <c r="Y16" s="16"/>
      <c r="Z16" s="16"/>
      <c r="AA16" s="16"/>
      <c r="AB16" s="16"/>
      <c r="AC16" s="16"/>
    </row>
    <row r="17" spans="1:29" ht="49.5" customHeight="1">
      <c r="A17" s="16"/>
      <c r="B17" s="17"/>
      <c r="C17" s="34" t="s">
        <v>73</v>
      </c>
      <c r="D17" s="35" t="s">
        <v>74</v>
      </c>
      <c r="E17" s="36" t="s">
        <v>21</v>
      </c>
      <c r="F17" s="37">
        <v>23.93</v>
      </c>
      <c r="G17" s="37">
        <v>0</v>
      </c>
      <c r="H17" s="23">
        <v>0.2</v>
      </c>
      <c r="I17" s="23">
        <v>0.06</v>
      </c>
      <c r="J17" s="38">
        <v>2022</v>
      </c>
      <c r="K17" s="38"/>
      <c r="L17" s="37" t="s">
        <v>69</v>
      </c>
      <c r="M17" s="37" t="s">
        <v>69</v>
      </c>
      <c r="N17" s="39"/>
      <c r="O17" s="39"/>
      <c r="P17" s="39"/>
      <c r="Q17" s="39"/>
      <c r="R17" s="29"/>
      <c r="S17" s="26" t="s">
        <v>75</v>
      </c>
      <c r="T17" s="16"/>
      <c r="U17" s="16"/>
      <c r="V17" s="16"/>
      <c r="W17" s="16" t="s">
        <v>76</v>
      </c>
      <c r="X17" s="30" t="s">
        <v>77</v>
      </c>
      <c r="Y17" s="16"/>
      <c r="Z17" s="16"/>
      <c r="AA17" s="16"/>
      <c r="AB17" s="16"/>
      <c r="AC17" s="16"/>
    </row>
    <row r="18" spans="1:29" ht="49.5" customHeight="1">
      <c r="A18" s="16"/>
      <c r="B18" s="17"/>
      <c r="C18" s="34" t="s">
        <v>78</v>
      </c>
      <c r="D18" s="35" t="s">
        <v>79</v>
      </c>
      <c r="E18" s="36" t="s">
        <v>21</v>
      </c>
      <c r="F18" s="37">
        <v>23.93</v>
      </c>
      <c r="G18" s="37">
        <v>0</v>
      </c>
      <c r="H18" s="23">
        <v>0.2</v>
      </c>
      <c r="I18" s="23">
        <v>0.06</v>
      </c>
      <c r="J18" s="38">
        <v>2022</v>
      </c>
      <c r="K18" s="38"/>
      <c r="L18" s="37" t="s">
        <v>69</v>
      </c>
      <c r="M18" s="37" t="s">
        <v>69</v>
      </c>
      <c r="N18" s="39"/>
      <c r="O18" s="24"/>
      <c r="P18" s="24"/>
      <c r="Q18" s="24"/>
      <c r="R18" s="29"/>
      <c r="S18" s="26" t="s">
        <v>80</v>
      </c>
      <c r="T18" s="16"/>
      <c r="U18" s="16"/>
      <c r="V18" s="16"/>
      <c r="W18" s="16" t="s">
        <v>81</v>
      </c>
      <c r="X18" s="30" t="s">
        <v>82</v>
      </c>
      <c r="Y18" s="16"/>
      <c r="Z18" s="16"/>
      <c r="AA18" s="16"/>
      <c r="AB18" s="16"/>
      <c r="AC18" s="16"/>
    </row>
    <row r="19" spans="1:29" ht="49.5" customHeight="1">
      <c r="A19" s="16"/>
      <c r="B19" s="17"/>
      <c r="C19" s="34" t="s">
        <v>83</v>
      </c>
      <c r="D19" s="35" t="s">
        <v>84</v>
      </c>
      <c r="E19" s="34" t="s">
        <v>85</v>
      </c>
      <c r="F19" s="33">
        <v>20.18</v>
      </c>
      <c r="G19" s="37">
        <v>0</v>
      </c>
      <c r="H19" s="40">
        <v>0.19</v>
      </c>
      <c r="I19" s="23">
        <v>0.06</v>
      </c>
      <c r="J19" s="38">
        <v>2021</v>
      </c>
      <c r="K19" s="38"/>
      <c r="L19" s="38"/>
      <c r="M19" s="38"/>
      <c r="N19" s="38"/>
      <c r="O19" s="38"/>
      <c r="P19" s="38"/>
      <c r="Q19" s="38"/>
      <c r="R19" s="41"/>
      <c r="S19" s="42" t="s">
        <v>86</v>
      </c>
      <c r="T19" s="43"/>
      <c r="U19" s="43"/>
      <c r="V19" s="43"/>
      <c r="W19" s="43" t="s">
        <v>87</v>
      </c>
      <c r="X19" s="44" t="s">
        <v>88</v>
      </c>
      <c r="Y19" s="43"/>
      <c r="Z19" s="43"/>
      <c r="AA19" s="43"/>
      <c r="AB19" s="16"/>
      <c r="AC19" s="16"/>
    </row>
    <row r="20" spans="1:29" ht="49.5" customHeight="1">
      <c r="A20" s="16"/>
      <c r="B20" s="17"/>
      <c r="C20" s="34" t="s">
        <v>89</v>
      </c>
      <c r="D20" s="35" t="s">
        <v>90</v>
      </c>
      <c r="E20" s="34" t="s">
        <v>91</v>
      </c>
      <c r="F20" s="33">
        <v>20.18</v>
      </c>
      <c r="G20" s="37">
        <v>0</v>
      </c>
      <c r="H20" s="40">
        <v>0.19</v>
      </c>
      <c r="I20" s="23">
        <v>0.06</v>
      </c>
      <c r="J20" s="38">
        <v>2022</v>
      </c>
      <c r="K20" s="38"/>
      <c r="L20" s="38"/>
      <c r="M20" s="38"/>
      <c r="N20" s="38"/>
      <c r="O20" s="38"/>
      <c r="P20" s="38"/>
      <c r="Q20" s="38"/>
      <c r="R20" s="41"/>
      <c r="S20" s="42" t="s">
        <v>92</v>
      </c>
      <c r="T20" s="43"/>
      <c r="U20" s="43"/>
      <c r="V20" s="43"/>
      <c r="W20" s="43"/>
      <c r="X20" s="43"/>
      <c r="Y20" s="43"/>
      <c r="Z20" s="43"/>
      <c r="AA20" s="43"/>
      <c r="AB20" s="16"/>
      <c r="AC20" s="16"/>
    </row>
    <row r="21" spans="1:29" ht="49.5" customHeight="1">
      <c r="A21" s="16"/>
      <c r="B21" s="17"/>
      <c r="C21" s="34" t="s">
        <v>93</v>
      </c>
      <c r="D21" s="35" t="s">
        <v>94</v>
      </c>
      <c r="E21" s="34" t="s">
        <v>91</v>
      </c>
      <c r="F21" s="33">
        <v>20.18</v>
      </c>
      <c r="G21" s="37"/>
      <c r="H21" s="40">
        <v>0.19</v>
      </c>
      <c r="I21" s="23"/>
      <c r="J21" s="38"/>
      <c r="K21" s="38"/>
      <c r="L21" s="38"/>
      <c r="M21" s="38"/>
      <c r="N21" s="38"/>
      <c r="O21" s="38"/>
      <c r="P21" s="38"/>
      <c r="Q21" s="38"/>
      <c r="R21" s="41"/>
      <c r="S21" s="42" t="s">
        <v>95</v>
      </c>
      <c r="T21" s="43"/>
      <c r="U21" s="43"/>
      <c r="V21" s="43"/>
      <c r="W21" s="43"/>
      <c r="X21" s="43"/>
      <c r="Y21" s="43"/>
      <c r="Z21" s="43"/>
      <c r="AA21" s="43"/>
      <c r="AB21" s="16"/>
      <c r="AC21" s="16"/>
    </row>
    <row r="22" spans="1:29" ht="49.5" customHeight="1">
      <c r="A22" s="16"/>
      <c r="B22" s="17"/>
      <c r="C22" s="34" t="s">
        <v>96</v>
      </c>
      <c r="D22" s="35" t="s">
        <v>97</v>
      </c>
      <c r="E22" s="34" t="s">
        <v>91</v>
      </c>
      <c r="F22" s="33">
        <v>20.18</v>
      </c>
      <c r="G22" s="37"/>
      <c r="H22" s="40">
        <v>0.19</v>
      </c>
      <c r="I22" s="23"/>
      <c r="J22" s="38"/>
      <c r="K22" s="38"/>
      <c r="L22" s="38"/>
      <c r="M22" s="38"/>
      <c r="N22" s="38"/>
      <c r="O22" s="38"/>
      <c r="P22" s="38"/>
      <c r="Q22" s="38"/>
      <c r="R22" s="41"/>
      <c r="S22" s="42" t="s">
        <v>98</v>
      </c>
      <c r="T22" s="43"/>
      <c r="U22" s="43"/>
      <c r="V22" s="43"/>
      <c r="W22" s="43"/>
      <c r="X22" s="43"/>
      <c r="Y22" s="43"/>
      <c r="Z22" s="43"/>
      <c r="AA22" s="43"/>
      <c r="AB22" s="16"/>
      <c r="AC22" s="16"/>
    </row>
    <row r="23" spans="1:29" ht="49.5" customHeight="1">
      <c r="A23" s="16"/>
      <c r="B23" s="17"/>
      <c r="C23" s="34" t="s">
        <v>99</v>
      </c>
      <c r="D23" s="35" t="s">
        <v>100</v>
      </c>
      <c r="E23" s="34" t="s">
        <v>91</v>
      </c>
      <c r="F23" s="33">
        <v>20.18</v>
      </c>
      <c r="G23" s="37"/>
      <c r="H23" s="40">
        <v>0.19</v>
      </c>
      <c r="I23" s="37"/>
      <c r="J23" s="37"/>
      <c r="K23" s="37"/>
      <c r="L23" s="37"/>
      <c r="M23" s="37"/>
      <c r="N23" s="37"/>
      <c r="O23" s="37"/>
      <c r="P23" s="37"/>
      <c r="Q23" s="37"/>
      <c r="R23" s="41"/>
      <c r="S23" s="42" t="s">
        <v>101</v>
      </c>
      <c r="T23" s="43"/>
      <c r="U23" s="43"/>
      <c r="V23" s="43"/>
      <c r="W23" s="43"/>
      <c r="X23" s="43"/>
      <c r="Y23" s="43"/>
      <c r="Z23" s="43"/>
      <c r="AA23" s="43"/>
      <c r="AB23" s="16"/>
      <c r="AC23" s="16"/>
    </row>
    <row r="24" spans="1:29" ht="49.5" customHeight="1">
      <c r="A24" s="16"/>
      <c r="B24" s="17"/>
      <c r="C24" s="34" t="s">
        <v>102</v>
      </c>
      <c r="D24" s="35" t="s">
        <v>103</v>
      </c>
      <c r="E24" s="34" t="s">
        <v>21</v>
      </c>
      <c r="F24" s="33">
        <v>20.18</v>
      </c>
      <c r="G24" s="37"/>
      <c r="H24" s="40">
        <v>0.19</v>
      </c>
      <c r="I24" s="37"/>
      <c r="J24" s="37"/>
      <c r="K24" s="37"/>
      <c r="L24" s="37"/>
      <c r="M24" s="37"/>
      <c r="N24" s="37"/>
      <c r="O24" s="37"/>
      <c r="P24" s="37"/>
      <c r="Q24" s="37"/>
      <c r="R24" s="41"/>
      <c r="S24" s="42" t="s">
        <v>104</v>
      </c>
      <c r="T24" s="43"/>
      <c r="U24" s="43"/>
      <c r="V24" s="43"/>
      <c r="W24" s="43"/>
      <c r="X24" s="43"/>
      <c r="Y24" s="43"/>
      <c r="Z24" s="43"/>
      <c r="AA24" s="43"/>
      <c r="AB24" s="16"/>
      <c r="AC24" s="16"/>
    </row>
    <row r="25" spans="1:29" ht="49.5" customHeight="1">
      <c r="A25" s="16"/>
      <c r="B25" s="17"/>
      <c r="C25" s="17" t="s">
        <v>105</v>
      </c>
      <c r="D25" s="19" t="s">
        <v>106</v>
      </c>
      <c r="E25" s="17" t="s">
        <v>36</v>
      </c>
      <c r="F25" s="21"/>
      <c r="G25" s="21"/>
      <c r="H25" s="22"/>
      <c r="I25" s="21"/>
      <c r="J25" s="21"/>
      <c r="K25" s="21"/>
      <c r="L25" s="28" t="s">
        <v>69</v>
      </c>
      <c r="M25" s="28" t="s">
        <v>69</v>
      </c>
      <c r="N25" s="21"/>
      <c r="O25" s="45">
        <v>1713.35</v>
      </c>
      <c r="P25" s="45"/>
      <c r="Q25" s="21"/>
      <c r="R25" s="46"/>
      <c r="S25" s="47" t="s">
        <v>107</v>
      </c>
      <c r="T25" s="16"/>
      <c r="U25" s="16"/>
      <c r="V25" s="16"/>
      <c r="W25" s="16"/>
      <c r="X25" s="16"/>
      <c r="Y25" s="16"/>
      <c r="Z25" s="16"/>
      <c r="AA25" s="16"/>
      <c r="AB25" s="16"/>
      <c r="AC25" s="16"/>
    </row>
    <row r="26" spans="1:29" ht="49.5" customHeight="1">
      <c r="A26" s="16"/>
      <c r="B26" s="17"/>
      <c r="C26" s="17" t="s">
        <v>108</v>
      </c>
      <c r="D26" s="19" t="s">
        <v>109</v>
      </c>
      <c r="E26" s="17" t="s">
        <v>36</v>
      </c>
      <c r="F26" s="21"/>
      <c r="G26" s="21"/>
      <c r="H26" s="48">
        <v>0.2</v>
      </c>
      <c r="I26" s="21"/>
      <c r="J26" s="21"/>
      <c r="K26" s="21"/>
      <c r="L26" s="49" t="s">
        <v>69</v>
      </c>
      <c r="M26" s="28" t="s">
        <v>69</v>
      </c>
      <c r="N26" s="50">
        <v>305</v>
      </c>
      <c r="O26" s="45">
        <v>197.44</v>
      </c>
      <c r="P26" s="21"/>
      <c r="Q26" s="21"/>
      <c r="R26" s="46"/>
      <c r="S26" s="47" t="s">
        <v>110</v>
      </c>
      <c r="T26" s="16"/>
      <c r="U26" s="16"/>
      <c r="V26" s="16"/>
      <c r="W26" s="16"/>
      <c r="X26" s="16"/>
      <c r="Y26" s="16"/>
      <c r="Z26" s="16"/>
      <c r="AA26" s="16"/>
      <c r="AB26" s="16"/>
      <c r="AC26" s="16"/>
    </row>
    <row r="27" spans="1:29" ht="49.5" customHeight="1">
      <c r="A27" s="16"/>
      <c r="B27" s="17"/>
      <c r="C27" s="17" t="s">
        <v>111</v>
      </c>
      <c r="D27" s="19" t="s">
        <v>112</v>
      </c>
      <c r="E27" s="17" t="s">
        <v>30</v>
      </c>
      <c r="F27" s="21">
        <v>20.18</v>
      </c>
      <c r="G27" s="21"/>
      <c r="H27" s="48">
        <v>0.19</v>
      </c>
      <c r="I27" s="21"/>
      <c r="J27" s="21"/>
      <c r="K27" s="21">
        <v>17.32</v>
      </c>
      <c r="L27" s="21">
        <v>0</v>
      </c>
      <c r="M27" s="21">
        <v>0</v>
      </c>
      <c r="N27" s="21"/>
      <c r="O27" s="21"/>
      <c r="P27" s="21"/>
      <c r="Q27" s="21"/>
      <c r="R27" s="46"/>
      <c r="S27" s="47" t="s">
        <v>113</v>
      </c>
      <c r="T27" s="16"/>
      <c r="U27" s="16"/>
      <c r="V27" s="16"/>
      <c r="W27" s="16"/>
      <c r="X27" s="16"/>
      <c r="Y27" s="16"/>
      <c r="Z27" s="16"/>
      <c r="AA27" s="16"/>
      <c r="AB27" s="16"/>
      <c r="AC27" s="16"/>
    </row>
    <row r="28" spans="1:29" ht="49.5" customHeight="1">
      <c r="A28" s="16"/>
      <c r="B28" s="17"/>
      <c r="C28" s="17" t="s">
        <v>114</v>
      </c>
      <c r="D28" s="19" t="s">
        <v>115</v>
      </c>
      <c r="E28" s="17" t="s">
        <v>36</v>
      </c>
      <c r="F28" s="21"/>
      <c r="G28" s="21"/>
      <c r="H28" s="22"/>
      <c r="I28" s="21"/>
      <c r="J28" s="21"/>
      <c r="K28" s="21"/>
      <c r="L28" s="49" t="s">
        <v>69</v>
      </c>
      <c r="M28" s="28" t="s">
        <v>69</v>
      </c>
      <c r="N28" s="21"/>
      <c r="O28" s="45">
        <v>260</v>
      </c>
      <c r="P28" s="45">
        <v>79</v>
      </c>
      <c r="Q28" s="21"/>
      <c r="R28" s="46"/>
      <c r="S28" s="47" t="s">
        <v>116</v>
      </c>
      <c r="T28" s="16"/>
      <c r="U28" s="16"/>
      <c r="V28" s="16"/>
      <c r="W28" s="16"/>
      <c r="X28" s="16"/>
      <c r="Y28" s="16"/>
      <c r="Z28" s="16"/>
      <c r="AA28" s="16"/>
      <c r="AB28" s="16"/>
      <c r="AC28" s="16"/>
    </row>
    <row r="29" spans="1:29" ht="49.5" customHeight="1">
      <c r="A29" s="16"/>
      <c r="B29" s="17"/>
      <c r="C29" s="17" t="s">
        <v>117</v>
      </c>
      <c r="D29" s="19" t="s">
        <v>118</v>
      </c>
      <c r="E29" s="17" t="s">
        <v>30</v>
      </c>
      <c r="F29" s="21"/>
      <c r="G29" s="21"/>
      <c r="H29" s="51">
        <v>0</v>
      </c>
      <c r="I29" s="21"/>
      <c r="J29" s="21"/>
      <c r="K29" s="21"/>
      <c r="L29" s="21">
        <v>0</v>
      </c>
      <c r="M29" s="21">
        <v>0</v>
      </c>
      <c r="N29" s="50">
        <v>122.38</v>
      </c>
      <c r="O29" s="45">
        <v>459.52</v>
      </c>
      <c r="P29" s="21"/>
      <c r="Q29" s="21"/>
      <c r="R29" s="46"/>
      <c r="S29" s="47" t="s">
        <v>119</v>
      </c>
      <c r="T29" s="16"/>
      <c r="U29" s="16"/>
      <c r="V29" s="16"/>
      <c r="W29" s="16"/>
      <c r="X29" s="16"/>
      <c r="Y29" s="16"/>
      <c r="Z29" s="16"/>
      <c r="AA29" s="16"/>
      <c r="AB29" s="16"/>
      <c r="AC29" s="16"/>
    </row>
    <row r="30" spans="1:29" ht="49.5" customHeight="1">
      <c r="A30" s="16"/>
      <c r="B30" s="17"/>
      <c r="C30" s="17" t="s">
        <v>62</v>
      </c>
      <c r="D30" s="52" t="s">
        <v>120</v>
      </c>
      <c r="E30" s="17" t="s">
        <v>121</v>
      </c>
      <c r="F30" s="28">
        <v>15.53</v>
      </c>
      <c r="G30" s="21">
        <v>0</v>
      </c>
      <c r="H30" s="48">
        <v>0.2</v>
      </c>
      <c r="I30" s="22">
        <v>0.06</v>
      </c>
      <c r="J30" s="24">
        <v>2022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/>
      <c r="Q30" s="21"/>
      <c r="R30" s="46"/>
      <c r="S30" s="47" t="s">
        <v>122</v>
      </c>
      <c r="T30" s="16"/>
      <c r="U30" s="16"/>
      <c r="V30" s="16"/>
      <c r="W30" s="16"/>
      <c r="X30" s="16"/>
      <c r="Y30" s="16"/>
      <c r="Z30" s="16"/>
      <c r="AA30" s="16"/>
      <c r="AB30" s="16"/>
      <c r="AC30" s="16"/>
    </row>
    <row r="31" spans="1:29" ht="49.5" customHeight="1">
      <c r="A31" s="53"/>
      <c r="B31" s="54"/>
      <c r="C31" s="55" t="s">
        <v>123</v>
      </c>
      <c r="D31" s="56" t="s">
        <v>124</v>
      </c>
      <c r="E31" s="55" t="s">
        <v>125</v>
      </c>
      <c r="F31" s="57">
        <v>0</v>
      </c>
      <c r="G31" s="57">
        <v>0</v>
      </c>
      <c r="H31" s="58">
        <v>0.2</v>
      </c>
      <c r="I31" s="59">
        <v>0.06</v>
      </c>
      <c r="J31" s="60">
        <v>2022</v>
      </c>
      <c r="K31" s="61"/>
      <c r="L31" s="49" t="s">
        <v>69</v>
      </c>
      <c r="M31" s="28" t="s">
        <v>69</v>
      </c>
      <c r="N31" s="62">
        <v>402.56</v>
      </c>
      <c r="O31" s="61">
        <f>2133.73*0.8</f>
        <v>1706.9840000000002</v>
      </c>
      <c r="P31" s="57">
        <v>0</v>
      </c>
      <c r="Q31" s="61"/>
      <c r="R31" s="63"/>
      <c r="S31" s="64" t="s">
        <v>126</v>
      </c>
      <c r="T31" s="53"/>
      <c r="U31" s="53"/>
      <c r="V31" s="53"/>
      <c r="W31" s="53"/>
      <c r="X31" s="53"/>
      <c r="Y31" s="53"/>
      <c r="Z31" s="53"/>
      <c r="AA31" s="53"/>
      <c r="AB31" s="53"/>
      <c r="AC31" s="53"/>
    </row>
    <row r="32" spans="1:29" ht="49.5" customHeight="1">
      <c r="A32" s="16"/>
      <c r="B32" s="17"/>
      <c r="C32" s="65" t="s">
        <v>127</v>
      </c>
      <c r="D32" s="65" t="s">
        <v>128</v>
      </c>
      <c r="E32" s="65">
        <v>0</v>
      </c>
      <c r="F32" s="45">
        <v>0</v>
      </c>
      <c r="G32" s="45">
        <v>0</v>
      </c>
      <c r="H32" s="66">
        <v>0</v>
      </c>
      <c r="I32" s="45">
        <v>0</v>
      </c>
      <c r="J32" s="45">
        <v>0</v>
      </c>
      <c r="K32" s="45">
        <v>0</v>
      </c>
      <c r="L32" s="45" t="s">
        <v>129</v>
      </c>
      <c r="M32" s="45" t="s">
        <v>129</v>
      </c>
      <c r="N32" s="45">
        <v>0</v>
      </c>
      <c r="O32" s="45">
        <v>0</v>
      </c>
      <c r="P32" s="45">
        <v>0</v>
      </c>
      <c r="Q32" s="21"/>
      <c r="R32" s="29"/>
      <c r="S32" s="26" t="s">
        <v>130</v>
      </c>
      <c r="T32" s="16"/>
      <c r="U32" s="16"/>
      <c r="V32" s="16"/>
      <c r="W32" s="16"/>
      <c r="X32" s="16"/>
      <c r="Y32" s="16"/>
      <c r="Z32" s="16"/>
      <c r="AA32" s="16"/>
      <c r="AB32" s="16"/>
      <c r="AC32" s="16"/>
    </row>
    <row r="33" spans="1:29" ht="49.5" customHeight="1">
      <c r="A33" s="16"/>
      <c r="B33" s="17"/>
      <c r="C33" s="17"/>
      <c r="D33" s="17"/>
      <c r="E33" s="17"/>
      <c r="F33" s="16"/>
      <c r="G33" s="16"/>
      <c r="H33" s="67"/>
      <c r="I33" s="16"/>
      <c r="J33" s="16"/>
      <c r="K33" s="16"/>
      <c r="L33" s="16"/>
      <c r="M33" s="16"/>
      <c r="N33" s="16"/>
      <c r="O33" s="16"/>
      <c r="P33" s="16"/>
      <c r="Q33" s="16"/>
      <c r="R33" s="29"/>
      <c r="S33" s="26" t="s">
        <v>131</v>
      </c>
      <c r="T33" s="16"/>
      <c r="U33" s="16"/>
      <c r="V33" s="16"/>
      <c r="W33" s="16"/>
      <c r="X33" s="16"/>
      <c r="Y33" s="16"/>
      <c r="Z33" s="16"/>
      <c r="AA33" s="16"/>
      <c r="AB33" s="16"/>
      <c r="AC33" s="16"/>
    </row>
    <row r="34" spans="1:29" ht="49.5" customHeight="1">
      <c r="A34" s="16"/>
      <c r="B34" s="17"/>
      <c r="C34" s="17"/>
      <c r="D34" s="17"/>
      <c r="E34" s="17"/>
      <c r="F34" s="16"/>
      <c r="G34" s="16"/>
      <c r="H34" s="67"/>
      <c r="I34" s="16"/>
      <c r="J34" s="16"/>
      <c r="K34" s="16"/>
      <c r="L34" s="16"/>
      <c r="M34" s="16"/>
      <c r="N34" s="16"/>
      <c r="O34" s="16"/>
      <c r="P34" s="16"/>
      <c r="Q34" s="16"/>
      <c r="R34" s="29"/>
      <c r="S34" s="26" t="s">
        <v>132</v>
      </c>
      <c r="T34" s="16"/>
      <c r="U34" s="16"/>
      <c r="V34" s="16"/>
      <c r="W34" s="16"/>
      <c r="X34" s="16"/>
      <c r="Y34" s="16"/>
      <c r="Z34" s="16"/>
      <c r="AA34" s="16"/>
      <c r="AB34" s="16"/>
      <c r="AC34" s="16"/>
    </row>
    <row r="35" spans="1:29" ht="49.5" customHeight="1">
      <c r="A35" s="16"/>
      <c r="B35" s="16"/>
      <c r="C35" s="16"/>
      <c r="D35" s="16"/>
      <c r="E35" s="16"/>
      <c r="F35" s="16"/>
      <c r="G35" s="16"/>
      <c r="H35" s="67"/>
      <c r="I35" s="16"/>
      <c r="J35" s="16"/>
      <c r="K35" s="16"/>
      <c r="L35" s="16"/>
      <c r="M35" s="16"/>
      <c r="N35" s="16"/>
      <c r="O35" s="16"/>
      <c r="P35" s="16"/>
      <c r="Q35" s="16"/>
      <c r="R35" s="29"/>
      <c r="S35" s="68" t="s">
        <v>133</v>
      </c>
      <c r="T35" s="16"/>
      <c r="U35" s="16"/>
      <c r="V35" s="16"/>
      <c r="W35" s="16"/>
      <c r="X35" s="16"/>
      <c r="Y35" s="16"/>
      <c r="Z35" s="16"/>
      <c r="AA35" s="16"/>
      <c r="AB35" s="16"/>
      <c r="AC35" s="16"/>
    </row>
    <row r="36" spans="1:29" ht="49.5" customHeight="1">
      <c r="A36" s="16"/>
      <c r="B36" s="16"/>
      <c r="C36" s="16"/>
      <c r="D36" s="16"/>
      <c r="E36" s="16"/>
      <c r="F36" s="16"/>
      <c r="G36" s="16"/>
      <c r="H36" s="67"/>
      <c r="I36" s="16"/>
      <c r="J36" s="16"/>
      <c r="K36" s="16"/>
      <c r="L36" s="16"/>
      <c r="M36" s="16"/>
      <c r="N36" s="16"/>
      <c r="O36" s="16"/>
      <c r="P36" s="16"/>
      <c r="Q36" s="16"/>
      <c r="R36" s="29"/>
      <c r="S36" s="68" t="s">
        <v>134</v>
      </c>
      <c r="T36" s="16"/>
      <c r="U36" s="16"/>
      <c r="V36" s="16"/>
      <c r="W36" s="16"/>
      <c r="X36" s="16"/>
      <c r="Y36" s="16"/>
      <c r="Z36" s="16"/>
      <c r="AA36" s="16"/>
      <c r="AB36" s="16"/>
      <c r="AC36" s="16"/>
    </row>
    <row r="37" spans="1:29" ht="49.5" customHeight="1">
      <c r="A37" s="16"/>
      <c r="B37" s="16"/>
      <c r="C37" s="16"/>
      <c r="D37" s="16"/>
      <c r="E37" s="16"/>
      <c r="F37" s="16"/>
      <c r="G37" s="16"/>
      <c r="H37" s="67"/>
      <c r="I37" s="16"/>
      <c r="J37" s="16"/>
      <c r="K37" s="16"/>
      <c r="L37" s="16"/>
      <c r="M37" s="16"/>
      <c r="N37" s="16"/>
      <c r="O37" s="16"/>
      <c r="P37" s="16"/>
      <c r="Q37" s="16"/>
      <c r="R37" s="69"/>
      <c r="S37" s="68" t="s">
        <v>135</v>
      </c>
      <c r="T37" s="16"/>
      <c r="U37" s="16"/>
      <c r="V37" s="16"/>
      <c r="W37" s="16"/>
      <c r="X37" s="16"/>
      <c r="Y37" s="16"/>
      <c r="Z37" s="16"/>
      <c r="AA37" s="16"/>
      <c r="AB37" s="16"/>
      <c r="AC37" s="16"/>
    </row>
    <row r="38" spans="1:29" ht="49.5" customHeight="1">
      <c r="A38" s="16"/>
      <c r="B38" s="16"/>
      <c r="C38" s="16"/>
      <c r="D38" s="16"/>
      <c r="E38" s="16"/>
      <c r="F38" s="16"/>
      <c r="G38" s="16"/>
      <c r="H38" s="67"/>
      <c r="I38" s="16"/>
      <c r="J38" s="16"/>
      <c r="K38" s="16"/>
      <c r="L38" s="16"/>
      <c r="M38" s="16"/>
      <c r="N38" s="16"/>
      <c r="O38" s="16"/>
      <c r="P38" s="16"/>
      <c r="Q38" s="16"/>
      <c r="R38" s="69"/>
      <c r="S38" s="68" t="s">
        <v>136</v>
      </c>
      <c r="T38" s="16"/>
      <c r="U38" s="16"/>
      <c r="V38" s="16"/>
      <c r="W38" s="16"/>
      <c r="X38" s="16"/>
      <c r="Y38" s="16"/>
      <c r="Z38" s="16"/>
      <c r="AA38" s="16"/>
      <c r="AB38" s="16"/>
      <c r="AC38" s="16"/>
    </row>
    <row r="39" spans="1:29" ht="49.5" customHeight="1">
      <c r="A39" s="16"/>
      <c r="B39" s="16"/>
      <c r="C39" s="16"/>
      <c r="D39" s="16"/>
      <c r="E39" s="16"/>
      <c r="F39" s="16"/>
      <c r="G39" s="16"/>
      <c r="H39" s="67"/>
      <c r="I39" s="16"/>
      <c r="J39" s="16"/>
      <c r="K39" s="16"/>
      <c r="L39" s="16"/>
      <c r="M39" s="16"/>
      <c r="N39" s="16"/>
      <c r="O39" s="16"/>
      <c r="P39" s="16"/>
      <c r="Q39" s="16"/>
      <c r="R39" s="69"/>
      <c r="S39" s="68" t="s">
        <v>137</v>
      </c>
      <c r="T39" s="16"/>
      <c r="U39" s="16"/>
      <c r="V39" s="16"/>
      <c r="W39" s="16"/>
      <c r="X39" s="16"/>
      <c r="Y39" s="16"/>
      <c r="Z39" s="16"/>
      <c r="AA39" s="16"/>
      <c r="AB39" s="16"/>
      <c r="AC39" s="16"/>
    </row>
    <row r="40" spans="1:29" ht="49.5" customHeight="1">
      <c r="A40" s="16"/>
      <c r="B40" s="16"/>
      <c r="C40" s="16"/>
      <c r="D40" s="16"/>
      <c r="E40" s="16"/>
      <c r="F40" s="16"/>
      <c r="G40" s="16"/>
      <c r="H40" s="67"/>
      <c r="I40" s="16"/>
      <c r="J40" s="16"/>
      <c r="K40" s="16"/>
      <c r="L40" s="16"/>
      <c r="M40" s="16"/>
      <c r="N40" s="16"/>
      <c r="O40" s="16"/>
      <c r="P40" s="16"/>
      <c r="Q40" s="16"/>
      <c r="R40" s="69"/>
      <c r="S40" s="68" t="s">
        <v>138</v>
      </c>
      <c r="T40" s="16"/>
      <c r="U40" s="16"/>
      <c r="V40" s="16"/>
      <c r="W40" s="16"/>
      <c r="X40" s="16"/>
      <c r="Y40" s="16"/>
      <c r="Z40" s="16"/>
      <c r="AA40" s="16"/>
      <c r="AB40" s="16"/>
      <c r="AC40" s="16"/>
    </row>
    <row r="41" spans="1:29" ht="49.5" customHeight="1">
      <c r="A41" s="16"/>
      <c r="B41" s="16"/>
      <c r="C41" s="16"/>
      <c r="D41" s="16"/>
      <c r="E41" s="16"/>
      <c r="F41" s="16"/>
      <c r="G41" s="16"/>
      <c r="H41" s="67"/>
      <c r="I41" s="16"/>
      <c r="J41" s="16"/>
      <c r="K41" s="16"/>
      <c r="L41" s="16"/>
      <c r="M41" s="16"/>
      <c r="N41" s="16"/>
      <c r="O41" s="16"/>
      <c r="P41" s="16"/>
      <c r="Q41" s="16"/>
      <c r="R41" s="69"/>
      <c r="S41" s="68" t="s">
        <v>139</v>
      </c>
      <c r="T41" s="16"/>
      <c r="U41" s="16"/>
      <c r="V41" s="16"/>
      <c r="W41" s="16"/>
      <c r="X41" s="16"/>
      <c r="Y41" s="16"/>
      <c r="Z41" s="16"/>
      <c r="AA41" s="16"/>
      <c r="AB41" s="16"/>
      <c r="AC41" s="16"/>
    </row>
    <row r="42" spans="1:29" ht="49.5" customHeight="1">
      <c r="A42" s="16"/>
      <c r="B42" s="16"/>
      <c r="C42" s="16"/>
      <c r="D42" s="16"/>
      <c r="E42" s="16"/>
      <c r="F42" s="16"/>
      <c r="G42" s="16"/>
      <c r="H42" s="67"/>
      <c r="I42" s="16"/>
      <c r="J42" s="16"/>
      <c r="K42" s="16"/>
      <c r="L42" s="16"/>
      <c r="M42" s="16"/>
      <c r="N42" s="16"/>
      <c r="O42" s="16"/>
      <c r="P42" s="16"/>
      <c r="Q42" s="16"/>
      <c r="R42" s="69"/>
      <c r="S42" s="68" t="s">
        <v>140</v>
      </c>
      <c r="T42" s="16"/>
      <c r="U42" s="16"/>
      <c r="V42" s="16"/>
      <c r="W42" s="16"/>
      <c r="X42" s="16"/>
      <c r="Y42" s="16"/>
      <c r="Z42" s="16"/>
      <c r="AA42" s="16"/>
      <c r="AB42" s="16"/>
      <c r="AC42" s="16"/>
    </row>
    <row r="43" spans="1:29" ht="49.5" customHeight="1">
      <c r="A43" s="16"/>
      <c r="B43" s="16"/>
      <c r="C43" s="16"/>
      <c r="D43" s="16"/>
      <c r="E43" s="16"/>
      <c r="F43" s="16"/>
      <c r="G43" s="16"/>
      <c r="H43" s="67"/>
      <c r="I43" s="16"/>
      <c r="J43" s="16"/>
      <c r="K43" s="16"/>
      <c r="L43" s="16"/>
      <c r="M43" s="16"/>
      <c r="N43" s="16"/>
      <c r="O43" s="16"/>
      <c r="P43" s="16"/>
      <c r="Q43" s="16"/>
      <c r="R43" s="69"/>
      <c r="S43" s="68" t="s">
        <v>141</v>
      </c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ht="49.5" customHeight="1">
      <c r="A44" s="16"/>
      <c r="B44" s="16"/>
      <c r="C44" s="16"/>
      <c r="D44" s="16"/>
      <c r="E44" s="16"/>
      <c r="F44" s="16"/>
      <c r="G44" s="16"/>
      <c r="H44" s="67"/>
      <c r="I44" s="16"/>
      <c r="J44" s="16"/>
      <c r="K44" s="16"/>
      <c r="L44" s="16"/>
      <c r="M44" s="16"/>
      <c r="N44" s="16"/>
      <c r="O44" s="16"/>
      <c r="P44" s="16"/>
      <c r="Q44" s="16"/>
      <c r="R44" s="69"/>
      <c r="S44" s="68" t="s">
        <v>142</v>
      </c>
      <c r="T44" s="16"/>
      <c r="U44" s="16"/>
      <c r="V44" s="16"/>
      <c r="W44" s="16"/>
      <c r="X44" s="16"/>
      <c r="Y44" s="16"/>
      <c r="Z44" s="16"/>
      <c r="AA44" s="16"/>
      <c r="AB44" s="16"/>
      <c r="AC44" s="16"/>
    </row>
    <row r="45" spans="1:29" ht="49.5" customHeight="1">
      <c r="A45" s="16"/>
      <c r="B45" s="16"/>
      <c r="C45" s="16"/>
      <c r="D45" s="16"/>
      <c r="E45" s="16"/>
      <c r="F45" s="16"/>
      <c r="G45" s="16"/>
      <c r="H45" s="67"/>
      <c r="I45" s="16"/>
      <c r="J45" s="16"/>
      <c r="K45" s="16"/>
      <c r="L45" s="16"/>
      <c r="M45" s="16"/>
      <c r="N45" s="16"/>
      <c r="O45" s="16"/>
      <c r="P45" s="16"/>
      <c r="Q45" s="16"/>
      <c r="R45" s="69"/>
      <c r="S45" s="68" t="s">
        <v>143</v>
      </c>
      <c r="T45" s="16"/>
      <c r="U45" s="16"/>
      <c r="V45" s="16"/>
      <c r="W45" s="16"/>
      <c r="X45" s="16"/>
      <c r="Y45" s="16"/>
      <c r="Z45" s="16"/>
      <c r="AA45" s="16"/>
      <c r="AB45" s="16"/>
      <c r="AC45" s="16"/>
    </row>
    <row r="46" spans="1:29" ht="49.5" customHeight="1">
      <c r="A46" s="16"/>
      <c r="B46" s="16"/>
      <c r="C46" s="16"/>
      <c r="D46" s="16"/>
      <c r="E46" s="16"/>
      <c r="F46" s="16"/>
      <c r="G46" s="16"/>
      <c r="H46" s="67"/>
      <c r="I46" s="16"/>
      <c r="J46" s="16"/>
      <c r="K46" s="16"/>
      <c r="L46" s="16"/>
      <c r="M46" s="16"/>
      <c r="N46" s="16"/>
      <c r="O46" s="16"/>
      <c r="P46" s="16"/>
      <c r="Q46" s="16"/>
      <c r="R46" s="69"/>
      <c r="S46" s="68" t="s">
        <v>144</v>
      </c>
      <c r="T46" s="16"/>
      <c r="U46" s="16"/>
      <c r="V46" s="16"/>
      <c r="W46" s="16"/>
      <c r="X46" s="16"/>
      <c r="Y46" s="16"/>
      <c r="Z46" s="16"/>
      <c r="AA46" s="16"/>
      <c r="AB46" s="16"/>
      <c r="AC46" s="16"/>
    </row>
    <row r="47" spans="1:29" ht="49.5" customHeight="1">
      <c r="A47" s="16"/>
      <c r="B47" s="16"/>
      <c r="C47" s="16"/>
      <c r="D47" s="16"/>
      <c r="E47" s="16"/>
      <c r="F47" s="16"/>
      <c r="G47" s="16"/>
      <c r="H47" s="67"/>
      <c r="I47" s="16"/>
      <c r="J47" s="16"/>
      <c r="K47" s="16"/>
      <c r="L47" s="16"/>
      <c r="M47" s="16"/>
      <c r="N47" s="16"/>
      <c r="O47" s="16"/>
      <c r="P47" s="16"/>
      <c r="Q47" s="16"/>
      <c r="R47" s="69"/>
      <c r="S47" s="68" t="s">
        <v>145</v>
      </c>
      <c r="T47" s="16"/>
      <c r="U47" s="16"/>
      <c r="V47" s="16"/>
      <c r="W47" s="16"/>
      <c r="X47" s="16"/>
      <c r="Y47" s="16"/>
      <c r="Z47" s="16"/>
      <c r="AA47" s="16"/>
      <c r="AB47" s="16"/>
      <c r="AC47" s="16"/>
    </row>
    <row r="48" spans="1:29" ht="49.5" customHeight="1">
      <c r="A48" s="16"/>
      <c r="B48" s="16"/>
      <c r="C48" s="16"/>
      <c r="D48" s="16"/>
      <c r="E48" s="16"/>
      <c r="F48" s="16"/>
      <c r="G48" s="16"/>
      <c r="H48" s="67"/>
      <c r="I48" s="16"/>
      <c r="J48" s="16"/>
      <c r="K48" s="16"/>
      <c r="L48" s="16"/>
      <c r="M48" s="16"/>
      <c r="N48" s="16"/>
      <c r="O48" s="16"/>
      <c r="P48" s="16"/>
      <c r="Q48" s="16"/>
      <c r="R48" s="69"/>
      <c r="S48" s="68" t="s">
        <v>146</v>
      </c>
      <c r="T48" s="16"/>
      <c r="U48" s="16"/>
      <c r="V48" s="16"/>
      <c r="W48" s="16"/>
      <c r="X48" s="16"/>
      <c r="Y48" s="16"/>
      <c r="Z48" s="16"/>
      <c r="AA48" s="16"/>
      <c r="AB48" s="16"/>
      <c r="AC48" s="16"/>
    </row>
    <row r="49" spans="1:29" ht="49.5" customHeight="1">
      <c r="A49" s="16"/>
      <c r="B49" s="16"/>
      <c r="C49" s="16"/>
      <c r="D49" s="16"/>
      <c r="E49" s="16"/>
      <c r="F49" s="16"/>
      <c r="G49" s="16"/>
      <c r="H49" s="67"/>
      <c r="I49" s="16"/>
      <c r="J49" s="16"/>
      <c r="K49" s="16"/>
      <c r="L49" s="16"/>
      <c r="M49" s="16"/>
      <c r="N49" s="16"/>
      <c r="O49" s="16"/>
      <c r="P49" s="16"/>
      <c r="Q49" s="16"/>
      <c r="R49" s="69"/>
      <c r="S49" s="68" t="s">
        <v>147</v>
      </c>
      <c r="T49" s="16"/>
      <c r="U49" s="16"/>
      <c r="V49" s="16"/>
      <c r="W49" s="16"/>
      <c r="X49" s="16"/>
      <c r="Y49" s="16"/>
      <c r="Z49" s="16"/>
      <c r="AA49" s="16"/>
      <c r="AB49" s="16"/>
      <c r="AC49" s="16"/>
    </row>
    <row r="50" spans="1:29" ht="49.5" customHeight="1">
      <c r="B50" s="1"/>
      <c r="C50" s="1"/>
      <c r="D50" s="1"/>
      <c r="E50" s="1"/>
      <c r="F50" s="1"/>
      <c r="G50" s="1"/>
      <c r="H50" s="2"/>
      <c r="I50" s="1"/>
      <c r="J50" s="1"/>
      <c r="K50" s="1"/>
      <c r="L50" s="1"/>
      <c r="M50" s="1"/>
      <c r="N50" s="1"/>
      <c r="O50" s="1"/>
      <c r="P50" s="1"/>
      <c r="Q50" s="1"/>
      <c r="R50" s="70"/>
      <c r="S50" s="3"/>
    </row>
    <row r="51" spans="1:29" ht="49.5" customHeight="1">
      <c r="B51" s="1"/>
      <c r="C51" s="1"/>
      <c r="D51" s="1"/>
      <c r="E51" s="1"/>
      <c r="F51" s="1"/>
      <c r="G51" s="1"/>
      <c r="H51" s="2"/>
      <c r="I51" s="1"/>
      <c r="J51" s="1"/>
      <c r="K51" s="1"/>
      <c r="L51" s="1"/>
      <c r="M51" s="1"/>
      <c r="N51" s="1"/>
      <c r="O51" s="1"/>
      <c r="P51" s="1"/>
      <c r="Q51" s="1"/>
      <c r="R51" s="3"/>
      <c r="S51" s="3"/>
    </row>
    <row r="52" spans="1:29" ht="49.5" customHeight="1">
      <c r="B52" s="1"/>
      <c r="C52" s="1"/>
      <c r="D52" s="1"/>
      <c r="E52" s="1"/>
      <c r="F52" s="1"/>
      <c r="G52" s="1"/>
      <c r="H52" s="2"/>
      <c r="I52" s="1"/>
      <c r="J52" s="1"/>
      <c r="K52" s="1"/>
      <c r="L52" s="1"/>
      <c r="M52" s="1"/>
      <c r="N52" s="1"/>
      <c r="O52" s="1"/>
      <c r="P52" s="1"/>
      <c r="Q52" s="1"/>
      <c r="R52" s="3"/>
      <c r="S52" s="3"/>
    </row>
    <row r="53" spans="1:29" ht="49.5" customHeight="1">
      <c r="B53" s="1"/>
      <c r="C53" s="1"/>
      <c r="D53" s="1"/>
      <c r="E53" s="1"/>
      <c r="F53" s="1"/>
      <c r="G53" s="1"/>
      <c r="H53" s="2"/>
      <c r="I53" s="1"/>
      <c r="J53" s="1"/>
      <c r="K53" s="1"/>
      <c r="L53" s="1"/>
      <c r="M53" s="1"/>
      <c r="N53" s="1"/>
      <c r="O53" s="1"/>
      <c r="P53" s="1"/>
      <c r="Q53" s="1"/>
      <c r="R53" s="3"/>
      <c r="S53" s="3"/>
    </row>
    <row r="54" spans="1:29" ht="49.5" customHeight="1">
      <c r="B54" s="1"/>
      <c r="C54" s="1"/>
      <c r="D54" s="1"/>
      <c r="E54" s="1"/>
      <c r="F54" s="1"/>
      <c r="G54" s="1"/>
      <c r="H54" s="2"/>
      <c r="I54" s="1"/>
      <c r="J54" s="1"/>
      <c r="K54" s="1"/>
      <c r="L54" s="1"/>
      <c r="M54" s="1"/>
      <c r="N54" s="1"/>
      <c r="O54" s="1"/>
      <c r="P54" s="1"/>
      <c r="Q54" s="1"/>
      <c r="R54" s="3"/>
      <c r="S54" s="3"/>
    </row>
    <row r="55" spans="1:29" ht="49.5" customHeight="1">
      <c r="B55" s="1"/>
      <c r="C55" s="1"/>
      <c r="D55" s="1"/>
      <c r="E55" s="1"/>
      <c r="F55" s="1"/>
      <c r="G55" s="1"/>
      <c r="H55" s="2"/>
      <c r="I55" s="1"/>
      <c r="J55" s="1"/>
      <c r="K55" s="1"/>
      <c r="L55" s="1"/>
      <c r="M55" s="1"/>
      <c r="N55" s="1"/>
      <c r="O55" s="1"/>
      <c r="P55" s="1"/>
      <c r="Q55" s="1"/>
      <c r="R55" s="3"/>
      <c r="S55" s="3"/>
    </row>
    <row r="56" spans="1:29" ht="49.5" customHeight="1">
      <c r="B56" s="1"/>
      <c r="C56" s="1"/>
      <c r="D56" s="1"/>
      <c r="E56" s="1"/>
      <c r="F56" s="1"/>
      <c r="G56" s="1"/>
      <c r="H56" s="2"/>
      <c r="I56" s="1"/>
      <c r="J56" s="1"/>
      <c r="K56" s="1"/>
      <c r="L56" s="1"/>
      <c r="M56" s="1"/>
      <c r="N56" s="1"/>
      <c r="O56" s="1"/>
      <c r="P56" s="1"/>
      <c r="Q56" s="1"/>
      <c r="R56" s="3"/>
      <c r="S56" s="3"/>
    </row>
    <row r="57" spans="1:29" ht="49.5" customHeight="1">
      <c r="B57" s="1"/>
      <c r="C57" s="1"/>
      <c r="D57" s="1"/>
      <c r="E57" s="1"/>
      <c r="F57" s="1"/>
      <c r="G57" s="1"/>
      <c r="H57" s="2"/>
      <c r="I57" s="1"/>
      <c r="J57" s="1"/>
      <c r="K57" s="1"/>
      <c r="L57" s="1"/>
      <c r="M57" s="1"/>
      <c r="N57" s="1"/>
      <c r="O57" s="1"/>
      <c r="P57" s="1"/>
      <c r="Q57" s="1"/>
      <c r="R57" s="3"/>
      <c r="S57" s="3"/>
    </row>
    <row r="58" spans="1:29" ht="49.5" customHeight="1">
      <c r="B58" s="1"/>
      <c r="C58" s="1"/>
      <c r="D58" s="1"/>
      <c r="E58" s="1"/>
      <c r="F58" s="1"/>
      <c r="G58" s="1"/>
      <c r="H58" s="2"/>
      <c r="I58" s="1"/>
      <c r="J58" s="1"/>
      <c r="K58" s="1"/>
      <c r="L58" s="1"/>
      <c r="M58" s="1"/>
      <c r="N58" s="1"/>
      <c r="O58" s="1"/>
      <c r="P58" s="1"/>
      <c r="Q58" s="1"/>
      <c r="R58" s="3"/>
      <c r="S58" s="3"/>
    </row>
    <row r="59" spans="1:29" ht="49.5" customHeight="1">
      <c r="B59" s="1"/>
      <c r="C59" s="1"/>
      <c r="D59" s="1"/>
      <c r="E59" s="1"/>
      <c r="F59" s="1"/>
      <c r="G59" s="1"/>
      <c r="H59" s="2"/>
      <c r="I59" s="1"/>
      <c r="J59" s="1"/>
      <c r="K59" s="1"/>
      <c r="L59" s="1"/>
      <c r="M59" s="1"/>
      <c r="N59" s="1"/>
      <c r="O59" s="1"/>
      <c r="P59" s="1"/>
      <c r="Q59" s="1"/>
      <c r="R59" s="3"/>
      <c r="S59" s="3"/>
    </row>
    <row r="60" spans="1:29" ht="49.5" customHeight="1">
      <c r="B60" s="1"/>
      <c r="C60" s="1"/>
      <c r="D60" s="1"/>
      <c r="E60" s="1"/>
      <c r="F60" s="1"/>
      <c r="G60" s="1"/>
      <c r="H60" s="2"/>
      <c r="I60" s="1"/>
      <c r="J60" s="1"/>
      <c r="K60" s="1"/>
      <c r="L60" s="1"/>
      <c r="M60" s="1"/>
      <c r="N60" s="1"/>
      <c r="O60" s="1"/>
      <c r="P60" s="1"/>
      <c r="Q60" s="1"/>
      <c r="R60" s="3"/>
      <c r="S60" s="3"/>
    </row>
    <row r="61" spans="1:29" ht="49.5" customHeight="1">
      <c r="B61" s="1"/>
      <c r="C61" s="1"/>
      <c r="D61" s="1"/>
      <c r="E61" s="1"/>
      <c r="F61" s="1"/>
      <c r="G61" s="1"/>
      <c r="H61" s="2"/>
      <c r="I61" s="1"/>
      <c r="J61" s="1"/>
      <c r="K61" s="1"/>
      <c r="L61" s="1"/>
      <c r="M61" s="1"/>
      <c r="N61" s="1"/>
      <c r="O61" s="1"/>
      <c r="P61" s="1"/>
      <c r="Q61" s="1"/>
      <c r="R61" s="3"/>
      <c r="S61" s="3"/>
    </row>
    <row r="62" spans="1:29" ht="49.5" customHeight="1">
      <c r="B62" s="1"/>
      <c r="C62" s="1"/>
      <c r="D62" s="1"/>
      <c r="E62" s="1"/>
      <c r="F62" s="1"/>
      <c r="G62" s="1"/>
      <c r="H62" s="2"/>
      <c r="I62" s="1"/>
      <c r="J62" s="1"/>
      <c r="K62" s="1"/>
      <c r="L62" s="1"/>
      <c r="M62" s="1"/>
      <c r="N62" s="1"/>
      <c r="O62" s="1"/>
      <c r="P62" s="1"/>
      <c r="Q62" s="1"/>
      <c r="R62" s="3"/>
      <c r="S62" s="3"/>
    </row>
    <row r="63" spans="1:29" ht="49.5" customHeight="1">
      <c r="B63" s="1"/>
      <c r="C63" s="1"/>
      <c r="D63" s="1"/>
      <c r="E63" s="1"/>
      <c r="F63" s="1"/>
      <c r="G63" s="1"/>
      <c r="H63" s="2"/>
      <c r="I63" s="1"/>
      <c r="J63" s="1"/>
      <c r="K63" s="1"/>
      <c r="L63" s="1"/>
      <c r="M63" s="1"/>
      <c r="N63" s="1"/>
      <c r="O63" s="1"/>
      <c r="P63" s="1"/>
      <c r="Q63" s="1"/>
      <c r="R63" s="3"/>
      <c r="S63" s="3"/>
    </row>
    <row r="64" spans="1:29" ht="25.5" customHeight="1">
      <c r="B64" s="1"/>
      <c r="C64" s="1"/>
      <c r="D64" s="1"/>
      <c r="E64" s="1"/>
      <c r="F64" s="1"/>
      <c r="G64" s="1"/>
      <c r="H64" s="2"/>
      <c r="I64" s="1"/>
      <c r="J64" s="1"/>
      <c r="K64" s="1"/>
      <c r="L64" s="1"/>
      <c r="M64" s="1"/>
      <c r="N64" s="1"/>
      <c r="O64" s="1"/>
      <c r="P64" s="1"/>
      <c r="Q64" s="1"/>
      <c r="R64" s="3"/>
      <c r="S64" s="3"/>
    </row>
    <row r="65" spans="2:19" ht="25.5" customHeight="1">
      <c r="B65" s="1"/>
      <c r="C65" s="1"/>
      <c r="D65" s="1"/>
      <c r="E65" s="1"/>
      <c r="F65" s="1"/>
      <c r="G65" s="1"/>
      <c r="H65" s="2"/>
      <c r="I65" s="1"/>
      <c r="J65" s="1"/>
      <c r="K65" s="1"/>
      <c r="L65" s="1"/>
      <c r="M65" s="1"/>
      <c r="N65" s="1"/>
      <c r="O65" s="1"/>
      <c r="P65" s="1"/>
      <c r="Q65" s="1"/>
      <c r="R65" s="3"/>
      <c r="S65" s="3"/>
    </row>
    <row r="66" spans="2:19" ht="25.5" customHeight="1">
      <c r="B66" s="1"/>
      <c r="C66" s="1"/>
      <c r="D66" s="1"/>
      <c r="E66" s="1"/>
      <c r="F66" s="1"/>
      <c r="G66" s="1"/>
      <c r="H66" s="2"/>
      <c r="I66" s="1"/>
      <c r="J66" s="1"/>
      <c r="K66" s="1"/>
      <c r="L66" s="1"/>
      <c r="M66" s="1"/>
      <c r="N66" s="1"/>
      <c r="O66" s="1"/>
      <c r="P66" s="1"/>
      <c r="Q66" s="1"/>
      <c r="R66" s="3"/>
      <c r="S66" s="3"/>
    </row>
    <row r="67" spans="2:19" ht="25.5" customHeight="1">
      <c r="B67" s="1"/>
      <c r="C67" s="1"/>
      <c r="D67" s="1"/>
      <c r="E67" s="1"/>
      <c r="F67" s="1"/>
      <c r="G67" s="1"/>
      <c r="H67" s="2"/>
      <c r="I67" s="1"/>
      <c r="J67" s="1"/>
      <c r="K67" s="1"/>
      <c r="L67" s="1"/>
      <c r="M67" s="1"/>
      <c r="N67" s="1"/>
      <c r="O67" s="1"/>
      <c r="P67" s="1"/>
      <c r="Q67" s="1"/>
      <c r="R67" s="3"/>
      <c r="S67" s="3"/>
    </row>
    <row r="68" spans="2:19" ht="25.5" customHeight="1">
      <c r="B68" s="1"/>
      <c r="C68" s="1"/>
      <c r="D68" s="1"/>
      <c r="E68" s="1"/>
      <c r="F68" s="1"/>
      <c r="G68" s="1"/>
      <c r="H68" s="2"/>
      <c r="I68" s="1"/>
      <c r="J68" s="1"/>
      <c r="K68" s="1"/>
      <c r="L68" s="1"/>
      <c r="M68" s="1"/>
      <c r="N68" s="1"/>
      <c r="O68" s="1"/>
      <c r="P68" s="1"/>
      <c r="Q68" s="1"/>
      <c r="R68" s="3"/>
      <c r="S68" s="3"/>
    </row>
    <row r="69" spans="2:19" ht="25.5" customHeight="1">
      <c r="B69" s="1"/>
      <c r="C69" s="1"/>
      <c r="D69" s="1"/>
      <c r="E69" s="1"/>
      <c r="F69" s="1"/>
      <c r="G69" s="1"/>
      <c r="H69" s="2"/>
      <c r="I69" s="1"/>
      <c r="J69" s="1"/>
      <c r="K69" s="1"/>
      <c r="L69" s="1"/>
      <c r="M69" s="1"/>
      <c r="N69" s="1"/>
      <c r="O69" s="1"/>
      <c r="P69" s="1"/>
      <c r="Q69" s="1"/>
      <c r="R69" s="3"/>
      <c r="S69" s="3"/>
    </row>
    <row r="70" spans="2:19" ht="25.5" customHeight="1">
      <c r="B70" s="1"/>
      <c r="C70" s="1"/>
      <c r="D70" s="1"/>
      <c r="E70" s="1"/>
      <c r="F70" s="1"/>
      <c r="G70" s="1"/>
      <c r="H70" s="2"/>
      <c r="I70" s="1"/>
      <c r="J70" s="1"/>
      <c r="K70" s="1"/>
      <c r="L70" s="1"/>
      <c r="M70" s="1"/>
      <c r="N70" s="1"/>
      <c r="O70" s="1"/>
      <c r="P70" s="1"/>
      <c r="Q70" s="1"/>
      <c r="R70" s="3"/>
      <c r="S70" s="3"/>
    </row>
    <row r="71" spans="2:19" ht="25.5" customHeight="1">
      <c r="B71" s="1"/>
      <c r="C71" s="1"/>
      <c r="D71" s="1"/>
      <c r="E71" s="1"/>
      <c r="F71" s="1"/>
      <c r="G71" s="1"/>
      <c r="H71" s="2"/>
      <c r="I71" s="1"/>
      <c r="J71" s="1"/>
      <c r="K71" s="1"/>
      <c r="L71" s="1"/>
      <c r="M71" s="1"/>
      <c r="N71" s="1"/>
      <c r="O71" s="1"/>
      <c r="P71" s="1"/>
      <c r="Q71" s="1"/>
      <c r="R71" s="3"/>
      <c r="S71" s="3"/>
    </row>
    <row r="72" spans="2:19" ht="25.5" customHeight="1">
      <c r="B72" s="1"/>
      <c r="C72" s="1"/>
      <c r="D72" s="1"/>
      <c r="E72" s="1"/>
      <c r="F72" s="1"/>
      <c r="G72" s="1"/>
      <c r="H72" s="2"/>
      <c r="I72" s="1"/>
      <c r="J72" s="1"/>
      <c r="K72" s="1"/>
      <c r="L72" s="1"/>
      <c r="M72" s="1"/>
      <c r="N72" s="1"/>
      <c r="O72" s="1"/>
      <c r="P72" s="1"/>
      <c r="Q72" s="1"/>
      <c r="R72" s="3"/>
      <c r="S72" s="3"/>
    </row>
    <row r="73" spans="2:19" ht="25.5" customHeight="1">
      <c r="B73" s="1"/>
      <c r="C73" s="1"/>
      <c r="D73" s="1"/>
      <c r="E73" s="1"/>
      <c r="F73" s="1"/>
      <c r="G73" s="1"/>
      <c r="H73" s="2"/>
      <c r="I73" s="1"/>
      <c r="J73" s="1"/>
      <c r="K73" s="1"/>
      <c r="L73" s="1"/>
      <c r="M73" s="1"/>
      <c r="N73" s="1"/>
      <c r="O73" s="1"/>
      <c r="P73" s="1"/>
      <c r="Q73" s="1"/>
      <c r="R73" s="3"/>
      <c r="S73" s="3"/>
    </row>
    <row r="74" spans="2:19" ht="25.5" customHeight="1">
      <c r="B74" s="1"/>
      <c r="C74" s="1"/>
      <c r="D74" s="1"/>
      <c r="E74" s="1"/>
      <c r="F74" s="1"/>
      <c r="G74" s="1"/>
      <c r="H74" s="2"/>
      <c r="I74" s="1"/>
      <c r="J74" s="1"/>
      <c r="K74" s="1"/>
      <c r="L74" s="1"/>
      <c r="M74" s="1"/>
      <c r="N74" s="1"/>
      <c r="O74" s="1"/>
      <c r="P74" s="1"/>
      <c r="Q74" s="1"/>
      <c r="R74" s="3"/>
      <c r="S74" s="3"/>
    </row>
    <row r="75" spans="2:19" ht="25.5" customHeight="1">
      <c r="B75" s="1"/>
      <c r="C75" s="1"/>
      <c r="D75" s="1"/>
      <c r="E75" s="1"/>
      <c r="F75" s="1"/>
      <c r="G75" s="1"/>
      <c r="H75" s="2"/>
      <c r="I75" s="1"/>
      <c r="J75" s="1"/>
      <c r="K75" s="1"/>
      <c r="L75" s="1"/>
      <c r="M75" s="1"/>
      <c r="N75" s="1"/>
      <c r="O75" s="1"/>
      <c r="P75" s="1"/>
      <c r="Q75" s="1"/>
      <c r="R75" s="3"/>
      <c r="S75" s="3"/>
    </row>
    <row r="76" spans="2:19" ht="25.5" customHeight="1">
      <c r="B76" s="1"/>
      <c r="C76" s="1"/>
      <c r="D76" s="1"/>
      <c r="E76" s="1"/>
      <c r="F76" s="1"/>
      <c r="G76" s="1"/>
      <c r="H76" s="2"/>
      <c r="I76" s="1"/>
      <c r="J76" s="1"/>
      <c r="K76" s="1"/>
      <c r="L76" s="1"/>
      <c r="M76" s="1"/>
      <c r="N76" s="1"/>
      <c r="O76" s="1"/>
      <c r="P76" s="1"/>
      <c r="Q76" s="1"/>
      <c r="R76" s="3"/>
      <c r="S76" s="3"/>
    </row>
    <row r="77" spans="2:19" ht="25.5" customHeight="1">
      <c r="B77" s="1"/>
      <c r="C77" s="1"/>
      <c r="D77" s="1"/>
      <c r="E77" s="1"/>
      <c r="F77" s="1"/>
      <c r="G77" s="1"/>
      <c r="H77" s="2"/>
      <c r="I77" s="1"/>
      <c r="J77" s="1"/>
      <c r="K77" s="1"/>
      <c r="L77" s="1"/>
      <c r="M77" s="1"/>
      <c r="N77" s="1"/>
      <c r="O77" s="1"/>
      <c r="P77" s="1"/>
      <c r="Q77" s="1"/>
      <c r="R77" s="3"/>
      <c r="S77" s="3"/>
    </row>
    <row r="78" spans="2:19" ht="25.5" customHeight="1">
      <c r="B78" s="1"/>
      <c r="C78" s="1"/>
      <c r="D78" s="1"/>
      <c r="E78" s="1"/>
      <c r="F78" s="1"/>
      <c r="G78" s="1"/>
      <c r="H78" s="2"/>
      <c r="I78" s="1"/>
      <c r="J78" s="1"/>
      <c r="K78" s="1"/>
      <c r="L78" s="1"/>
      <c r="M78" s="1"/>
      <c r="N78" s="1"/>
      <c r="O78" s="1"/>
      <c r="P78" s="1"/>
      <c r="Q78" s="1"/>
      <c r="R78" s="3"/>
      <c r="S78" s="3"/>
    </row>
    <row r="79" spans="2:19" ht="25.5" customHeight="1">
      <c r="B79" s="1"/>
      <c r="C79" s="1"/>
      <c r="D79" s="1"/>
      <c r="E79" s="1"/>
      <c r="F79" s="1"/>
      <c r="G79" s="1"/>
      <c r="H79" s="2"/>
      <c r="I79" s="1"/>
      <c r="J79" s="1"/>
      <c r="K79" s="1"/>
      <c r="L79" s="1"/>
      <c r="M79" s="1"/>
      <c r="N79" s="1"/>
      <c r="O79" s="1"/>
      <c r="P79" s="1"/>
      <c r="Q79" s="1"/>
      <c r="R79" s="3"/>
      <c r="S79" s="3"/>
    </row>
    <row r="80" spans="2:19" ht="25.5" customHeight="1">
      <c r="B80" s="1"/>
      <c r="C80" s="1"/>
      <c r="D80" s="1"/>
      <c r="E80" s="1"/>
      <c r="F80" s="1"/>
      <c r="G80" s="1"/>
      <c r="H80" s="2"/>
      <c r="I80" s="1"/>
      <c r="J80" s="1"/>
      <c r="K80" s="1"/>
      <c r="L80" s="1"/>
      <c r="M80" s="1"/>
      <c r="N80" s="1"/>
      <c r="O80" s="1"/>
      <c r="P80" s="1"/>
      <c r="Q80" s="1"/>
      <c r="R80" s="3"/>
      <c r="S80" s="3"/>
    </row>
    <row r="81" spans="2:19" ht="25.5" customHeight="1">
      <c r="B81" s="1"/>
      <c r="C81" s="1"/>
      <c r="D81" s="1"/>
      <c r="E81" s="1"/>
      <c r="F81" s="1"/>
      <c r="G81" s="1"/>
      <c r="H81" s="2"/>
      <c r="I81" s="1"/>
      <c r="J81" s="1"/>
      <c r="K81" s="1"/>
      <c r="L81" s="1"/>
      <c r="M81" s="1"/>
      <c r="N81" s="1"/>
      <c r="O81" s="1"/>
      <c r="P81" s="1"/>
      <c r="Q81" s="1"/>
      <c r="R81" s="3"/>
      <c r="S81" s="3"/>
    </row>
    <row r="82" spans="2:19" ht="25.5" customHeight="1">
      <c r="B82" s="1"/>
      <c r="C82" s="1"/>
      <c r="D82" s="1"/>
      <c r="E82" s="1"/>
      <c r="F82" s="1"/>
      <c r="G82" s="1"/>
      <c r="H82" s="2"/>
      <c r="I82" s="1"/>
      <c r="J82" s="1"/>
      <c r="K82" s="1"/>
      <c r="L82" s="1"/>
      <c r="M82" s="1"/>
      <c r="N82" s="1"/>
      <c r="O82" s="1"/>
      <c r="P82" s="1"/>
      <c r="Q82" s="1"/>
      <c r="R82" s="3"/>
      <c r="S82" s="3"/>
    </row>
    <row r="83" spans="2:19" ht="25.5" customHeight="1">
      <c r="B83" s="1"/>
      <c r="C83" s="1"/>
      <c r="D83" s="1"/>
      <c r="E83" s="1"/>
      <c r="F83" s="1"/>
      <c r="G83" s="1"/>
      <c r="H83" s="2"/>
      <c r="I83" s="1"/>
      <c r="J83" s="1"/>
      <c r="K83" s="1"/>
      <c r="L83" s="1"/>
      <c r="M83" s="1"/>
      <c r="N83" s="1"/>
      <c r="O83" s="1"/>
      <c r="P83" s="1"/>
      <c r="Q83" s="1"/>
      <c r="R83" s="3"/>
      <c r="S83" s="3"/>
    </row>
    <row r="84" spans="2:19" ht="25.5" customHeight="1">
      <c r="B84" s="1"/>
      <c r="C84" s="1"/>
      <c r="D84" s="1"/>
      <c r="E84" s="1"/>
      <c r="F84" s="1"/>
      <c r="G84" s="1"/>
      <c r="H84" s="2"/>
      <c r="I84" s="1"/>
      <c r="J84" s="1"/>
      <c r="K84" s="1"/>
      <c r="L84" s="1"/>
      <c r="M84" s="1"/>
      <c r="N84" s="1"/>
      <c r="O84" s="1"/>
      <c r="P84" s="1"/>
      <c r="Q84" s="1"/>
      <c r="R84" s="3"/>
      <c r="S84" s="3"/>
    </row>
    <row r="85" spans="2:19" ht="25.5" customHeight="1">
      <c r="B85" s="1"/>
      <c r="C85" s="1"/>
      <c r="D85" s="1"/>
      <c r="E85" s="1"/>
      <c r="F85" s="1"/>
      <c r="G85" s="1"/>
      <c r="H85" s="2"/>
      <c r="I85" s="1"/>
      <c r="J85" s="1"/>
      <c r="K85" s="1"/>
      <c r="L85" s="1"/>
      <c r="M85" s="1"/>
      <c r="N85" s="1"/>
      <c r="O85" s="1"/>
      <c r="P85" s="1"/>
      <c r="Q85" s="1"/>
      <c r="R85" s="3"/>
      <c r="S85" s="3"/>
    </row>
    <row r="86" spans="2:19" ht="25.5" customHeight="1">
      <c r="B86" s="1"/>
      <c r="C86" s="1"/>
      <c r="D86" s="1"/>
      <c r="E86" s="1"/>
      <c r="F86" s="1"/>
      <c r="G86" s="1"/>
      <c r="H86" s="2"/>
      <c r="I86" s="1"/>
      <c r="J86" s="1"/>
      <c r="K86" s="1"/>
      <c r="L86" s="1"/>
      <c r="M86" s="1"/>
      <c r="N86" s="1"/>
      <c r="O86" s="1"/>
      <c r="P86" s="1"/>
      <c r="Q86" s="1"/>
      <c r="R86" s="3"/>
      <c r="S86" s="3"/>
    </row>
    <row r="87" spans="2:19" ht="25.5" customHeight="1">
      <c r="B87" s="1"/>
      <c r="C87" s="1"/>
      <c r="D87" s="1"/>
      <c r="E87" s="1"/>
      <c r="F87" s="1"/>
      <c r="G87" s="1"/>
      <c r="H87" s="2"/>
      <c r="I87" s="1"/>
      <c r="J87" s="1"/>
      <c r="K87" s="1"/>
      <c r="L87" s="1"/>
      <c r="M87" s="1"/>
      <c r="N87" s="1"/>
      <c r="O87" s="1"/>
      <c r="P87" s="1"/>
      <c r="Q87" s="1"/>
      <c r="R87" s="3"/>
      <c r="S87" s="3"/>
    </row>
    <row r="88" spans="2:19" ht="25.5" customHeight="1">
      <c r="B88" s="1"/>
      <c r="C88" s="1"/>
      <c r="D88" s="1"/>
      <c r="E88" s="1"/>
      <c r="F88" s="1"/>
      <c r="G88" s="1"/>
      <c r="H88" s="2"/>
      <c r="I88" s="1"/>
      <c r="J88" s="1"/>
      <c r="K88" s="1"/>
      <c r="L88" s="1"/>
      <c r="M88" s="1"/>
      <c r="N88" s="1"/>
      <c r="O88" s="1"/>
      <c r="P88" s="1"/>
      <c r="Q88" s="1"/>
      <c r="R88" s="3"/>
      <c r="S88" s="3"/>
    </row>
    <row r="89" spans="2:19" ht="25.5" customHeight="1">
      <c r="B89" s="1"/>
      <c r="C89" s="1"/>
      <c r="D89" s="1"/>
      <c r="E89" s="1"/>
      <c r="F89" s="1"/>
      <c r="G89" s="1"/>
      <c r="H89" s="2"/>
      <c r="I89" s="1"/>
      <c r="J89" s="1"/>
      <c r="K89" s="1"/>
      <c r="L89" s="1"/>
      <c r="M89" s="1"/>
      <c r="N89" s="1"/>
      <c r="O89" s="1"/>
      <c r="P89" s="1"/>
      <c r="Q89" s="1"/>
      <c r="R89" s="3"/>
      <c r="S89" s="3"/>
    </row>
    <row r="90" spans="2:19" ht="25.5" customHeight="1">
      <c r="B90" s="1"/>
      <c r="C90" s="1"/>
      <c r="D90" s="1"/>
      <c r="E90" s="1"/>
      <c r="F90" s="1"/>
      <c r="G90" s="1"/>
      <c r="H90" s="2"/>
      <c r="I90" s="1"/>
      <c r="J90" s="1"/>
      <c r="K90" s="1"/>
      <c r="L90" s="1"/>
      <c r="M90" s="1"/>
      <c r="N90" s="1"/>
      <c r="O90" s="1"/>
      <c r="P90" s="1"/>
      <c r="Q90" s="1"/>
      <c r="R90" s="3"/>
      <c r="S90" s="3"/>
    </row>
    <row r="91" spans="2:19" ht="25.5" customHeight="1">
      <c r="B91" s="1"/>
      <c r="C91" s="1"/>
      <c r="D91" s="1"/>
      <c r="E91" s="1"/>
      <c r="F91" s="1"/>
      <c r="G91" s="1"/>
      <c r="H91" s="2"/>
      <c r="I91" s="1"/>
      <c r="J91" s="1"/>
      <c r="K91" s="1"/>
      <c r="L91" s="1"/>
      <c r="M91" s="1"/>
      <c r="N91" s="1"/>
      <c r="O91" s="1"/>
      <c r="P91" s="1"/>
      <c r="Q91" s="1"/>
      <c r="R91" s="3"/>
      <c r="S91" s="3"/>
    </row>
    <row r="92" spans="2:19" ht="25.5" customHeight="1">
      <c r="B92" s="1"/>
      <c r="C92" s="1"/>
      <c r="D92" s="1"/>
      <c r="E92" s="1"/>
      <c r="F92" s="1"/>
      <c r="G92" s="1"/>
      <c r="H92" s="2"/>
      <c r="I92" s="1"/>
      <c r="J92" s="1"/>
      <c r="K92" s="1"/>
      <c r="L92" s="1"/>
      <c r="M92" s="1"/>
      <c r="N92" s="1"/>
      <c r="O92" s="1"/>
      <c r="P92" s="1"/>
      <c r="Q92" s="1"/>
      <c r="R92" s="3"/>
      <c r="S92" s="3"/>
    </row>
    <row r="93" spans="2:19" ht="25.5" customHeight="1">
      <c r="B93" s="1"/>
      <c r="C93" s="1"/>
      <c r="D93" s="1"/>
      <c r="E93" s="1"/>
      <c r="F93" s="1"/>
      <c r="G93" s="1"/>
      <c r="H93" s="2"/>
      <c r="I93" s="1"/>
      <c r="J93" s="1"/>
      <c r="K93" s="1"/>
      <c r="L93" s="1"/>
      <c r="M93" s="1"/>
      <c r="N93" s="1"/>
      <c r="O93" s="1"/>
      <c r="P93" s="1"/>
      <c r="Q93" s="1"/>
      <c r="R93" s="3"/>
      <c r="S93" s="3"/>
    </row>
    <row r="94" spans="2:19" ht="25.5" customHeight="1">
      <c r="B94" s="1"/>
      <c r="C94" s="1"/>
      <c r="D94" s="1"/>
      <c r="E94" s="1"/>
      <c r="F94" s="1"/>
      <c r="G94" s="1"/>
      <c r="H94" s="2"/>
      <c r="I94" s="1"/>
      <c r="J94" s="1"/>
      <c r="K94" s="1"/>
      <c r="L94" s="1"/>
      <c r="M94" s="1"/>
      <c r="N94" s="1"/>
      <c r="O94" s="1"/>
      <c r="P94" s="1"/>
      <c r="Q94" s="1"/>
      <c r="R94" s="3"/>
      <c r="S94" s="3"/>
    </row>
    <row r="95" spans="2:19" ht="25.5" customHeight="1">
      <c r="B95" s="1"/>
      <c r="C95" s="1"/>
      <c r="D95" s="1"/>
      <c r="E95" s="1"/>
      <c r="F95" s="1"/>
      <c r="G95" s="1"/>
      <c r="H95" s="2"/>
      <c r="I95" s="1"/>
      <c r="J95" s="1"/>
      <c r="K95" s="1"/>
      <c r="L95" s="1"/>
      <c r="M95" s="1"/>
      <c r="N95" s="1"/>
      <c r="O95" s="1"/>
      <c r="P95" s="1"/>
      <c r="Q95" s="1"/>
      <c r="R95" s="3"/>
      <c r="S95" s="3"/>
    </row>
    <row r="96" spans="2:19" ht="25.5" customHeight="1">
      <c r="B96" s="1"/>
      <c r="C96" s="1"/>
      <c r="D96" s="1"/>
      <c r="E96" s="1"/>
      <c r="F96" s="1"/>
      <c r="G96" s="1"/>
      <c r="H96" s="2"/>
      <c r="I96" s="1"/>
      <c r="J96" s="1"/>
      <c r="K96" s="1"/>
      <c r="L96" s="1"/>
      <c r="M96" s="1"/>
      <c r="N96" s="1"/>
      <c r="O96" s="1"/>
      <c r="P96" s="1"/>
      <c r="Q96" s="1"/>
      <c r="R96" s="3"/>
      <c r="S96" s="3"/>
    </row>
    <row r="97" spans="2:19" ht="25.5" customHeight="1">
      <c r="B97" s="1"/>
      <c r="C97" s="1"/>
      <c r="D97" s="1"/>
      <c r="E97" s="1"/>
      <c r="F97" s="1"/>
      <c r="G97" s="1"/>
      <c r="H97" s="2"/>
      <c r="I97" s="1"/>
      <c r="J97" s="1"/>
      <c r="K97" s="1"/>
      <c r="L97" s="1"/>
      <c r="M97" s="1"/>
      <c r="N97" s="1"/>
      <c r="O97" s="1"/>
      <c r="P97" s="1"/>
      <c r="Q97" s="1"/>
      <c r="R97" s="3"/>
      <c r="S97" s="3"/>
    </row>
    <row r="98" spans="2:19" ht="25.5" customHeight="1">
      <c r="B98" s="1"/>
      <c r="C98" s="1"/>
      <c r="D98" s="1"/>
      <c r="E98" s="1"/>
      <c r="F98" s="1"/>
      <c r="G98" s="1"/>
      <c r="H98" s="2"/>
      <c r="I98" s="1"/>
      <c r="J98" s="1"/>
      <c r="K98" s="1"/>
      <c r="L98" s="1"/>
      <c r="M98" s="1"/>
      <c r="N98" s="1"/>
      <c r="O98" s="1"/>
      <c r="P98" s="1"/>
      <c r="Q98" s="1"/>
      <c r="R98" s="3"/>
      <c r="S98" s="3"/>
    </row>
    <row r="99" spans="2:19" ht="25.5" customHeight="1">
      <c r="B99" s="1"/>
      <c r="C99" s="1"/>
      <c r="D99" s="1"/>
      <c r="E99" s="1"/>
      <c r="F99" s="1"/>
      <c r="G99" s="1"/>
      <c r="H99" s="2"/>
      <c r="I99" s="1"/>
      <c r="J99" s="1"/>
      <c r="K99" s="1"/>
      <c r="L99" s="1"/>
      <c r="M99" s="1"/>
      <c r="N99" s="1"/>
      <c r="O99" s="1"/>
      <c r="P99" s="1"/>
      <c r="Q99" s="1"/>
      <c r="R99" s="3"/>
      <c r="S99" s="3"/>
    </row>
    <row r="100" spans="2:19" ht="25.5" customHeight="1">
      <c r="B100" s="1"/>
      <c r="C100" s="1"/>
      <c r="D100" s="1"/>
      <c r="E100" s="1"/>
      <c r="F100" s="1"/>
      <c r="G100" s="1"/>
      <c r="H100" s="2"/>
      <c r="I100" s="1"/>
      <c r="J100" s="1"/>
      <c r="K100" s="1"/>
      <c r="L100" s="1"/>
      <c r="M100" s="1"/>
      <c r="N100" s="1"/>
      <c r="O100" s="1"/>
      <c r="P100" s="1"/>
      <c r="Q100" s="1"/>
      <c r="R100" s="3"/>
      <c r="S100" s="3"/>
    </row>
    <row r="101" spans="2:19" ht="25.5" customHeight="1">
      <c r="B101" s="1"/>
      <c r="C101" s="1"/>
      <c r="D101" s="1"/>
      <c r="E101" s="1"/>
      <c r="F101" s="1"/>
      <c r="G101" s="1"/>
      <c r="H101" s="2"/>
      <c r="I101" s="1"/>
      <c r="J101" s="1"/>
      <c r="K101" s="1"/>
      <c r="L101" s="1"/>
      <c r="M101" s="1"/>
      <c r="N101" s="1"/>
      <c r="O101" s="1"/>
      <c r="P101" s="1"/>
      <c r="Q101" s="1"/>
      <c r="R101" s="3"/>
      <c r="S101" s="3"/>
    </row>
    <row r="102" spans="2:19" ht="25.5" customHeight="1">
      <c r="B102" s="1"/>
      <c r="C102" s="1"/>
      <c r="D102" s="1"/>
      <c r="E102" s="1"/>
      <c r="F102" s="1"/>
      <c r="G102" s="1"/>
      <c r="H102" s="2"/>
      <c r="I102" s="1"/>
      <c r="J102" s="1"/>
      <c r="K102" s="1"/>
      <c r="L102" s="1"/>
      <c r="M102" s="1"/>
      <c r="N102" s="1"/>
      <c r="O102" s="1"/>
      <c r="P102" s="1"/>
      <c r="Q102" s="1"/>
      <c r="R102" s="3"/>
      <c r="S102" s="3"/>
    </row>
    <row r="103" spans="2:19" ht="25.5" customHeight="1">
      <c r="B103" s="1"/>
      <c r="C103" s="1"/>
      <c r="D103" s="1"/>
      <c r="E103" s="1"/>
      <c r="F103" s="1"/>
      <c r="G103" s="1"/>
      <c r="H103" s="2"/>
      <c r="I103" s="1"/>
      <c r="J103" s="1"/>
      <c r="K103" s="1"/>
      <c r="L103" s="1"/>
      <c r="M103" s="1"/>
      <c r="N103" s="1"/>
      <c r="O103" s="1"/>
      <c r="P103" s="1"/>
      <c r="Q103" s="1"/>
      <c r="R103" s="3"/>
      <c r="S103" s="3"/>
    </row>
    <row r="104" spans="2:19" ht="25.5" customHeight="1">
      <c r="B104" s="1"/>
      <c r="C104" s="1"/>
      <c r="D104" s="1"/>
      <c r="E104" s="1"/>
      <c r="F104" s="1"/>
      <c r="G104" s="1"/>
      <c r="H104" s="2"/>
      <c r="I104" s="1"/>
      <c r="J104" s="1"/>
      <c r="K104" s="1"/>
      <c r="L104" s="1"/>
      <c r="M104" s="1"/>
      <c r="N104" s="1"/>
      <c r="O104" s="1"/>
      <c r="P104" s="1"/>
      <c r="Q104" s="1"/>
      <c r="R104" s="3"/>
      <c r="S104" s="3"/>
    </row>
    <row r="105" spans="2:19" ht="25.5" customHeight="1">
      <c r="B105" s="1"/>
      <c r="C105" s="1"/>
      <c r="D105" s="1"/>
      <c r="E105" s="1"/>
      <c r="F105" s="1"/>
      <c r="G105" s="1"/>
      <c r="H105" s="2"/>
      <c r="I105" s="1"/>
      <c r="J105" s="1"/>
      <c r="K105" s="1"/>
      <c r="L105" s="1"/>
      <c r="M105" s="1"/>
      <c r="N105" s="1"/>
      <c r="O105" s="1"/>
      <c r="P105" s="1"/>
      <c r="Q105" s="1"/>
      <c r="R105" s="3"/>
      <c r="S105" s="3"/>
    </row>
    <row r="106" spans="2:19" ht="25.5" customHeight="1">
      <c r="B106" s="1"/>
      <c r="C106" s="1"/>
      <c r="D106" s="1"/>
      <c r="E106" s="1"/>
      <c r="F106" s="1"/>
      <c r="G106" s="1"/>
      <c r="H106" s="2"/>
      <c r="I106" s="1"/>
      <c r="J106" s="1"/>
      <c r="K106" s="1"/>
      <c r="L106" s="1"/>
      <c r="M106" s="1"/>
      <c r="N106" s="1"/>
      <c r="O106" s="1"/>
      <c r="P106" s="1"/>
      <c r="Q106" s="1"/>
      <c r="R106" s="3"/>
      <c r="S106" s="3"/>
    </row>
    <row r="107" spans="2:19" ht="25.5" customHeight="1">
      <c r="B107" s="1"/>
      <c r="C107" s="1"/>
      <c r="D107" s="1"/>
      <c r="E107" s="1"/>
      <c r="F107" s="1"/>
      <c r="G107" s="1"/>
      <c r="H107" s="2"/>
      <c r="I107" s="1"/>
      <c r="J107" s="1"/>
      <c r="K107" s="1"/>
      <c r="L107" s="1"/>
      <c r="M107" s="1"/>
      <c r="N107" s="1"/>
      <c r="O107" s="1"/>
      <c r="P107" s="1"/>
      <c r="Q107" s="1"/>
      <c r="R107" s="3"/>
      <c r="S107" s="3"/>
    </row>
    <row r="108" spans="2:19" ht="25.5" customHeight="1">
      <c r="B108" s="1"/>
      <c r="C108" s="1"/>
      <c r="D108" s="1"/>
      <c r="E108" s="1"/>
      <c r="F108" s="1"/>
      <c r="G108" s="1"/>
      <c r="H108" s="2"/>
      <c r="I108" s="1"/>
      <c r="J108" s="1"/>
      <c r="K108" s="1"/>
      <c r="L108" s="1"/>
      <c r="M108" s="1"/>
      <c r="N108" s="1"/>
      <c r="O108" s="1"/>
      <c r="P108" s="1"/>
      <c r="Q108" s="1"/>
      <c r="R108" s="3"/>
      <c r="S108" s="3"/>
    </row>
    <row r="109" spans="2:19" ht="25.5" customHeight="1">
      <c r="B109" s="1"/>
      <c r="C109" s="1"/>
      <c r="D109" s="1"/>
      <c r="E109" s="1"/>
      <c r="F109" s="1"/>
      <c r="G109" s="1"/>
      <c r="H109" s="2"/>
      <c r="I109" s="1"/>
      <c r="J109" s="1"/>
      <c r="K109" s="1"/>
      <c r="L109" s="1"/>
      <c r="M109" s="1"/>
      <c r="N109" s="1"/>
      <c r="O109" s="1"/>
      <c r="P109" s="1"/>
      <c r="Q109" s="1"/>
      <c r="R109" s="3"/>
      <c r="S109" s="3"/>
    </row>
    <row r="110" spans="2:19" ht="25.5" customHeight="1">
      <c r="B110" s="1"/>
      <c r="C110" s="1"/>
      <c r="D110" s="1"/>
      <c r="E110" s="1"/>
      <c r="F110" s="1"/>
      <c r="G110" s="1"/>
      <c r="H110" s="2"/>
      <c r="I110" s="1"/>
      <c r="J110" s="1"/>
      <c r="K110" s="1"/>
      <c r="L110" s="1"/>
      <c r="M110" s="1"/>
      <c r="N110" s="1"/>
      <c r="O110" s="1"/>
      <c r="P110" s="1"/>
      <c r="Q110" s="1"/>
      <c r="R110" s="3"/>
      <c r="S110" s="3"/>
    </row>
    <row r="111" spans="2:19" ht="25.5" customHeight="1">
      <c r="B111" s="1"/>
      <c r="C111" s="1"/>
      <c r="D111" s="1"/>
      <c r="E111" s="1"/>
      <c r="F111" s="1"/>
      <c r="G111" s="1"/>
      <c r="H111" s="2"/>
      <c r="I111" s="1"/>
      <c r="J111" s="1"/>
      <c r="K111" s="1"/>
      <c r="L111" s="1"/>
      <c r="M111" s="1"/>
      <c r="N111" s="1"/>
      <c r="O111" s="1"/>
      <c r="P111" s="1"/>
      <c r="Q111" s="1"/>
      <c r="R111" s="3"/>
      <c r="S111" s="3"/>
    </row>
    <row r="112" spans="2:19" ht="25.5" customHeight="1">
      <c r="B112" s="1"/>
      <c r="C112" s="1"/>
      <c r="D112" s="1"/>
      <c r="E112" s="1"/>
      <c r="F112" s="1"/>
      <c r="G112" s="1"/>
      <c r="H112" s="2"/>
      <c r="I112" s="1"/>
      <c r="J112" s="1"/>
      <c r="K112" s="1"/>
      <c r="L112" s="1"/>
      <c r="M112" s="1"/>
      <c r="N112" s="1"/>
      <c r="O112" s="1"/>
      <c r="P112" s="1"/>
      <c r="Q112" s="1"/>
      <c r="R112" s="3"/>
      <c r="S112" s="3"/>
    </row>
    <row r="113" spans="2:19" ht="25.5" customHeight="1">
      <c r="B113" s="1"/>
      <c r="C113" s="1"/>
      <c r="D113" s="1"/>
      <c r="E113" s="1"/>
      <c r="F113" s="1"/>
      <c r="G113" s="1"/>
      <c r="H113" s="2"/>
      <c r="I113" s="1"/>
      <c r="J113" s="1"/>
      <c r="K113" s="1"/>
      <c r="L113" s="1"/>
      <c r="M113" s="1"/>
      <c r="N113" s="1"/>
      <c r="O113" s="1"/>
      <c r="P113" s="1"/>
      <c r="Q113" s="1"/>
      <c r="R113" s="3"/>
      <c r="S113" s="3"/>
    </row>
    <row r="114" spans="2:19" ht="25.5" customHeight="1">
      <c r="B114" s="1"/>
      <c r="C114" s="1"/>
      <c r="D114" s="1"/>
      <c r="E114" s="1"/>
      <c r="F114" s="1"/>
      <c r="G114" s="1"/>
      <c r="H114" s="2"/>
      <c r="I114" s="1"/>
      <c r="J114" s="1"/>
      <c r="K114" s="1"/>
      <c r="L114" s="1"/>
      <c r="M114" s="1"/>
      <c r="N114" s="1"/>
      <c r="O114" s="1"/>
      <c r="P114" s="1"/>
      <c r="Q114" s="1"/>
      <c r="R114" s="3"/>
      <c r="S114" s="3"/>
    </row>
    <row r="115" spans="2:19" ht="25.5" customHeight="1">
      <c r="B115" s="1"/>
      <c r="C115" s="1"/>
      <c r="D115" s="1"/>
      <c r="E115" s="1"/>
      <c r="F115" s="1"/>
      <c r="G115" s="1"/>
      <c r="H115" s="2"/>
      <c r="I115" s="1"/>
      <c r="J115" s="1"/>
      <c r="K115" s="1"/>
      <c r="L115" s="1"/>
      <c r="M115" s="1"/>
      <c r="N115" s="1"/>
      <c r="O115" s="1"/>
      <c r="P115" s="1"/>
      <c r="Q115" s="1"/>
      <c r="R115" s="3"/>
      <c r="S115" s="3"/>
    </row>
    <row r="116" spans="2:19" ht="25.5" customHeight="1">
      <c r="B116" s="1"/>
      <c r="C116" s="1"/>
      <c r="D116" s="1"/>
      <c r="E116" s="1"/>
      <c r="F116" s="1"/>
      <c r="G116" s="1"/>
      <c r="H116" s="2"/>
      <c r="I116" s="1"/>
      <c r="J116" s="1"/>
      <c r="K116" s="1"/>
      <c r="L116" s="1"/>
      <c r="M116" s="1"/>
      <c r="N116" s="1"/>
      <c r="O116" s="1"/>
      <c r="P116" s="1"/>
      <c r="Q116" s="1"/>
      <c r="R116" s="3"/>
      <c r="S116" s="3"/>
    </row>
    <row r="117" spans="2:19" ht="25.5" customHeight="1">
      <c r="B117" s="1"/>
      <c r="C117" s="1"/>
      <c r="D117" s="1"/>
      <c r="E117" s="1"/>
      <c r="F117" s="1"/>
      <c r="G117" s="1"/>
      <c r="H117" s="2"/>
      <c r="I117" s="1"/>
      <c r="J117" s="1"/>
      <c r="K117" s="1"/>
      <c r="L117" s="1"/>
      <c r="M117" s="1"/>
      <c r="N117" s="1"/>
      <c r="O117" s="1"/>
      <c r="P117" s="1"/>
      <c r="Q117" s="1"/>
      <c r="R117" s="3"/>
      <c r="S117" s="3"/>
    </row>
    <row r="118" spans="2:19" ht="25.5" customHeight="1">
      <c r="B118" s="1"/>
      <c r="C118" s="1"/>
      <c r="D118" s="1"/>
      <c r="E118" s="1"/>
      <c r="F118" s="1"/>
      <c r="G118" s="1"/>
      <c r="H118" s="2"/>
      <c r="I118" s="1"/>
      <c r="J118" s="1"/>
      <c r="K118" s="1"/>
      <c r="L118" s="1"/>
      <c r="M118" s="1"/>
      <c r="N118" s="1"/>
      <c r="O118" s="1"/>
      <c r="P118" s="1"/>
      <c r="Q118" s="1"/>
      <c r="R118" s="3"/>
      <c r="S118" s="3"/>
    </row>
    <row r="119" spans="2:19" ht="25.5" customHeight="1">
      <c r="B119" s="1"/>
      <c r="C119" s="1"/>
      <c r="D119" s="1"/>
      <c r="E119" s="1"/>
      <c r="F119" s="1"/>
      <c r="G119" s="1"/>
      <c r="H119" s="2"/>
      <c r="I119" s="1"/>
      <c r="J119" s="1"/>
      <c r="K119" s="1"/>
      <c r="L119" s="1"/>
      <c r="M119" s="1"/>
      <c r="N119" s="1"/>
      <c r="O119" s="1"/>
      <c r="P119" s="1"/>
      <c r="Q119" s="1"/>
      <c r="R119" s="3"/>
      <c r="S119" s="3"/>
    </row>
    <row r="120" spans="2:19" ht="25.5" customHeight="1">
      <c r="B120" s="1"/>
      <c r="C120" s="1"/>
      <c r="D120" s="1"/>
      <c r="E120" s="1"/>
      <c r="F120" s="1"/>
      <c r="G120" s="1"/>
      <c r="H120" s="2"/>
      <c r="I120" s="1"/>
      <c r="J120" s="1"/>
      <c r="K120" s="1"/>
      <c r="L120" s="1"/>
      <c r="M120" s="1"/>
      <c r="N120" s="1"/>
      <c r="O120" s="1"/>
      <c r="P120" s="1"/>
      <c r="Q120" s="1"/>
      <c r="R120" s="3"/>
      <c r="S120" s="3"/>
    </row>
    <row r="121" spans="2:19" ht="25.5" customHeight="1">
      <c r="B121" s="1"/>
      <c r="C121" s="1"/>
      <c r="D121" s="1"/>
      <c r="E121" s="1"/>
      <c r="F121" s="1"/>
      <c r="G121" s="1"/>
      <c r="H121" s="2"/>
      <c r="I121" s="1"/>
      <c r="J121" s="1"/>
      <c r="K121" s="1"/>
      <c r="L121" s="1"/>
      <c r="M121" s="1"/>
      <c r="N121" s="1"/>
      <c r="O121" s="1"/>
      <c r="P121" s="1"/>
      <c r="Q121" s="1"/>
      <c r="R121" s="3"/>
      <c r="S121" s="3"/>
    </row>
    <row r="122" spans="2:19" ht="25.5" customHeight="1">
      <c r="B122" s="1"/>
      <c r="C122" s="1"/>
      <c r="D122" s="1"/>
      <c r="E122" s="1"/>
      <c r="F122" s="1"/>
      <c r="G122" s="1"/>
      <c r="H122" s="2"/>
      <c r="I122" s="1"/>
      <c r="J122" s="1"/>
      <c r="K122" s="1"/>
      <c r="L122" s="1"/>
      <c r="M122" s="1"/>
      <c r="N122" s="1"/>
      <c r="O122" s="1"/>
      <c r="P122" s="1"/>
      <c r="Q122" s="1"/>
      <c r="R122" s="3"/>
      <c r="S122" s="3"/>
    </row>
    <row r="123" spans="2:19" ht="25.5" customHeight="1">
      <c r="B123" s="1"/>
      <c r="C123" s="1"/>
      <c r="D123" s="1"/>
      <c r="E123" s="1"/>
      <c r="F123" s="1"/>
      <c r="G123" s="1"/>
      <c r="H123" s="2"/>
      <c r="I123" s="1"/>
      <c r="J123" s="1"/>
      <c r="K123" s="1"/>
      <c r="L123" s="1"/>
      <c r="M123" s="1"/>
      <c r="N123" s="1"/>
      <c r="O123" s="1"/>
      <c r="P123" s="1"/>
      <c r="Q123" s="1"/>
      <c r="R123" s="3"/>
      <c r="S123" s="3"/>
    </row>
    <row r="124" spans="2:19" ht="25.5" customHeight="1">
      <c r="B124" s="1"/>
      <c r="C124" s="1"/>
      <c r="D124" s="1"/>
      <c r="E124" s="1"/>
      <c r="F124" s="1"/>
      <c r="G124" s="1"/>
      <c r="H124" s="2"/>
      <c r="I124" s="1"/>
      <c r="J124" s="1"/>
      <c r="K124" s="1"/>
      <c r="L124" s="1"/>
      <c r="M124" s="1"/>
      <c r="N124" s="1"/>
      <c r="O124" s="1"/>
      <c r="P124" s="1"/>
      <c r="Q124" s="1"/>
      <c r="R124" s="3"/>
      <c r="S124" s="3"/>
    </row>
    <row r="125" spans="2:19" ht="25.5" customHeight="1">
      <c r="B125" s="1"/>
      <c r="C125" s="1"/>
      <c r="D125" s="1"/>
      <c r="E125" s="1"/>
      <c r="F125" s="1"/>
      <c r="G125" s="1"/>
      <c r="H125" s="2"/>
      <c r="I125" s="1"/>
      <c r="J125" s="1"/>
      <c r="K125" s="1"/>
      <c r="L125" s="1"/>
      <c r="M125" s="1"/>
      <c r="N125" s="1"/>
      <c r="O125" s="1"/>
      <c r="P125" s="1"/>
      <c r="Q125" s="1"/>
      <c r="R125" s="3"/>
      <c r="S125" s="3"/>
    </row>
    <row r="126" spans="2:19" ht="25.5" customHeight="1">
      <c r="B126" s="1"/>
      <c r="C126" s="1"/>
      <c r="D126" s="1"/>
      <c r="E126" s="1"/>
      <c r="F126" s="1"/>
      <c r="G126" s="1"/>
      <c r="H126" s="2"/>
      <c r="I126" s="1"/>
      <c r="J126" s="1"/>
      <c r="K126" s="1"/>
      <c r="L126" s="1"/>
      <c r="M126" s="1"/>
      <c r="N126" s="1"/>
      <c r="O126" s="1"/>
      <c r="P126" s="1"/>
      <c r="Q126" s="1"/>
      <c r="R126" s="3"/>
      <c r="S126" s="3"/>
    </row>
    <row r="127" spans="2:19" ht="25.5" customHeight="1">
      <c r="B127" s="1"/>
      <c r="C127" s="1"/>
      <c r="D127" s="1"/>
      <c r="E127" s="1"/>
      <c r="F127" s="1"/>
      <c r="G127" s="1"/>
      <c r="H127" s="2"/>
      <c r="I127" s="1"/>
      <c r="J127" s="1"/>
      <c r="K127" s="1"/>
      <c r="L127" s="1"/>
      <c r="M127" s="1"/>
      <c r="N127" s="1"/>
      <c r="O127" s="1"/>
      <c r="P127" s="1"/>
      <c r="Q127" s="1"/>
      <c r="R127" s="3"/>
      <c r="S127" s="3"/>
    </row>
    <row r="128" spans="2:19" ht="25.5" customHeight="1">
      <c r="B128" s="1"/>
      <c r="C128" s="1"/>
      <c r="D128" s="1"/>
      <c r="E128" s="1"/>
      <c r="F128" s="1"/>
      <c r="G128" s="1"/>
      <c r="H128" s="2"/>
      <c r="I128" s="1"/>
      <c r="J128" s="1"/>
      <c r="K128" s="1"/>
      <c r="L128" s="1"/>
      <c r="M128" s="1"/>
      <c r="N128" s="1"/>
      <c r="O128" s="1"/>
      <c r="P128" s="1"/>
      <c r="Q128" s="1"/>
      <c r="R128" s="3"/>
      <c r="S128" s="3"/>
    </row>
    <row r="129" spans="2:19" ht="25.5" customHeight="1">
      <c r="B129" s="1"/>
      <c r="C129" s="1"/>
      <c r="D129" s="1"/>
      <c r="E129" s="1"/>
      <c r="F129" s="1"/>
      <c r="G129" s="1"/>
      <c r="H129" s="2"/>
      <c r="I129" s="1"/>
      <c r="J129" s="1"/>
      <c r="K129" s="1"/>
      <c r="L129" s="1"/>
      <c r="M129" s="1"/>
      <c r="N129" s="1"/>
      <c r="O129" s="1"/>
      <c r="P129" s="1"/>
      <c r="Q129" s="1"/>
      <c r="R129" s="3"/>
      <c r="S129" s="3"/>
    </row>
    <row r="130" spans="2:19" ht="25.5" customHeight="1">
      <c r="B130" s="1"/>
      <c r="C130" s="1"/>
      <c r="D130" s="1"/>
      <c r="E130" s="1"/>
      <c r="F130" s="1"/>
      <c r="G130" s="1"/>
      <c r="H130" s="2"/>
      <c r="I130" s="1"/>
      <c r="J130" s="1"/>
      <c r="K130" s="1"/>
      <c r="L130" s="1"/>
      <c r="M130" s="1"/>
      <c r="N130" s="1"/>
      <c r="O130" s="1"/>
      <c r="P130" s="1"/>
      <c r="Q130" s="1"/>
      <c r="R130" s="3"/>
      <c r="S130" s="3"/>
    </row>
    <row r="131" spans="2:19" ht="25.5" customHeight="1">
      <c r="B131" s="1"/>
      <c r="C131" s="1"/>
      <c r="D131" s="1"/>
      <c r="E131" s="1"/>
      <c r="F131" s="1"/>
      <c r="G131" s="1"/>
      <c r="H131" s="2"/>
      <c r="I131" s="1"/>
      <c r="J131" s="1"/>
      <c r="K131" s="1"/>
      <c r="L131" s="1"/>
      <c r="M131" s="1"/>
      <c r="N131" s="1"/>
      <c r="O131" s="1"/>
      <c r="P131" s="1"/>
      <c r="Q131" s="1"/>
      <c r="R131" s="3"/>
      <c r="S131" s="3"/>
    </row>
    <row r="132" spans="2:19" ht="25.5" customHeight="1">
      <c r="B132" s="1"/>
      <c r="C132" s="1"/>
      <c r="D132" s="1"/>
      <c r="E132" s="1"/>
      <c r="F132" s="1"/>
      <c r="G132" s="1"/>
      <c r="H132" s="2"/>
      <c r="I132" s="1"/>
      <c r="J132" s="1"/>
      <c r="K132" s="1"/>
      <c r="L132" s="1"/>
      <c r="M132" s="1"/>
      <c r="N132" s="1"/>
      <c r="O132" s="1"/>
      <c r="P132" s="1"/>
      <c r="Q132" s="1"/>
      <c r="R132" s="3"/>
      <c r="S132" s="3"/>
    </row>
    <row r="133" spans="2:19" ht="25.5" customHeight="1">
      <c r="B133" s="1"/>
      <c r="C133" s="1"/>
      <c r="D133" s="1"/>
      <c r="E133" s="1"/>
      <c r="F133" s="1"/>
      <c r="G133" s="1"/>
      <c r="H133" s="2"/>
      <c r="I133" s="1"/>
      <c r="J133" s="1"/>
      <c r="K133" s="1"/>
      <c r="L133" s="1"/>
      <c r="M133" s="1"/>
      <c r="N133" s="1"/>
      <c r="O133" s="1"/>
      <c r="P133" s="1"/>
      <c r="Q133" s="1"/>
      <c r="R133" s="3"/>
      <c r="S133" s="3"/>
    </row>
    <row r="134" spans="2:19" ht="25.5" customHeight="1">
      <c r="B134" s="1"/>
      <c r="C134" s="1"/>
      <c r="D134" s="1"/>
      <c r="E134" s="1"/>
      <c r="F134" s="1"/>
      <c r="G134" s="1"/>
      <c r="H134" s="2"/>
      <c r="I134" s="1"/>
      <c r="J134" s="1"/>
      <c r="K134" s="1"/>
      <c r="L134" s="1"/>
      <c r="M134" s="1"/>
      <c r="N134" s="1"/>
      <c r="O134" s="1"/>
      <c r="P134" s="1"/>
      <c r="Q134" s="1"/>
      <c r="R134" s="3"/>
      <c r="S134" s="3"/>
    </row>
    <row r="135" spans="2:19" ht="25.5" customHeight="1">
      <c r="B135" s="1"/>
      <c r="C135" s="1"/>
      <c r="D135" s="1"/>
      <c r="E135" s="1"/>
      <c r="F135" s="1"/>
      <c r="G135" s="1"/>
      <c r="H135" s="2"/>
      <c r="I135" s="1"/>
      <c r="J135" s="1"/>
      <c r="K135" s="1"/>
      <c r="L135" s="1"/>
      <c r="M135" s="1"/>
      <c r="N135" s="1"/>
      <c r="O135" s="1"/>
      <c r="P135" s="1"/>
      <c r="Q135" s="1"/>
      <c r="R135" s="3"/>
      <c r="S135" s="3"/>
    </row>
    <row r="136" spans="2:19" ht="25.5" customHeight="1">
      <c r="B136" s="1"/>
      <c r="C136" s="1"/>
      <c r="D136" s="1"/>
      <c r="E136" s="1"/>
      <c r="F136" s="1"/>
      <c r="G136" s="1"/>
      <c r="H136" s="2"/>
      <c r="I136" s="1"/>
      <c r="J136" s="1"/>
      <c r="K136" s="1"/>
      <c r="L136" s="1"/>
      <c r="M136" s="1"/>
      <c r="N136" s="1"/>
      <c r="O136" s="1"/>
      <c r="P136" s="1"/>
      <c r="Q136" s="1"/>
      <c r="R136" s="3"/>
      <c r="S136" s="3"/>
    </row>
    <row r="137" spans="2:19" ht="25.5" customHeight="1">
      <c r="B137" s="1"/>
      <c r="C137" s="1"/>
      <c r="D137" s="1"/>
      <c r="E137" s="1"/>
      <c r="F137" s="1"/>
      <c r="G137" s="1"/>
      <c r="H137" s="2"/>
      <c r="I137" s="1"/>
      <c r="J137" s="1"/>
      <c r="K137" s="1"/>
      <c r="L137" s="1"/>
      <c r="M137" s="1"/>
      <c r="N137" s="1"/>
      <c r="O137" s="1"/>
      <c r="P137" s="1"/>
      <c r="Q137" s="1"/>
      <c r="R137" s="3"/>
      <c r="S137" s="3"/>
    </row>
    <row r="138" spans="2:19" ht="25.5" customHeight="1">
      <c r="B138" s="1"/>
      <c r="C138" s="1"/>
      <c r="D138" s="1"/>
      <c r="E138" s="1"/>
      <c r="F138" s="1"/>
      <c r="G138" s="1"/>
      <c r="H138" s="2"/>
      <c r="I138" s="1"/>
      <c r="J138" s="1"/>
      <c r="K138" s="1"/>
      <c r="L138" s="1"/>
      <c r="M138" s="1"/>
      <c r="N138" s="1"/>
      <c r="O138" s="1"/>
      <c r="P138" s="1"/>
      <c r="Q138" s="1"/>
      <c r="R138" s="3"/>
      <c r="S138" s="3"/>
    </row>
    <row r="139" spans="2:19" ht="25.5" customHeight="1">
      <c r="B139" s="1"/>
      <c r="C139" s="1"/>
      <c r="D139" s="1"/>
      <c r="E139" s="1"/>
      <c r="F139" s="1"/>
      <c r="G139" s="1"/>
      <c r="H139" s="2"/>
      <c r="I139" s="1"/>
      <c r="J139" s="1"/>
      <c r="K139" s="1"/>
      <c r="L139" s="1"/>
      <c r="M139" s="1"/>
      <c r="N139" s="1"/>
      <c r="O139" s="1"/>
      <c r="P139" s="1"/>
      <c r="Q139" s="1"/>
      <c r="R139" s="3"/>
      <c r="S139" s="3"/>
    </row>
    <row r="140" spans="2:19" ht="25.5" customHeight="1">
      <c r="B140" s="1"/>
      <c r="C140" s="1"/>
      <c r="D140" s="1"/>
      <c r="E140" s="1"/>
      <c r="F140" s="1"/>
      <c r="G140" s="1"/>
      <c r="H140" s="2"/>
      <c r="I140" s="1"/>
      <c r="J140" s="1"/>
      <c r="K140" s="1"/>
      <c r="L140" s="1"/>
      <c r="M140" s="1"/>
      <c r="N140" s="1"/>
      <c r="O140" s="1"/>
      <c r="P140" s="1"/>
      <c r="Q140" s="1"/>
      <c r="R140" s="3"/>
      <c r="S140" s="3"/>
    </row>
    <row r="141" spans="2:19" ht="25.5" customHeight="1">
      <c r="B141" s="1"/>
      <c r="C141" s="1"/>
      <c r="D141" s="1"/>
      <c r="E141" s="1"/>
      <c r="F141" s="1"/>
      <c r="G141" s="1"/>
      <c r="H141" s="2"/>
      <c r="I141" s="1"/>
      <c r="J141" s="1"/>
      <c r="K141" s="1"/>
      <c r="L141" s="1"/>
      <c r="M141" s="1"/>
      <c r="N141" s="1"/>
      <c r="O141" s="1"/>
      <c r="P141" s="1"/>
      <c r="Q141" s="1"/>
      <c r="R141" s="3"/>
      <c r="S141" s="3"/>
    </row>
    <row r="142" spans="2:19" ht="25.5" customHeight="1">
      <c r="B142" s="1"/>
      <c r="C142" s="1"/>
      <c r="D142" s="1"/>
      <c r="E142" s="1"/>
      <c r="F142" s="1"/>
      <c r="G142" s="1"/>
      <c r="H142" s="2"/>
      <c r="I142" s="1"/>
      <c r="J142" s="1"/>
      <c r="K142" s="1"/>
      <c r="L142" s="1"/>
      <c r="M142" s="1"/>
      <c r="N142" s="1"/>
      <c r="O142" s="1"/>
      <c r="P142" s="1"/>
      <c r="Q142" s="1"/>
      <c r="R142" s="3"/>
      <c r="S142" s="3"/>
    </row>
    <row r="143" spans="2:19" ht="25.5" customHeight="1">
      <c r="B143" s="1"/>
      <c r="C143" s="1"/>
      <c r="D143" s="1"/>
      <c r="E143" s="1"/>
      <c r="F143" s="1"/>
      <c r="G143" s="1"/>
      <c r="H143" s="2"/>
      <c r="I143" s="1"/>
      <c r="J143" s="1"/>
      <c r="K143" s="1"/>
      <c r="L143" s="1"/>
      <c r="M143" s="1"/>
      <c r="N143" s="1"/>
      <c r="O143" s="1"/>
      <c r="P143" s="1"/>
      <c r="Q143" s="1"/>
      <c r="R143" s="3"/>
      <c r="S143" s="3"/>
    </row>
    <row r="144" spans="2:19" ht="25.5" customHeight="1">
      <c r="B144" s="1"/>
      <c r="C144" s="1"/>
      <c r="D144" s="1"/>
      <c r="E144" s="1"/>
      <c r="F144" s="1"/>
      <c r="G144" s="1"/>
      <c r="H144" s="2"/>
      <c r="I144" s="1"/>
      <c r="J144" s="1"/>
      <c r="K144" s="1"/>
      <c r="L144" s="1"/>
      <c r="M144" s="1"/>
      <c r="N144" s="1"/>
      <c r="O144" s="1"/>
      <c r="P144" s="1"/>
      <c r="Q144" s="1"/>
      <c r="R144" s="3"/>
      <c r="S144" s="3"/>
    </row>
    <row r="145" spans="2:19" ht="25.5" customHeight="1">
      <c r="B145" s="1"/>
      <c r="C145" s="1"/>
      <c r="D145" s="1"/>
      <c r="E145" s="1"/>
      <c r="F145" s="1"/>
      <c r="G145" s="1"/>
      <c r="H145" s="2"/>
      <c r="I145" s="1"/>
      <c r="J145" s="1"/>
      <c r="K145" s="1"/>
      <c r="L145" s="1"/>
      <c r="M145" s="1"/>
      <c r="N145" s="1"/>
      <c r="O145" s="1"/>
      <c r="P145" s="1"/>
      <c r="Q145" s="1"/>
      <c r="R145" s="3"/>
      <c r="S145" s="3"/>
    </row>
    <row r="146" spans="2:19" ht="25.5" customHeight="1">
      <c r="B146" s="1"/>
      <c r="C146" s="1"/>
      <c r="D146" s="1"/>
      <c r="E146" s="1"/>
      <c r="F146" s="1"/>
      <c r="G146" s="1"/>
      <c r="H146" s="2"/>
      <c r="I146" s="1"/>
      <c r="J146" s="1"/>
      <c r="K146" s="1"/>
      <c r="L146" s="1"/>
      <c r="M146" s="1"/>
      <c r="N146" s="1"/>
      <c r="O146" s="1"/>
      <c r="P146" s="1"/>
      <c r="Q146" s="1"/>
      <c r="R146" s="3"/>
      <c r="S146" s="3"/>
    </row>
    <row r="147" spans="2:19" ht="25.5" customHeight="1">
      <c r="B147" s="1"/>
      <c r="C147" s="1"/>
      <c r="D147" s="1"/>
      <c r="E147" s="1"/>
      <c r="F147" s="1"/>
      <c r="G147" s="1"/>
      <c r="H147" s="2"/>
      <c r="I147" s="1"/>
      <c r="J147" s="1"/>
      <c r="K147" s="1"/>
      <c r="L147" s="1"/>
      <c r="M147" s="1"/>
      <c r="N147" s="1"/>
      <c r="O147" s="1"/>
      <c r="P147" s="1"/>
      <c r="Q147" s="1"/>
      <c r="R147" s="3"/>
      <c r="S147" s="3"/>
    </row>
    <row r="148" spans="2:19" ht="25.5" customHeight="1">
      <c r="B148" s="1"/>
      <c r="C148" s="1"/>
      <c r="D148" s="1"/>
      <c r="E148" s="1"/>
      <c r="F148" s="1"/>
      <c r="G148" s="1"/>
      <c r="H148" s="2"/>
      <c r="I148" s="1"/>
      <c r="J148" s="1"/>
      <c r="K148" s="1"/>
      <c r="L148" s="1"/>
      <c r="M148" s="1"/>
      <c r="N148" s="1"/>
      <c r="O148" s="1"/>
      <c r="P148" s="1"/>
      <c r="Q148" s="1"/>
      <c r="R148" s="3"/>
      <c r="S148" s="3"/>
    </row>
    <row r="149" spans="2:19" ht="25.5" customHeight="1">
      <c r="B149" s="1"/>
      <c r="C149" s="1"/>
      <c r="D149" s="1"/>
      <c r="E149" s="1"/>
      <c r="F149" s="1"/>
      <c r="G149" s="1"/>
      <c r="H149" s="2"/>
      <c r="I149" s="1"/>
      <c r="J149" s="1"/>
      <c r="K149" s="1"/>
      <c r="L149" s="1"/>
      <c r="M149" s="1"/>
      <c r="N149" s="1"/>
      <c r="O149" s="1"/>
      <c r="P149" s="1"/>
      <c r="Q149" s="1"/>
      <c r="R149" s="3"/>
      <c r="S149" s="3"/>
    </row>
    <row r="150" spans="2:19" ht="25.5" customHeight="1">
      <c r="B150" s="1"/>
      <c r="C150" s="1"/>
      <c r="D150" s="1"/>
      <c r="E150" s="1"/>
      <c r="F150" s="1"/>
      <c r="G150" s="1"/>
      <c r="H150" s="2"/>
      <c r="I150" s="1"/>
      <c r="J150" s="1"/>
      <c r="K150" s="1"/>
      <c r="L150" s="1"/>
      <c r="M150" s="1"/>
      <c r="N150" s="1"/>
      <c r="O150" s="1"/>
      <c r="P150" s="1"/>
      <c r="Q150" s="1"/>
      <c r="R150" s="3"/>
      <c r="S150" s="3"/>
    </row>
    <row r="151" spans="2:19" ht="25.5" customHeight="1">
      <c r="B151" s="1"/>
      <c r="C151" s="1"/>
      <c r="D151" s="1"/>
      <c r="E151" s="1"/>
      <c r="F151" s="1"/>
      <c r="G151" s="1"/>
      <c r="H151" s="2"/>
      <c r="I151" s="1"/>
      <c r="J151" s="1"/>
      <c r="K151" s="1"/>
      <c r="L151" s="1"/>
      <c r="M151" s="1"/>
      <c r="N151" s="1"/>
      <c r="O151" s="1"/>
      <c r="P151" s="1"/>
      <c r="Q151" s="1"/>
      <c r="R151" s="3"/>
      <c r="S151" s="3"/>
    </row>
    <row r="152" spans="2:19" ht="25.5" customHeight="1">
      <c r="B152" s="1"/>
      <c r="C152" s="1"/>
      <c r="D152" s="1"/>
      <c r="E152" s="1"/>
      <c r="F152" s="1"/>
      <c r="G152" s="1"/>
      <c r="H152" s="2"/>
      <c r="I152" s="1"/>
      <c r="J152" s="1"/>
      <c r="K152" s="1"/>
      <c r="L152" s="1"/>
      <c r="M152" s="1"/>
      <c r="N152" s="1"/>
      <c r="O152" s="1"/>
      <c r="P152" s="1"/>
      <c r="Q152" s="1"/>
      <c r="R152" s="3"/>
      <c r="S152" s="3"/>
    </row>
    <row r="153" spans="2:19" ht="25.5" customHeight="1">
      <c r="B153" s="1"/>
      <c r="C153" s="1"/>
      <c r="D153" s="1"/>
      <c r="E153" s="1"/>
      <c r="F153" s="1"/>
      <c r="G153" s="1"/>
      <c r="H153" s="2"/>
      <c r="I153" s="1"/>
      <c r="J153" s="1"/>
      <c r="K153" s="1"/>
      <c r="L153" s="1"/>
      <c r="M153" s="1"/>
      <c r="N153" s="1"/>
      <c r="O153" s="1"/>
      <c r="P153" s="1"/>
      <c r="Q153" s="1"/>
      <c r="R153" s="3"/>
      <c r="S153" s="3"/>
    </row>
    <row r="154" spans="2:19" ht="15.75" customHeight="1"/>
    <row r="155" spans="2:19" ht="15.75" customHeight="1"/>
    <row r="156" spans="2:19" ht="15.75" customHeight="1"/>
    <row r="157" spans="2:19" ht="15.75" customHeight="1"/>
    <row r="158" spans="2:19" ht="15.75" customHeight="1"/>
    <row r="159" spans="2:19" ht="15.75" customHeight="1"/>
    <row r="160" spans="2:19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D30" r:id="rId1"/>
  </hyperlinks>
  <pageMargins left="0.511811024" right="0.511811024" top="0.78740157499999996" bottom="0.78740157499999996" header="0" footer="0"/>
  <pageSetup paperSize="9" orientation="portrait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K1000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4" customWidth="1"/>
    <col min="7" max="7" width="15.5703125" customWidth="1"/>
    <col min="8" max="8" width="14.42578125" customWidth="1"/>
    <col min="9" max="9" width="14" customWidth="1"/>
    <col min="10" max="10" width="17.7109375" customWidth="1"/>
    <col min="11" max="11" width="1.42578125" customWidth="1"/>
  </cols>
  <sheetData>
    <row r="1" spans="1:11" ht="11.25" customHeight="1">
      <c r="A1" s="579"/>
      <c r="B1" s="579"/>
      <c r="C1" s="579"/>
      <c r="D1" s="579"/>
      <c r="E1" s="579"/>
      <c r="F1" s="579"/>
      <c r="G1" s="579"/>
      <c r="H1" s="579"/>
      <c r="I1" s="579"/>
      <c r="J1" s="904"/>
      <c r="K1" s="579"/>
    </row>
    <row r="2" spans="1:11" ht="11.25" customHeight="1">
      <c r="A2" s="579"/>
      <c r="B2" s="1066" t="str">
        <f>'1-ABA-DE-CARREGAMENTO'!C11</f>
        <v xml:space="preserve"> S E R V I Ç O S     -    INTERPRETE DE LIBRAS e SINAIS </v>
      </c>
      <c r="C2" s="1054"/>
      <c r="D2" s="1054"/>
      <c r="E2" s="1054"/>
      <c r="F2" s="1054"/>
      <c r="G2" s="1054"/>
      <c r="H2" s="1054"/>
      <c r="I2" s="1054"/>
      <c r="J2" s="1055"/>
      <c r="K2" s="583"/>
    </row>
    <row r="3" spans="1:11" ht="11.25" customHeight="1">
      <c r="A3" s="579"/>
      <c r="B3" s="1067" t="str">
        <f>'1-ABA-DE-CARREGAMENTO'!E33</f>
        <v>A NÃO TEM MAIS POSTOS-00</v>
      </c>
      <c r="C3" s="1037"/>
      <c r="D3" s="1037"/>
      <c r="E3" s="1037"/>
      <c r="F3" s="1037"/>
      <c r="G3" s="1037"/>
      <c r="H3" s="1037"/>
      <c r="I3" s="1037"/>
      <c r="J3" s="1038"/>
      <c r="K3" s="584"/>
    </row>
    <row r="4" spans="1:11" ht="11.25" customHeight="1">
      <c r="A4" s="579"/>
      <c r="B4" s="1060" t="s">
        <v>366</v>
      </c>
      <c r="C4" s="1037"/>
      <c r="D4" s="1037"/>
      <c r="E4" s="1037"/>
      <c r="F4" s="1038"/>
      <c r="G4" s="1068">
        <f>'1-ABA-DE-CARREGAMENTO'!C12</f>
        <v>0</v>
      </c>
      <c r="H4" s="1037"/>
      <c r="I4" s="1037"/>
      <c r="J4" s="1038"/>
      <c r="K4" s="585"/>
    </row>
    <row r="5" spans="1:11" ht="11.25" customHeight="1">
      <c r="A5" s="579"/>
      <c r="B5" s="1051" t="s">
        <v>367</v>
      </c>
      <c r="C5" s="949"/>
      <c r="D5" s="949"/>
      <c r="E5" s="949"/>
      <c r="F5" s="950"/>
      <c r="G5" s="1069">
        <f>'1-ABA-DE-CARREGAMENTO'!C13</f>
        <v>0</v>
      </c>
      <c r="H5" s="949"/>
      <c r="I5" s="949"/>
      <c r="J5" s="950"/>
      <c r="K5" s="585"/>
    </row>
    <row r="6" spans="1:11" ht="11.25" customHeight="1">
      <c r="A6" s="579"/>
      <c r="B6" s="1070">
        <f>'1-ABA-DE-CARREGAMENTO'!C16</f>
        <v>0</v>
      </c>
      <c r="C6" s="949"/>
      <c r="D6" s="949"/>
      <c r="E6" s="949"/>
      <c r="F6" s="949"/>
      <c r="G6" s="949"/>
      <c r="H6" s="949"/>
      <c r="I6" s="949"/>
      <c r="J6" s="950"/>
      <c r="K6" s="587"/>
    </row>
    <row r="7" spans="1:11" ht="11.25" customHeight="1">
      <c r="A7" s="579"/>
      <c r="B7" s="1050" t="s">
        <v>368</v>
      </c>
      <c r="C7" s="949"/>
      <c r="D7" s="949"/>
      <c r="E7" s="949"/>
      <c r="F7" s="949"/>
      <c r="G7" s="949"/>
      <c r="H7" s="949"/>
      <c r="I7" s="949"/>
      <c r="J7" s="950"/>
      <c r="K7" s="588"/>
    </row>
    <row r="8" spans="1:11" ht="11.25" customHeight="1">
      <c r="A8" s="579"/>
      <c r="B8" s="589" t="s">
        <v>369</v>
      </c>
      <c r="C8" s="1051" t="s">
        <v>370</v>
      </c>
      <c r="D8" s="949"/>
      <c r="E8" s="949"/>
      <c r="F8" s="949"/>
      <c r="G8" s="949"/>
      <c r="H8" s="950"/>
      <c r="I8" s="1071">
        <f>'1-ABA-DE-CARREGAMENTO'!C16</f>
        <v>0</v>
      </c>
      <c r="J8" s="950"/>
      <c r="K8" s="590"/>
    </row>
    <row r="9" spans="1:11" ht="11.25" customHeight="1">
      <c r="A9" s="579"/>
      <c r="B9" s="589" t="s">
        <v>371</v>
      </c>
      <c r="C9" s="1051" t="s">
        <v>372</v>
      </c>
      <c r="D9" s="949"/>
      <c r="E9" s="949"/>
      <c r="F9" s="949"/>
      <c r="G9" s="949"/>
      <c r="H9" s="950"/>
      <c r="I9" s="1069" t="str">
        <f>'1-ABA-DE-CARREGAMENTO'!C14</f>
        <v xml:space="preserve">SANTO-AUGUSTO </v>
      </c>
      <c r="J9" s="950"/>
      <c r="K9" s="585"/>
    </row>
    <row r="10" spans="1:11" ht="11.25" customHeight="1">
      <c r="A10" s="579"/>
      <c r="B10" s="589" t="s">
        <v>373</v>
      </c>
      <c r="C10" s="1051" t="s">
        <v>374</v>
      </c>
      <c r="D10" s="949"/>
      <c r="E10" s="949"/>
      <c r="F10" s="949"/>
      <c r="G10" s="949"/>
      <c r="H10" s="950"/>
      <c r="I10" s="1069" t="str">
        <f>'1-ABA-DE-CARREGAMENTO'!E35</f>
        <v>RS_PISO_REG/22</v>
      </c>
      <c r="J10" s="950"/>
      <c r="K10" s="585"/>
    </row>
    <row r="11" spans="1:11" ht="11.25" customHeight="1">
      <c r="A11" s="579"/>
      <c r="B11" s="589" t="s">
        <v>375</v>
      </c>
      <c r="C11" s="1051" t="s">
        <v>376</v>
      </c>
      <c r="D11" s="949"/>
      <c r="E11" s="949"/>
      <c r="F11" s="949"/>
      <c r="G11" s="949"/>
      <c r="H11" s="950"/>
      <c r="I11" s="1175">
        <f>'1-ABA-DE-CARREGAMENTO'!E94</f>
        <v>30</v>
      </c>
      <c r="J11" s="950"/>
      <c r="K11" s="585"/>
    </row>
    <row r="12" spans="1:11" ht="11.25" customHeight="1">
      <c r="A12" s="579"/>
      <c r="B12" s="1074" t="s">
        <v>377</v>
      </c>
      <c r="C12" s="949"/>
      <c r="D12" s="949"/>
      <c r="E12" s="949"/>
      <c r="F12" s="949"/>
      <c r="G12" s="949"/>
      <c r="H12" s="949"/>
      <c r="I12" s="949"/>
      <c r="J12" s="950"/>
      <c r="K12" s="592"/>
    </row>
    <row r="13" spans="1:11" ht="11.25" customHeight="1">
      <c r="A13" s="579"/>
      <c r="B13" s="1075" t="str">
        <f>'1-ABA-DE-CARREGAMENTO'!C11</f>
        <v xml:space="preserve"> S E R V I Ç O S     -    INTERPRETE DE LIBRAS e SINAIS </v>
      </c>
      <c r="C13" s="949"/>
      <c r="D13" s="949"/>
      <c r="E13" s="949"/>
      <c r="F13" s="949"/>
      <c r="G13" s="1075" t="s">
        <v>378</v>
      </c>
      <c r="H13" s="950"/>
      <c r="I13" s="1075" t="s">
        <v>379</v>
      </c>
      <c r="J13" s="950"/>
      <c r="K13" s="593"/>
    </row>
    <row r="14" spans="1:11" ht="11.25" hidden="1" customHeight="1" outlineLevel="1">
      <c r="A14" s="579"/>
      <c r="B14" s="1040" t="s">
        <v>380</v>
      </c>
      <c r="C14" s="949"/>
      <c r="D14" s="949"/>
      <c r="E14" s="949"/>
      <c r="F14" s="950"/>
      <c r="G14" s="1041" t="s">
        <v>381</v>
      </c>
      <c r="H14" s="950"/>
      <c r="I14" s="1042" t="s">
        <v>382</v>
      </c>
      <c r="J14" s="950"/>
      <c r="K14" s="594"/>
    </row>
    <row r="15" spans="1:11" ht="11.25" hidden="1" customHeight="1" outlineLevel="1">
      <c r="A15" s="579"/>
      <c r="B15" s="1040" t="s">
        <v>383</v>
      </c>
      <c r="C15" s="949"/>
      <c r="D15" s="949"/>
      <c r="E15" s="949"/>
      <c r="F15" s="950"/>
      <c r="G15" s="1041" t="s">
        <v>381</v>
      </c>
      <c r="H15" s="950"/>
      <c r="I15" s="1042" t="s">
        <v>382</v>
      </c>
      <c r="J15" s="950"/>
      <c r="K15" s="594"/>
    </row>
    <row r="16" spans="1:11" ht="11.25" hidden="1" customHeight="1" outlineLevel="1">
      <c r="A16" s="579"/>
      <c r="B16" s="1040" t="s">
        <v>384</v>
      </c>
      <c r="C16" s="949"/>
      <c r="D16" s="949"/>
      <c r="E16" s="949"/>
      <c r="F16" s="950"/>
      <c r="G16" s="1041" t="s">
        <v>381</v>
      </c>
      <c r="H16" s="950"/>
      <c r="I16" s="1042" t="s">
        <v>382</v>
      </c>
      <c r="J16" s="950"/>
      <c r="K16" s="594"/>
    </row>
    <row r="17" spans="1:11" ht="11.25" customHeight="1" collapsed="1">
      <c r="A17" s="579"/>
      <c r="B17" s="1040" t="str">
        <f>B3</f>
        <v>A NÃO TEM MAIS POSTOS-00</v>
      </c>
      <c r="C17" s="949"/>
      <c r="D17" s="949"/>
      <c r="E17" s="949"/>
      <c r="F17" s="950"/>
      <c r="G17" s="1041" t="s">
        <v>381</v>
      </c>
      <c r="H17" s="950"/>
      <c r="I17" s="1042">
        <f>'1-ABA-DE-CARREGAMENTO'!E92</f>
        <v>0</v>
      </c>
      <c r="J17" s="950"/>
      <c r="K17" s="594"/>
    </row>
    <row r="18" spans="1:11" ht="11.25" hidden="1" customHeight="1" outlineLevel="1">
      <c r="A18" s="579"/>
      <c r="B18" s="1040" t="s">
        <v>385</v>
      </c>
      <c r="C18" s="949"/>
      <c r="D18" s="949"/>
      <c r="E18" s="949"/>
      <c r="F18" s="950"/>
      <c r="G18" s="1041" t="s">
        <v>381</v>
      </c>
      <c r="H18" s="950"/>
      <c r="I18" s="1042" t="s">
        <v>382</v>
      </c>
      <c r="J18" s="950"/>
      <c r="K18" s="594"/>
    </row>
    <row r="19" spans="1:11" ht="11.25" hidden="1" customHeight="1" outlineLevel="1">
      <c r="A19" s="579"/>
      <c r="B19" s="1040" t="s">
        <v>677</v>
      </c>
      <c r="C19" s="949"/>
      <c r="D19" s="949"/>
      <c r="E19" s="949"/>
      <c r="F19" s="950"/>
      <c r="G19" s="1041" t="s">
        <v>381</v>
      </c>
      <c r="H19" s="950"/>
      <c r="I19" s="1042" t="s">
        <v>382</v>
      </c>
      <c r="J19" s="950"/>
      <c r="K19" s="594"/>
    </row>
    <row r="20" spans="1:11" ht="11.25" customHeight="1" collapsed="1">
      <c r="A20" s="579"/>
      <c r="B20" s="1044" t="s">
        <v>387</v>
      </c>
      <c r="C20" s="949"/>
      <c r="D20" s="949"/>
      <c r="E20" s="949"/>
      <c r="F20" s="949"/>
      <c r="G20" s="949"/>
      <c r="H20" s="950"/>
      <c r="I20" s="1043">
        <f>SUM(I14:I19)</f>
        <v>0</v>
      </c>
      <c r="J20" s="950"/>
      <c r="K20" s="595"/>
    </row>
    <row r="21" spans="1:11" ht="9" customHeight="1">
      <c r="A21" s="579"/>
      <c r="B21" s="1045"/>
      <c r="C21" s="949"/>
      <c r="D21" s="949"/>
      <c r="E21" s="949"/>
      <c r="F21" s="949"/>
      <c r="G21" s="949"/>
      <c r="H21" s="949"/>
      <c r="I21" s="949"/>
      <c r="J21" s="950"/>
      <c r="K21" s="593"/>
    </row>
    <row r="22" spans="1:11" ht="11.25" customHeight="1">
      <c r="A22" s="579"/>
      <c r="B22" s="1046" t="s">
        <v>388</v>
      </c>
      <c r="C22" s="949"/>
      <c r="D22" s="949"/>
      <c r="E22" s="949"/>
      <c r="F22" s="949"/>
      <c r="G22" s="949"/>
      <c r="H22" s="949"/>
      <c r="I22" s="949"/>
      <c r="J22" s="950"/>
      <c r="K22" s="596"/>
    </row>
    <row r="23" spans="1:11" ht="6.75" customHeight="1">
      <c r="A23" s="579"/>
      <c r="B23" s="1047"/>
      <c r="C23" s="949"/>
      <c r="D23" s="949"/>
      <c r="E23" s="949"/>
      <c r="F23" s="949"/>
      <c r="G23" s="949"/>
      <c r="H23" s="949"/>
      <c r="I23" s="949"/>
      <c r="J23" s="950"/>
      <c r="K23" s="362"/>
    </row>
    <row r="24" spans="1:11" ht="11.25" customHeight="1">
      <c r="A24" s="579"/>
      <c r="B24" s="1048" t="s">
        <v>678</v>
      </c>
      <c r="C24" s="949"/>
      <c r="D24" s="949"/>
      <c r="E24" s="949"/>
      <c r="F24" s="949"/>
      <c r="G24" s="949"/>
      <c r="H24" s="949"/>
      <c r="I24" s="949"/>
      <c r="J24" s="950"/>
      <c r="K24" s="597"/>
    </row>
    <row r="25" spans="1:11" ht="9" customHeight="1">
      <c r="A25" s="579"/>
      <c r="B25" s="1049"/>
      <c r="C25" s="949"/>
      <c r="D25" s="949"/>
      <c r="E25" s="949"/>
      <c r="F25" s="949"/>
      <c r="G25" s="949"/>
      <c r="H25" s="949"/>
      <c r="I25" s="949"/>
      <c r="J25" s="950"/>
      <c r="K25" s="598"/>
    </row>
    <row r="26" spans="1:11" ht="11.25" customHeight="1">
      <c r="A26" s="593"/>
      <c r="B26" s="1050" t="s">
        <v>390</v>
      </c>
      <c r="C26" s="949"/>
      <c r="D26" s="949"/>
      <c r="E26" s="949"/>
      <c r="F26" s="949"/>
      <c r="G26" s="949"/>
      <c r="H26" s="949"/>
      <c r="I26" s="949"/>
      <c r="J26" s="950"/>
      <c r="K26" s="588"/>
    </row>
    <row r="27" spans="1:11" ht="11.25" customHeight="1">
      <c r="A27" s="579"/>
      <c r="B27" s="589">
        <v>1</v>
      </c>
      <c r="C27" s="1051" t="s">
        <v>391</v>
      </c>
      <c r="D27" s="949"/>
      <c r="E27" s="949"/>
      <c r="F27" s="949"/>
      <c r="G27" s="949"/>
      <c r="H27" s="950"/>
      <c r="I27" s="1052" t="str">
        <f>'1-ABA-DE-CARREGAMENTO'!E33</f>
        <v>A NÃO TEM MAIS POSTOS-00</v>
      </c>
      <c r="J27" s="950"/>
      <c r="K27" s="599"/>
    </row>
    <row r="28" spans="1:11" ht="11.25" customHeight="1">
      <c r="A28" s="579"/>
      <c r="B28" s="600">
        <v>2</v>
      </c>
      <c r="C28" s="1092" t="s">
        <v>392</v>
      </c>
      <c r="D28" s="949"/>
      <c r="E28" s="949"/>
      <c r="F28" s="949"/>
      <c r="G28" s="949"/>
      <c r="H28" s="950"/>
      <c r="I28" s="1056"/>
      <c r="J28" s="950"/>
      <c r="K28" s="601"/>
    </row>
    <row r="29" spans="1:11" ht="38.25" customHeight="1">
      <c r="A29" s="579"/>
      <c r="B29" s="589">
        <v>3</v>
      </c>
      <c r="C29" s="1057" t="s">
        <v>679</v>
      </c>
      <c r="D29" s="929"/>
      <c r="E29" s="905">
        <v>220</v>
      </c>
      <c r="F29" s="604">
        <f>'1-ABA-DE-CARREGAMENTO'!E37</f>
        <v>1305.56</v>
      </c>
      <c r="G29" s="586" t="s">
        <v>394</v>
      </c>
      <c r="H29" s="864">
        <f>'1-ABA-DE-CARREGAMENTO'!E52</f>
        <v>200</v>
      </c>
      <c r="I29" s="1058">
        <f>F29/E29*H29</f>
        <v>1186.8727272727272</v>
      </c>
      <c r="J29" s="950"/>
      <c r="K29" s="606"/>
    </row>
    <row r="30" spans="1:11" ht="11.25" customHeight="1">
      <c r="A30" s="579"/>
      <c r="B30" s="589">
        <v>4</v>
      </c>
      <c r="C30" s="1051" t="s">
        <v>395</v>
      </c>
      <c r="D30" s="949"/>
      <c r="E30" s="949"/>
      <c r="F30" s="949"/>
      <c r="G30" s="949"/>
      <c r="H30" s="950"/>
      <c r="I30" s="1059"/>
      <c r="J30" s="950"/>
      <c r="K30" s="607"/>
    </row>
    <row r="31" spans="1:11" ht="11.25" customHeight="1">
      <c r="A31" s="579"/>
      <c r="B31" s="589">
        <v>5</v>
      </c>
      <c r="C31" s="1051" t="s">
        <v>396</v>
      </c>
      <c r="D31" s="949"/>
      <c r="E31" s="949"/>
      <c r="F31" s="949"/>
      <c r="G31" s="949"/>
      <c r="H31" s="950"/>
      <c r="I31" s="1061" t="str">
        <f>'1-ABA-DE-CARREGAMENTO'!E36</f>
        <v>01 de OUTUBRO</v>
      </c>
      <c r="J31" s="950"/>
      <c r="K31" s="608"/>
    </row>
    <row r="32" spans="1:11" ht="26.25" customHeight="1">
      <c r="A32" s="579"/>
      <c r="B32" s="609">
        <v>6</v>
      </c>
      <c r="C32" s="1062" t="s">
        <v>680</v>
      </c>
      <c r="D32" s="949"/>
      <c r="E32" s="949"/>
      <c r="F32" s="949"/>
      <c r="G32" s="949"/>
      <c r="H32" s="950"/>
      <c r="I32" s="1063">
        <f>I29/H29</f>
        <v>5.9343636363636358</v>
      </c>
      <c r="J32" s="950"/>
      <c r="K32" s="610"/>
    </row>
    <row r="33" spans="1:11" ht="26.25" customHeight="1">
      <c r="A33" s="579"/>
      <c r="B33" s="609">
        <v>7</v>
      </c>
      <c r="C33" s="1062" t="s">
        <v>681</v>
      </c>
      <c r="D33" s="949"/>
      <c r="E33" s="949"/>
      <c r="F33" s="950"/>
      <c r="G33" s="1064"/>
      <c r="H33" s="950"/>
      <c r="I33" s="1076">
        <f>(SUM(J47:J50)/H29)</f>
        <v>7.2543636363636361</v>
      </c>
      <c r="J33" s="950"/>
      <c r="K33" s="610"/>
    </row>
    <row r="34" spans="1:11" ht="26.25" customHeight="1">
      <c r="A34" s="579"/>
      <c r="B34" s="609">
        <v>8</v>
      </c>
      <c r="C34" s="1062" t="s">
        <v>682</v>
      </c>
      <c r="D34" s="949"/>
      <c r="E34" s="949"/>
      <c r="F34" s="950"/>
      <c r="G34" s="1064"/>
      <c r="H34" s="950"/>
      <c r="I34" s="1063">
        <f t="shared" ref="I34:I35" si="0">I32*1.5</f>
        <v>8.9015454545454542</v>
      </c>
      <c r="J34" s="950"/>
      <c r="K34" s="610"/>
    </row>
    <row r="35" spans="1:11" ht="26.25" customHeight="1">
      <c r="A35" s="579"/>
      <c r="B35" s="609">
        <v>9</v>
      </c>
      <c r="C35" s="1062" t="s">
        <v>683</v>
      </c>
      <c r="D35" s="949"/>
      <c r="E35" s="949"/>
      <c r="F35" s="950"/>
      <c r="G35" s="1064" t="s">
        <v>401</v>
      </c>
      <c r="H35" s="950"/>
      <c r="I35" s="1076">
        <f t="shared" si="0"/>
        <v>10.881545454545455</v>
      </c>
      <c r="J35" s="950"/>
      <c r="K35" s="611"/>
    </row>
    <row r="36" spans="1:11" ht="26.25" customHeight="1">
      <c r="A36" s="579"/>
      <c r="B36" s="609">
        <v>10</v>
      </c>
      <c r="C36" s="1062" t="s">
        <v>684</v>
      </c>
      <c r="D36" s="949"/>
      <c r="E36" s="949"/>
      <c r="F36" s="949"/>
      <c r="G36" s="949"/>
      <c r="H36" s="950"/>
      <c r="I36" s="1063">
        <f>I35*1.2</f>
        <v>13.057854545454544</v>
      </c>
      <c r="J36" s="950"/>
      <c r="K36" s="610"/>
    </row>
    <row r="37" spans="1:11" ht="26.25" customHeight="1">
      <c r="A37" s="579"/>
      <c r="B37" s="609">
        <v>11</v>
      </c>
      <c r="C37" s="1062" t="s">
        <v>685</v>
      </c>
      <c r="D37" s="949"/>
      <c r="E37" s="949"/>
      <c r="F37" s="949"/>
      <c r="G37" s="949"/>
      <c r="H37" s="950"/>
      <c r="I37" s="1076">
        <f>I35*2</f>
        <v>21.763090909090909</v>
      </c>
      <c r="J37" s="950"/>
      <c r="K37" s="610"/>
    </row>
    <row r="38" spans="1:11" ht="14.25" customHeight="1" outlineLevel="1">
      <c r="A38" s="579"/>
      <c r="B38" s="609">
        <v>12</v>
      </c>
      <c r="C38" s="1062" t="s">
        <v>686</v>
      </c>
      <c r="D38" s="949"/>
      <c r="E38" s="949"/>
      <c r="F38" s="949"/>
      <c r="G38" s="949"/>
      <c r="H38" s="950"/>
      <c r="I38" s="1063">
        <f>I29*'1-ABA-DE-CARREGAMENTO'!D44</f>
        <v>0</v>
      </c>
      <c r="J38" s="950"/>
      <c r="K38" s="610"/>
    </row>
    <row r="39" spans="1:11" ht="11.25" customHeight="1" outlineLevel="1">
      <c r="A39" s="579"/>
      <c r="B39" s="609">
        <v>13</v>
      </c>
      <c r="C39" s="1062" t="s">
        <v>405</v>
      </c>
      <c r="D39" s="949"/>
      <c r="E39" s="949"/>
      <c r="F39" s="949"/>
      <c r="G39" s="949"/>
      <c r="H39" s="950"/>
      <c r="I39" s="1063">
        <f>ROUND(I32/6,2)*1.3*0</f>
        <v>0</v>
      </c>
      <c r="J39" s="950"/>
      <c r="K39" s="610"/>
    </row>
    <row r="40" spans="1:11" ht="11.25" customHeight="1">
      <c r="A40" s="579"/>
      <c r="B40" s="609">
        <v>14</v>
      </c>
      <c r="C40" s="1117" t="s">
        <v>406</v>
      </c>
      <c r="D40" s="949"/>
      <c r="E40" s="949"/>
      <c r="F40" s="949"/>
      <c r="G40" s="949"/>
      <c r="H40" s="950"/>
      <c r="I40" s="1163">
        <f>'1-ABA-DE-CARREGAMENTO'!E93</f>
        <v>1</v>
      </c>
      <c r="J40" s="950"/>
      <c r="K40" s="614"/>
    </row>
    <row r="41" spans="1:11" ht="11.25" customHeight="1">
      <c r="A41" s="579"/>
      <c r="B41" s="609">
        <v>15</v>
      </c>
      <c r="C41" s="1164" t="s">
        <v>687</v>
      </c>
      <c r="D41" s="949"/>
      <c r="E41" s="949"/>
      <c r="F41" s="949"/>
      <c r="G41" s="949"/>
      <c r="H41" s="950"/>
      <c r="I41" s="1165">
        <f>'1-ABA-DE-CARREGAMENTO'!E42</f>
        <v>1320</v>
      </c>
      <c r="J41" s="950"/>
      <c r="K41" s="616"/>
    </row>
    <row r="42" spans="1:11" ht="6" customHeight="1">
      <c r="A42" s="579"/>
      <c r="B42" s="1047"/>
      <c r="C42" s="949"/>
      <c r="D42" s="949"/>
      <c r="E42" s="949"/>
      <c r="F42" s="949"/>
      <c r="G42" s="949"/>
      <c r="H42" s="949"/>
      <c r="I42" s="949"/>
      <c r="J42" s="950"/>
      <c r="K42" s="362"/>
    </row>
    <row r="43" spans="1:11" ht="30" customHeight="1">
      <c r="A43" s="579"/>
      <c r="B43" s="1086" t="s">
        <v>408</v>
      </c>
      <c r="C43" s="949"/>
      <c r="D43" s="949"/>
      <c r="E43" s="949"/>
      <c r="F43" s="949"/>
      <c r="G43" s="949"/>
      <c r="H43" s="949"/>
      <c r="I43" s="949"/>
      <c r="J43" s="950"/>
      <c r="K43" s="617"/>
    </row>
    <row r="44" spans="1:11" ht="6" customHeight="1">
      <c r="A44" s="579"/>
      <c r="B44" s="1087"/>
      <c r="C44" s="949"/>
      <c r="D44" s="949"/>
      <c r="E44" s="949"/>
      <c r="F44" s="949"/>
      <c r="G44" s="949"/>
      <c r="H44" s="949"/>
      <c r="I44" s="949"/>
      <c r="J44" s="950"/>
      <c r="K44" s="618"/>
    </row>
    <row r="45" spans="1:11" ht="11.25" customHeight="1">
      <c r="A45" s="579"/>
      <c r="B45" s="1088" t="s">
        <v>409</v>
      </c>
      <c r="C45" s="949"/>
      <c r="D45" s="949"/>
      <c r="E45" s="949"/>
      <c r="F45" s="949"/>
      <c r="G45" s="949"/>
      <c r="H45" s="949"/>
      <c r="I45" s="949"/>
      <c r="J45" s="950"/>
      <c r="K45" s="620"/>
    </row>
    <row r="46" spans="1:11" ht="11.25" customHeight="1">
      <c r="A46" s="621"/>
      <c r="B46" s="622">
        <v>1</v>
      </c>
      <c r="C46" s="1089" t="s">
        <v>410</v>
      </c>
      <c r="D46" s="949"/>
      <c r="E46" s="949"/>
      <c r="F46" s="949"/>
      <c r="G46" s="949"/>
      <c r="H46" s="950"/>
      <c r="I46" s="623" t="s">
        <v>411</v>
      </c>
      <c r="J46" s="622" t="s">
        <v>412</v>
      </c>
      <c r="K46" s="592"/>
    </row>
    <row r="47" spans="1:11" ht="12.75" customHeight="1">
      <c r="A47" s="579"/>
      <c r="B47" s="589" t="s">
        <v>369</v>
      </c>
      <c r="C47" s="1051" t="s">
        <v>413</v>
      </c>
      <c r="D47" s="949"/>
      <c r="E47" s="949"/>
      <c r="F47" s="950"/>
      <c r="G47" s="624" t="s">
        <v>184</v>
      </c>
      <c r="H47" s="625">
        <f>'1-ABA-DE-CARREGAMENTO'!E52</f>
        <v>200</v>
      </c>
      <c r="I47" s="624"/>
      <c r="J47" s="627">
        <f>I29*I40</f>
        <v>1186.8727272727272</v>
      </c>
      <c r="K47" s="628"/>
    </row>
    <row r="48" spans="1:11" ht="11.25" customHeight="1">
      <c r="A48" s="579"/>
      <c r="B48" s="589" t="s">
        <v>371</v>
      </c>
      <c r="C48" s="1051" t="s">
        <v>688</v>
      </c>
      <c r="D48" s="949"/>
      <c r="E48" s="949"/>
      <c r="F48" s="1090" t="str">
        <f>'1-ABA-DE-CARREGAMENTO'!E38</f>
        <v>SEM ADICIONAL DE FUNÇÃO</v>
      </c>
      <c r="G48" s="949"/>
      <c r="H48" s="950"/>
      <c r="I48" s="867">
        <f>'1-ABA-DE-CARREGAMENTO'!E39</f>
        <v>0</v>
      </c>
      <c r="J48" s="627">
        <f>J47*I48</f>
        <v>0</v>
      </c>
      <c r="K48" s="628"/>
    </row>
    <row r="49" spans="1:11" ht="33" customHeight="1">
      <c r="A49" s="579"/>
      <c r="B49" s="589" t="s">
        <v>373</v>
      </c>
      <c r="C49" s="1051" t="s">
        <v>689</v>
      </c>
      <c r="D49" s="949"/>
      <c r="E49" s="949"/>
      <c r="F49" s="949"/>
      <c r="G49" s="949"/>
      <c r="H49" s="950"/>
      <c r="I49" s="756">
        <f>'1-ABA-DE-CARREGAMENTO'!E44</f>
        <v>0</v>
      </c>
      <c r="J49" s="627">
        <f>ROUND(J47*I49,2)</f>
        <v>0</v>
      </c>
      <c r="K49" s="628"/>
    </row>
    <row r="50" spans="1:11" ht="21.75" customHeight="1">
      <c r="A50" s="579"/>
      <c r="B50" s="589" t="s">
        <v>375</v>
      </c>
      <c r="C50" s="1051" t="s">
        <v>690</v>
      </c>
      <c r="D50" s="949"/>
      <c r="E50" s="949"/>
      <c r="F50" s="949"/>
      <c r="G50" s="1090" t="str">
        <f>'1-ABA-DE-CARREGAMENTO'!E40</f>
        <v>INSALUB S/NORMATIVO</v>
      </c>
      <c r="H50" s="950"/>
      <c r="I50" s="869">
        <f>'1-ABA-DE-CARREGAMENTO'!E41</f>
        <v>0.2</v>
      </c>
      <c r="J50" s="627">
        <f>ROUND(I50*I41,2)</f>
        <v>264</v>
      </c>
      <c r="K50" s="628"/>
    </row>
    <row r="51" spans="1:11" ht="30.75" customHeight="1">
      <c r="A51" s="579"/>
      <c r="B51" s="589" t="s">
        <v>417</v>
      </c>
      <c r="C51" s="1091" t="s">
        <v>691</v>
      </c>
      <c r="D51" s="949"/>
      <c r="E51" s="950"/>
      <c r="F51" s="632" t="s">
        <v>419</v>
      </c>
      <c r="G51" s="870">
        <v>0</v>
      </c>
      <c r="H51" s="632" t="s">
        <v>420</v>
      </c>
      <c r="I51" s="634">
        <f>I36</f>
        <v>13.057854545454544</v>
      </c>
      <c r="J51" s="635">
        <f>G51*I51</f>
        <v>0</v>
      </c>
      <c r="K51" s="628"/>
    </row>
    <row r="52" spans="1:11" ht="38.25" hidden="1" customHeight="1" outlineLevel="1">
      <c r="A52" s="579"/>
      <c r="B52" s="589" t="s">
        <v>421</v>
      </c>
      <c r="C52" s="1092" t="s">
        <v>692</v>
      </c>
      <c r="D52" s="949"/>
      <c r="E52" s="949"/>
      <c r="F52" s="949"/>
      <c r="G52" s="949"/>
      <c r="H52" s="949"/>
      <c r="I52" s="950"/>
      <c r="J52" s="627">
        <f>ROUND(I38*(((12*15)+15)-((44/6)*26))*I35,2)*0+ROUND(2*4.33*I35,2)*0</f>
        <v>0</v>
      </c>
      <c r="K52" s="628"/>
    </row>
    <row r="53" spans="1:11" ht="38.25" hidden="1" customHeight="1" outlineLevel="1">
      <c r="A53" s="579"/>
      <c r="B53" s="589" t="s">
        <v>423</v>
      </c>
      <c r="C53" s="1092" t="s">
        <v>693</v>
      </c>
      <c r="D53" s="949"/>
      <c r="E53" s="949"/>
      <c r="F53" s="949"/>
      <c r="G53" s="949"/>
      <c r="H53" s="949"/>
      <c r="I53" s="950"/>
      <c r="J53" s="627">
        <f>ROUND(I39*I40*15,2)*0</f>
        <v>0</v>
      </c>
      <c r="K53" s="628"/>
    </row>
    <row r="54" spans="1:11" ht="27" customHeight="1" collapsed="1">
      <c r="A54" s="579"/>
      <c r="B54" s="589" t="s">
        <v>425</v>
      </c>
      <c r="C54" s="1093" t="s">
        <v>694</v>
      </c>
      <c r="D54" s="1037"/>
      <c r="E54" s="1037"/>
      <c r="F54" s="636" t="s">
        <v>427</v>
      </c>
      <c r="G54" s="871">
        <v>0</v>
      </c>
      <c r="H54" s="636" t="s">
        <v>428</v>
      </c>
      <c r="I54" s="638">
        <f>I35</f>
        <v>10.881545454545455</v>
      </c>
      <c r="J54" s="635">
        <f t="shared" ref="J54:J55" si="1">G54*I54</f>
        <v>0</v>
      </c>
      <c r="K54" s="628"/>
    </row>
    <row r="55" spans="1:11" ht="27" customHeight="1">
      <c r="A55" s="579"/>
      <c r="B55" s="589" t="s">
        <v>429</v>
      </c>
      <c r="C55" s="1094" t="s">
        <v>695</v>
      </c>
      <c r="D55" s="947"/>
      <c r="E55" s="947"/>
      <c r="F55" s="636" t="s">
        <v>431</v>
      </c>
      <c r="G55" s="871">
        <v>0</v>
      </c>
      <c r="H55" s="636" t="s">
        <v>432</v>
      </c>
      <c r="I55" s="638">
        <f>I37</f>
        <v>21.763090909090909</v>
      </c>
      <c r="J55" s="639">
        <f t="shared" si="1"/>
        <v>0</v>
      </c>
      <c r="K55" s="628"/>
    </row>
    <row r="56" spans="1:11" ht="40.5" customHeight="1">
      <c r="A56" s="579"/>
      <c r="B56" s="589" t="s">
        <v>433</v>
      </c>
      <c r="C56" s="1051" t="s">
        <v>696</v>
      </c>
      <c r="D56" s="949"/>
      <c r="E56" s="949"/>
      <c r="F56" s="949"/>
      <c r="G56" s="949"/>
      <c r="H56" s="949"/>
      <c r="I56" s="950"/>
      <c r="J56" s="627">
        <f>ROUND(((J54+J55)/25)*5,2)</f>
        <v>0</v>
      </c>
      <c r="K56" s="628"/>
    </row>
    <row r="57" spans="1:11" ht="11.25" customHeight="1">
      <c r="A57" s="579"/>
      <c r="B57" s="589" t="s">
        <v>436</v>
      </c>
      <c r="C57" s="1051" t="s">
        <v>437</v>
      </c>
      <c r="D57" s="949"/>
      <c r="E57" s="949"/>
      <c r="F57" s="949"/>
      <c r="G57" s="949"/>
      <c r="H57" s="949"/>
      <c r="I57" s="950"/>
      <c r="J57" s="643" t="s">
        <v>382</v>
      </c>
      <c r="K57" s="644"/>
    </row>
    <row r="58" spans="1:11" ht="33.75" customHeight="1">
      <c r="A58" s="579"/>
      <c r="B58" s="1050" t="s">
        <v>438</v>
      </c>
      <c r="C58" s="949"/>
      <c r="D58" s="949"/>
      <c r="E58" s="949"/>
      <c r="F58" s="949"/>
      <c r="G58" s="949"/>
      <c r="H58" s="949"/>
      <c r="I58" s="950"/>
      <c r="J58" s="645">
        <f>SUM(J47:J57)</f>
        <v>1450.8727272727272</v>
      </c>
      <c r="K58" s="646"/>
    </row>
    <row r="59" spans="1:11" ht="6" customHeight="1">
      <c r="A59" s="579"/>
      <c r="B59" s="647"/>
      <c r="C59" s="1095"/>
      <c r="D59" s="949"/>
      <c r="E59" s="949"/>
      <c r="F59" s="949"/>
      <c r="G59" s="949"/>
      <c r="H59" s="949"/>
      <c r="I59" s="950"/>
      <c r="J59" s="648"/>
      <c r="K59" s="646"/>
    </row>
    <row r="60" spans="1:11" ht="26.25" customHeight="1">
      <c r="A60" s="579"/>
      <c r="B60" s="589" t="s">
        <v>425</v>
      </c>
      <c r="C60" s="1051" t="s">
        <v>697</v>
      </c>
      <c r="D60" s="949"/>
      <c r="E60" s="949"/>
      <c r="F60" s="949"/>
      <c r="G60" s="949"/>
      <c r="H60" s="949"/>
      <c r="I60" s="950"/>
      <c r="J60" s="627">
        <f>ROUND(I34*15*I40*0.5,2)*0</f>
        <v>0</v>
      </c>
      <c r="K60" s="628"/>
    </row>
    <row r="61" spans="1:11" ht="36" customHeight="1">
      <c r="A61" s="579"/>
      <c r="B61" s="1050" t="s">
        <v>698</v>
      </c>
      <c r="C61" s="949"/>
      <c r="D61" s="949"/>
      <c r="E61" s="949"/>
      <c r="F61" s="949"/>
      <c r="G61" s="949"/>
      <c r="H61" s="949"/>
      <c r="I61" s="950"/>
      <c r="J61" s="645">
        <f>J60</f>
        <v>0</v>
      </c>
      <c r="K61" s="646"/>
    </row>
    <row r="62" spans="1:11" ht="6" customHeight="1">
      <c r="A62" s="579"/>
      <c r="B62" s="1045"/>
      <c r="C62" s="949"/>
      <c r="D62" s="949"/>
      <c r="E62" s="949"/>
      <c r="F62" s="949"/>
      <c r="G62" s="949"/>
      <c r="H62" s="949"/>
      <c r="I62" s="949"/>
      <c r="J62" s="950"/>
      <c r="K62" s="593"/>
    </row>
    <row r="63" spans="1:11" ht="48" customHeight="1">
      <c r="A63" s="579"/>
      <c r="B63" s="1096" t="s">
        <v>699</v>
      </c>
      <c r="C63" s="949"/>
      <c r="D63" s="949"/>
      <c r="E63" s="949"/>
      <c r="F63" s="949"/>
      <c r="G63" s="949"/>
      <c r="H63" s="949"/>
      <c r="I63" s="950"/>
      <c r="J63" s="649">
        <f>J58+J61</f>
        <v>1450.8727272727272</v>
      </c>
      <c r="K63" s="650"/>
    </row>
    <row r="64" spans="1:11" ht="6" customHeight="1">
      <c r="A64" s="579"/>
      <c r="B64" s="1095"/>
      <c r="C64" s="949"/>
      <c r="D64" s="949"/>
      <c r="E64" s="949"/>
      <c r="F64" s="949"/>
      <c r="G64" s="949"/>
      <c r="H64" s="949"/>
      <c r="I64" s="949"/>
      <c r="J64" s="950"/>
      <c r="K64" s="651"/>
    </row>
    <row r="65" spans="1:11" ht="16.5" customHeight="1">
      <c r="A65" s="579"/>
      <c r="B65" s="1097" t="s">
        <v>442</v>
      </c>
      <c r="C65" s="949"/>
      <c r="D65" s="949"/>
      <c r="E65" s="949"/>
      <c r="F65" s="949"/>
      <c r="G65" s="949"/>
      <c r="H65" s="949"/>
      <c r="I65" s="949"/>
      <c r="J65" s="950"/>
      <c r="K65" s="652"/>
    </row>
    <row r="66" spans="1:11" ht="6" customHeight="1">
      <c r="A66" s="579"/>
      <c r="B66" s="1095"/>
      <c r="C66" s="949"/>
      <c r="D66" s="949"/>
      <c r="E66" s="949"/>
      <c r="F66" s="949"/>
      <c r="G66" s="949"/>
      <c r="H66" s="949"/>
      <c r="I66" s="949"/>
      <c r="J66" s="950"/>
      <c r="K66" s="651"/>
    </row>
    <row r="67" spans="1:11" ht="33" customHeight="1">
      <c r="A67" s="579"/>
      <c r="B67" s="1098" t="s">
        <v>443</v>
      </c>
      <c r="C67" s="949"/>
      <c r="D67" s="949"/>
      <c r="E67" s="949"/>
      <c r="F67" s="949"/>
      <c r="G67" s="949"/>
      <c r="H67" s="949"/>
      <c r="I67" s="949"/>
      <c r="J67" s="950"/>
      <c r="K67" s="653"/>
    </row>
    <row r="68" spans="1:11" ht="18" customHeight="1">
      <c r="A68" s="579"/>
      <c r="B68" s="1099" t="s">
        <v>700</v>
      </c>
      <c r="C68" s="949"/>
      <c r="D68" s="949"/>
      <c r="E68" s="949"/>
      <c r="F68" s="949"/>
      <c r="G68" s="949"/>
      <c r="H68" s="949"/>
      <c r="I68" s="949"/>
      <c r="J68" s="950"/>
      <c r="K68" s="654"/>
    </row>
    <row r="69" spans="1:11" ht="11.25" customHeight="1">
      <c r="A69" s="579"/>
      <c r="B69" s="655" t="s">
        <v>445</v>
      </c>
      <c r="C69" s="1100" t="s">
        <v>701</v>
      </c>
      <c r="D69" s="949"/>
      <c r="E69" s="949"/>
      <c r="F69" s="949"/>
      <c r="G69" s="949"/>
      <c r="H69" s="949"/>
      <c r="I69" s="950"/>
      <c r="J69" s="656" t="s">
        <v>447</v>
      </c>
      <c r="K69" s="657"/>
    </row>
    <row r="70" spans="1:11" ht="31.5" customHeight="1">
      <c r="A70" s="579"/>
      <c r="B70" s="655" t="s">
        <v>369</v>
      </c>
      <c r="C70" s="1092" t="s">
        <v>702</v>
      </c>
      <c r="D70" s="949"/>
      <c r="E70" s="949"/>
      <c r="F70" s="949"/>
      <c r="G70" s="949"/>
      <c r="H70" s="950"/>
      <c r="I70" s="658">
        <v>8.3299999999999999E-2</v>
      </c>
      <c r="J70" s="659">
        <f>ROUND(J58*I70,2)</f>
        <v>120.86</v>
      </c>
      <c r="K70" s="660"/>
    </row>
    <row r="71" spans="1:11" ht="95.25" customHeight="1">
      <c r="A71" s="579"/>
      <c r="B71" s="655" t="s">
        <v>371</v>
      </c>
      <c r="C71" s="1101" t="s">
        <v>703</v>
      </c>
      <c r="D71" s="949"/>
      <c r="E71" s="949"/>
      <c r="F71" s="949"/>
      <c r="G71" s="949"/>
      <c r="H71" s="950"/>
      <c r="I71" s="661">
        <v>3.0249999999999999E-2</v>
      </c>
      <c r="J71" s="659">
        <f>ROUND(J58*I71,2)</f>
        <v>43.89</v>
      </c>
      <c r="K71" s="660"/>
    </row>
    <row r="72" spans="1:11" ht="11.25" customHeight="1">
      <c r="A72" s="579"/>
      <c r="B72" s="1102" t="s">
        <v>450</v>
      </c>
      <c r="C72" s="949"/>
      <c r="D72" s="949"/>
      <c r="E72" s="949"/>
      <c r="F72" s="949"/>
      <c r="G72" s="949"/>
      <c r="H72" s="949"/>
      <c r="I72" s="950"/>
      <c r="J72" s="662">
        <f>SUM(J70+J71)</f>
        <v>164.75</v>
      </c>
      <c r="K72" s="663"/>
    </row>
    <row r="73" spans="1:11" ht="6.75" customHeight="1">
      <c r="A73" s="579"/>
      <c r="B73" s="1103"/>
      <c r="C73" s="949"/>
      <c r="D73" s="949"/>
      <c r="E73" s="949"/>
      <c r="F73" s="949"/>
      <c r="G73" s="949"/>
      <c r="H73" s="949"/>
      <c r="I73" s="949"/>
      <c r="J73" s="950"/>
      <c r="K73" s="664"/>
    </row>
    <row r="74" spans="1:11" ht="90" customHeight="1">
      <c r="A74" s="579"/>
      <c r="B74" s="1086" t="s">
        <v>704</v>
      </c>
      <c r="C74" s="949"/>
      <c r="D74" s="949"/>
      <c r="E74" s="949"/>
      <c r="F74" s="949"/>
      <c r="G74" s="949"/>
      <c r="H74" s="949"/>
      <c r="I74" s="949"/>
      <c r="J74" s="950"/>
      <c r="K74" s="617"/>
    </row>
    <row r="75" spans="1:11" ht="6.75" customHeight="1">
      <c r="A75" s="579"/>
      <c r="B75" s="1104"/>
      <c r="C75" s="949"/>
      <c r="D75" s="949"/>
      <c r="E75" s="949"/>
      <c r="F75" s="949"/>
      <c r="G75" s="949"/>
      <c r="H75" s="949"/>
      <c r="I75" s="949"/>
      <c r="J75" s="950"/>
      <c r="K75" s="617"/>
    </row>
    <row r="76" spans="1:11" ht="28.5" customHeight="1">
      <c r="A76" s="579"/>
      <c r="B76" s="1105" t="s">
        <v>705</v>
      </c>
      <c r="C76" s="949"/>
      <c r="D76" s="949"/>
      <c r="E76" s="949"/>
      <c r="F76" s="949"/>
      <c r="G76" s="949"/>
      <c r="H76" s="949"/>
      <c r="I76" s="949"/>
      <c r="J76" s="950"/>
      <c r="K76" s="665"/>
    </row>
    <row r="77" spans="1:11" ht="11.25" customHeight="1">
      <c r="A77" s="579"/>
      <c r="B77" s="666" t="s">
        <v>453</v>
      </c>
      <c r="C77" s="1110" t="s">
        <v>454</v>
      </c>
      <c r="D77" s="949"/>
      <c r="E77" s="949"/>
      <c r="F77" s="949"/>
      <c r="G77" s="949"/>
      <c r="H77" s="950"/>
      <c r="I77" s="667" t="s">
        <v>411</v>
      </c>
      <c r="J77" s="668" t="s">
        <v>455</v>
      </c>
      <c r="K77" s="657"/>
    </row>
    <row r="78" spans="1:11" ht="11.25" customHeight="1">
      <c r="A78" s="579"/>
      <c r="B78" s="669" t="s">
        <v>369</v>
      </c>
      <c r="C78" s="1051" t="s">
        <v>456</v>
      </c>
      <c r="D78" s="949"/>
      <c r="E78" s="949"/>
      <c r="F78" s="949"/>
      <c r="G78" s="949"/>
      <c r="H78" s="950"/>
      <c r="I78" s="670">
        <v>0.2</v>
      </c>
      <c r="J78" s="671">
        <f>ROUND((J58+J72)*I78,2)</f>
        <v>323.12</v>
      </c>
      <c r="K78" s="663"/>
    </row>
    <row r="79" spans="1:11" ht="11.25" customHeight="1">
      <c r="A79" s="579"/>
      <c r="B79" s="669" t="s">
        <v>371</v>
      </c>
      <c r="C79" s="1051" t="s">
        <v>457</v>
      </c>
      <c r="D79" s="949"/>
      <c r="E79" s="949"/>
      <c r="F79" s="949"/>
      <c r="G79" s="949"/>
      <c r="H79" s="950"/>
      <c r="I79" s="670">
        <v>2.5000000000000001E-2</v>
      </c>
      <c r="J79" s="671">
        <f>ROUND((J58+J72)*I79,2)</f>
        <v>40.39</v>
      </c>
      <c r="K79" s="663"/>
    </row>
    <row r="80" spans="1:11" ht="48.75" customHeight="1">
      <c r="A80" s="579"/>
      <c r="B80" s="669" t="s">
        <v>373</v>
      </c>
      <c r="C80" s="1051" t="s">
        <v>706</v>
      </c>
      <c r="D80" s="950"/>
      <c r="E80" s="602" t="s">
        <v>459</v>
      </c>
      <c r="F80" s="672">
        <f>'1-ABA-DE-CARREGAMENTO'!E57</f>
        <v>0.03</v>
      </c>
      <c r="G80" s="602" t="s">
        <v>460</v>
      </c>
      <c r="H80" s="673">
        <f>'1-ABA-DE-CARREGAMENTO'!E58</f>
        <v>1</v>
      </c>
      <c r="I80" s="674">
        <f>ROUND((F80*H80),6)</f>
        <v>0.03</v>
      </c>
      <c r="J80" s="671">
        <f>ROUND((J58+J72)*I80,2)</f>
        <v>48.47</v>
      </c>
      <c r="K80" s="663"/>
    </row>
    <row r="81" spans="1:11" ht="11.25" customHeight="1">
      <c r="A81" s="579"/>
      <c r="B81" s="669" t="s">
        <v>375</v>
      </c>
      <c r="C81" s="1051" t="s">
        <v>461</v>
      </c>
      <c r="D81" s="949"/>
      <c r="E81" s="949"/>
      <c r="F81" s="949"/>
      <c r="G81" s="949"/>
      <c r="H81" s="950"/>
      <c r="I81" s="670">
        <v>1.4999999999999999E-2</v>
      </c>
      <c r="J81" s="671">
        <f>ROUND((J58+J72)*I81,2)</f>
        <v>24.23</v>
      </c>
      <c r="K81" s="663"/>
    </row>
    <row r="82" spans="1:11" ht="11.25" customHeight="1">
      <c r="A82" s="579"/>
      <c r="B82" s="669" t="s">
        <v>417</v>
      </c>
      <c r="C82" s="1051" t="s">
        <v>462</v>
      </c>
      <c r="D82" s="949"/>
      <c r="E82" s="949"/>
      <c r="F82" s="949"/>
      <c r="G82" s="949"/>
      <c r="H82" s="950"/>
      <c r="I82" s="670">
        <v>0.01</v>
      </c>
      <c r="J82" s="671">
        <f>ROUND((J58+J72)*I82,2)</f>
        <v>16.16</v>
      </c>
      <c r="K82" s="663"/>
    </row>
    <row r="83" spans="1:11" ht="11.25" customHeight="1">
      <c r="A83" s="579"/>
      <c r="B83" s="669" t="s">
        <v>421</v>
      </c>
      <c r="C83" s="1051" t="s">
        <v>463</v>
      </c>
      <c r="D83" s="949"/>
      <c r="E83" s="949"/>
      <c r="F83" s="949"/>
      <c r="G83" s="949"/>
      <c r="H83" s="950"/>
      <c r="I83" s="670">
        <v>6.0000000000000001E-3</v>
      </c>
      <c r="J83" s="671">
        <f>ROUND((J58+J72)*I83,2)</f>
        <v>9.69</v>
      </c>
      <c r="K83" s="663"/>
    </row>
    <row r="84" spans="1:11" ht="11.25" customHeight="1">
      <c r="A84" s="579"/>
      <c r="B84" s="669" t="s">
        <v>423</v>
      </c>
      <c r="C84" s="1051" t="s">
        <v>464</v>
      </c>
      <c r="D84" s="949"/>
      <c r="E84" s="949"/>
      <c r="F84" s="949"/>
      <c r="G84" s="949"/>
      <c r="H84" s="950"/>
      <c r="I84" s="670">
        <v>2E-3</v>
      </c>
      <c r="J84" s="671">
        <f>ROUND((J58+J72)*I84,2)</f>
        <v>3.23</v>
      </c>
      <c r="K84" s="663"/>
    </row>
    <row r="85" spans="1:11" ht="11.25" customHeight="1">
      <c r="A85" s="579"/>
      <c r="B85" s="669" t="s">
        <v>425</v>
      </c>
      <c r="C85" s="1051" t="s">
        <v>465</v>
      </c>
      <c r="D85" s="949"/>
      <c r="E85" s="949"/>
      <c r="F85" s="949"/>
      <c r="G85" s="949"/>
      <c r="H85" s="950"/>
      <c r="I85" s="670">
        <v>0.08</v>
      </c>
      <c r="J85" s="671">
        <f>ROUND((J58+J72)*I85,2)</f>
        <v>129.25</v>
      </c>
      <c r="K85" s="663"/>
    </row>
    <row r="86" spans="1:11" ht="11.25" customHeight="1">
      <c r="A86" s="579"/>
      <c r="B86" s="1108" t="s">
        <v>450</v>
      </c>
      <c r="C86" s="949"/>
      <c r="D86" s="949"/>
      <c r="E86" s="949"/>
      <c r="F86" s="949"/>
      <c r="G86" s="949"/>
      <c r="H86" s="950"/>
      <c r="I86" s="675">
        <f t="shared" ref="I86:J86" si="2">SUM(I78:I85)</f>
        <v>0.36800000000000005</v>
      </c>
      <c r="J86" s="662">
        <f t="shared" si="2"/>
        <v>594.54000000000008</v>
      </c>
      <c r="K86" s="663"/>
    </row>
    <row r="87" spans="1:11" ht="6.75" customHeight="1">
      <c r="A87" s="579"/>
      <c r="B87" s="676"/>
      <c r="C87" s="677"/>
      <c r="D87" s="677"/>
      <c r="E87" s="677"/>
      <c r="F87" s="677"/>
      <c r="G87" s="677"/>
      <c r="H87" s="677"/>
      <c r="I87" s="678"/>
      <c r="J87" s="679"/>
      <c r="K87" s="663"/>
    </row>
    <row r="88" spans="1:11" ht="23.25" customHeight="1">
      <c r="A88" s="579"/>
      <c r="B88" s="1086" t="s">
        <v>466</v>
      </c>
      <c r="C88" s="949"/>
      <c r="D88" s="949"/>
      <c r="E88" s="949"/>
      <c r="F88" s="949"/>
      <c r="G88" s="949"/>
      <c r="H88" s="949"/>
      <c r="I88" s="949"/>
      <c r="J88" s="950"/>
      <c r="K88" s="617"/>
    </row>
    <row r="89" spans="1:11" ht="7.5" customHeight="1">
      <c r="A89" s="579"/>
      <c r="B89" s="1047"/>
      <c r="C89" s="949"/>
      <c r="D89" s="949"/>
      <c r="E89" s="949"/>
      <c r="F89" s="949"/>
      <c r="G89" s="949"/>
      <c r="H89" s="949"/>
      <c r="I89" s="949"/>
      <c r="J89" s="950"/>
      <c r="K89" s="362"/>
    </row>
    <row r="90" spans="1:11" ht="19.5" customHeight="1">
      <c r="A90" s="579"/>
      <c r="B90" s="1114" t="s">
        <v>467</v>
      </c>
      <c r="C90" s="949"/>
      <c r="D90" s="949"/>
      <c r="E90" s="949"/>
      <c r="F90" s="949"/>
      <c r="G90" s="949"/>
      <c r="H90" s="949"/>
      <c r="I90" s="949"/>
      <c r="J90" s="950"/>
      <c r="K90" s="654"/>
    </row>
    <row r="91" spans="1:11" ht="21" customHeight="1">
      <c r="A91" s="579"/>
      <c r="B91" s="680" t="s">
        <v>468</v>
      </c>
      <c r="C91" s="1089" t="s">
        <v>469</v>
      </c>
      <c r="D91" s="949"/>
      <c r="E91" s="949"/>
      <c r="F91" s="949"/>
      <c r="G91" s="949"/>
      <c r="H91" s="949"/>
      <c r="I91" s="950"/>
      <c r="J91" s="681" t="s">
        <v>447</v>
      </c>
      <c r="K91" s="592"/>
    </row>
    <row r="92" spans="1:11" ht="12.75" customHeight="1">
      <c r="A92" s="579"/>
      <c r="B92" s="682" t="s">
        <v>369</v>
      </c>
      <c r="C92" s="1051" t="s">
        <v>707</v>
      </c>
      <c r="D92" s="949"/>
      <c r="E92" s="949"/>
      <c r="F92" s="949"/>
      <c r="G92" s="949"/>
      <c r="H92" s="950"/>
      <c r="I92" s="683">
        <f>J47</f>
        <v>1186.8727272727272</v>
      </c>
      <c r="J92" s="684">
        <f>IF(ROUND((I93*I95*I94)-(J47*I96),2)&lt;0,0,ROUND((I93*I95*I94)-(J47*I96),2))</f>
        <v>0</v>
      </c>
      <c r="K92" s="663"/>
    </row>
    <row r="93" spans="1:11" ht="24.75" customHeight="1">
      <c r="A93" s="579"/>
      <c r="B93" s="682" t="s">
        <v>371</v>
      </c>
      <c r="C93" s="1051" t="s">
        <v>708</v>
      </c>
      <c r="D93" s="949"/>
      <c r="E93" s="949"/>
      <c r="F93" s="949"/>
      <c r="G93" s="949"/>
      <c r="H93" s="949"/>
      <c r="I93" s="685">
        <f>'1-ABA-DE-CARREGAMENTO'!E72</f>
        <v>0</v>
      </c>
      <c r="J93" s="686" t="s">
        <v>382</v>
      </c>
      <c r="K93" s="644"/>
    </row>
    <row r="94" spans="1:11" ht="11.25" customHeight="1">
      <c r="A94" s="579"/>
      <c r="B94" s="682" t="s">
        <v>373</v>
      </c>
      <c r="C94" s="1051" t="s">
        <v>709</v>
      </c>
      <c r="D94" s="949"/>
      <c r="E94" s="949"/>
      <c r="F94" s="949"/>
      <c r="G94" s="949"/>
      <c r="H94" s="950"/>
      <c r="I94" s="687">
        <f>'1-ABA-DE-CARREGAMENTO'!E73</f>
        <v>2</v>
      </c>
      <c r="J94" s="686" t="s">
        <v>382</v>
      </c>
      <c r="K94" s="644"/>
    </row>
    <row r="95" spans="1:11" ht="11.25" customHeight="1">
      <c r="A95" s="579"/>
      <c r="B95" s="682" t="s">
        <v>375</v>
      </c>
      <c r="C95" s="1062" t="s">
        <v>473</v>
      </c>
      <c r="D95" s="949"/>
      <c r="E95" s="949"/>
      <c r="F95" s="949"/>
      <c r="G95" s="949"/>
      <c r="H95" s="950"/>
      <c r="I95" s="687">
        <f>'1-ABA-DE-CARREGAMENTO'!E74</f>
        <v>25</v>
      </c>
      <c r="J95" s="686" t="s">
        <v>382</v>
      </c>
      <c r="K95" s="644"/>
    </row>
    <row r="96" spans="1:11" ht="24" customHeight="1">
      <c r="A96" s="579"/>
      <c r="B96" s="682" t="s">
        <v>417</v>
      </c>
      <c r="C96" s="1062" t="s">
        <v>710</v>
      </c>
      <c r="D96" s="949"/>
      <c r="E96" s="949"/>
      <c r="F96" s="949"/>
      <c r="G96" s="949"/>
      <c r="H96" s="950"/>
      <c r="I96" s="688">
        <f>'1-ABA-DE-CARREGAMENTO'!E75</f>
        <v>0.06</v>
      </c>
      <c r="J96" s="689" t="s">
        <v>382</v>
      </c>
      <c r="K96" s="644"/>
    </row>
    <row r="97" spans="1:11" ht="12.75" customHeight="1">
      <c r="A97" s="579"/>
      <c r="B97" s="682" t="s">
        <v>421</v>
      </c>
      <c r="C97" s="1051" t="s">
        <v>711</v>
      </c>
      <c r="D97" s="949"/>
      <c r="E97" s="949"/>
      <c r="F97" s="949"/>
      <c r="G97" s="949"/>
      <c r="H97" s="949"/>
      <c r="I97" s="950"/>
      <c r="J97" s="684">
        <f>ROUND(I98*I99,2)-ROUND((I98*I99)*I100,2)</f>
        <v>408.64</v>
      </c>
      <c r="K97" s="663"/>
    </row>
    <row r="98" spans="1:11" ht="15.75" customHeight="1">
      <c r="A98" s="579"/>
      <c r="B98" s="682" t="s">
        <v>423</v>
      </c>
      <c r="C98" s="1051" t="s">
        <v>712</v>
      </c>
      <c r="D98" s="949"/>
      <c r="E98" s="949"/>
      <c r="F98" s="949"/>
      <c r="G98" s="949"/>
      <c r="H98" s="950"/>
      <c r="I98" s="685">
        <f>IF('1-ABA-DE-CARREGAMENTO'!E60&gt;0,'1-ABA-DE-CARREGAMENTO'!E60,'1-ABA-DE-CARREGAMENTO'!E63)</f>
        <v>20.18</v>
      </c>
      <c r="J98" s="691"/>
      <c r="K98" s="644"/>
    </row>
    <row r="99" spans="1:11" ht="18" customHeight="1">
      <c r="A99" s="579"/>
      <c r="B99" s="682" t="s">
        <v>425</v>
      </c>
      <c r="C99" s="1051" t="s">
        <v>713</v>
      </c>
      <c r="D99" s="949"/>
      <c r="E99" s="949"/>
      <c r="F99" s="949"/>
      <c r="G99" s="949"/>
      <c r="H99" s="950"/>
      <c r="I99" s="687">
        <f>'1-ABA-DE-CARREGAMENTO'!E62</f>
        <v>25</v>
      </c>
      <c r="J99" s="691"/>
      <c r="K99" s="644"/>
    </row>
    <row r="100" spans="1:11" ht="23.25" customHeight="1">
      <c r="A100" s="579"/>
      <c r="B100" s="682" t="s">
        <v>429</v>
      </c>
      <c r="C100" s="1107" t="s">
        <v>714</v>
      </c>
      <c r="D100" s="949"/>
      <c r="E100" s="949"/>
      <c r="F100" s="949"/>
      <c r="G100" s="949"/>
      <c r="H100" s="950"/>
      <c r="I100" s="688">
        <f>'1-ABA-DE-CARREGAMENTO'!E61</f>
        <v>0.19</v>
      </c>
      <c r="J100" s="693"/>
      <c r="K100" s="644"/>
    </row>
    <row r="101" spans="1:11" ht="11.25" customHeight="1">
      <c r="A101" s="579"/>
      <c r="B101" s="682" t="s">
        <v>433</v>
      </c>
      <c r="C101" s="1051" t="s">
        <v>715</v>
      </c>
      <c r="D101" s="949"/>
      <c r="E101" s="949"/>
      <c r="F101" s="949"/>
      <c r="G101" s="949"/>
      <c r="H101" s="949"/>
      <c r="I101" s="949"/>
      <c r="J101" s="671">
        <v>0</v>
      </c>
      <c r="K101" s="663"/>
    </row>
    <row r="102" spans="1:11" ht="32.25" customHeight="1" outlineLevel="1">
      <c r="A102" s="579"/>
      <c r="B102" s="682" t="s">
        <v>436</v>
      </c>
      <c r="C102" s="1051" t="s">
        <v>716</v>
      </c>
      <c r="D102" s="949"/>
      <c r="E102" s="949"/>
      <c r="F102" s="949"/>
      <c r="G102" s="949"/>
      <c r="H102" s="949"/>
      <c r="I102" s="949"/>
      <c r="J102" s="671">
        <f>'1-ABA-DE-CARREGAMENTO'!E77</f>
        <v>0</v>
      </c>
      <c r="K102" s="663"/>
    </row>
    <row r="103" spans="1:11" ht="32.25" customHeight="1" outlineLevel="1">
      <c r="A103" s="579"/>
      <c r="B103" s="682" t="s">
        <v>481</v>
      </c>
      <c r="C103" s="1051" t="s">
        <v>717</v>
      </c>
      <c r="D103" s="949"/>
      <c r="E103" s="949"/>
      <c r="F103" s="949"/>
      <c r="G103" s="949"/>
      <c r="H103" s="949"/>
      <c r="I103" s="950"/>
      <c r="J103" s="671">
        <f>'1-ABA-DE-CARREGAMENTO'!E78</f>
        <v>0</v>
      </c>
      <c r="K103" s="663"/>
    </row>
    <row r="104" spans="1:11" ht="11.25" customHeight="1">
      <c r="A104" s="579"/>
      <c r="B104" s="682" t="s">
        <v>483</v>
      </c>
      <c r="C104" s="1051" t="s">
        <v>718</v>
      </c>
      <c r="D104" s="949"/>
      <c r="E104" s="949"/>
      <c r="F104" s="949"/>
      <c r="G104" s="949"/>
      <c r="H104" s="949"/>
      <c r="I104" s="950"/>
      <c r="J104" s="671">
        <f>'1-ABA-DE-CARREGAMENTO'!E76</f>
        <v>0</v>
      </c>
      <c r="K104" s="663"/>
    </row>
    <row r="105" spans="1:11" ht="11.25" customHeight="1">
      <c r="A105" s="579"/>
      <c r="B105" s="682" t="s">
        <v>129</v>
      </c>
      <c r="C105" s="1111" t="s">
        <v>524</v>
      </c>
      <c r="D105" s="949"/>
      <c r="E105" s="949"/>
      <c r="F105" s="949"/>
      <c r="G105" s="949"/>
      <c r="H105" s="949"/>
      <c r="I105" s="949"/>
      <c r="J105" s="742">
        <v>0</v>
      </c>
      <c r="K105" s="704"/>
    </row>
    <row r="106" spans="1:11" ht="11.25" customHeight="1">
      <c r="A106" s="579"/>
      <c r="B106" s="705"/>
      <c r="C106" s="1108" t="s">
        <v>450</v>
      </c>
      <c r="D106" s="949"/>
      <c r="E106" s="949"/>
      <c r="F106" s="949"/>
      <c r="G106" s="949"/>
      <c r="H106" s="949"/>
      <c r="I106" s="949"/>
      <c r="J106" s="662">
        <f>SUM(J92:J105)</f>
        <v>408.64</v>
      </c>
      <c r="K106" s="663"/>
    </row>
    <row r="107" spans="1:11" ht="7.5" customHeight="1">
      <c r="A107" s="579"/>
      <c r="B107" s="1047"/>
      <c r="C107" s="949"/>
      <c r="D107" s="949"/>
      <c r="E107" s="949"/>
      <c r="F107" s="949"/>
      <c r="G107" s="949"/>
      <c r="H107" s="949"/>
      <c r="I107" s="949"/>
      <c r="J107" s="950"/>
      <c r="K107" s="362"/>
    </row>
    <row r="108" spans="1:11" ht="37.5" customHeight="1">
      <c r="A108" s="579"/>
      <c r="B108" s="1086" t="s">
        <v>486</v>
      </c>
      <c r="C108" s="949"/>
      <c r="D108" s="949"/>
      <c r="E108" s="949"/>
      <c r="F108" s="949"/>
      <c r="G108" s="949"/>
      <c r="H108" s="949"/>
      <c r="I108" s="949"/>
      <c r="J108" s="950"/>
      <c r="K108" s="617"/>
    </row>
    <row r="109" spans="1:11" ht="7.5" customHeight="1">
      <c r="A109" s="579"/>
      <c r="B109" s="1045"/>
      <c r="C109" s="949"/>
      <c r="D109" s="949"/>
      <c r="E109" s="949"/>
      <c r="F109" s="949"/>
      <c r="G109" s="949"/>
      <c r="H109" s="949"/>
      <c r="I109" s="949"/>
      <c r="J109" s="950"/>
      <c r="K109" s="593"/>
    </row>
    <row r="110" spans="1:11" ht="19.5" customHeight="1">
      <c r="A110" s="579"/>
      <c r="B110" s="1109" t="s">
        <v>487</v>
      </c>
      <c r="C110" s="949"/>
      <c r="D110" s="949"/>
      <c r="E110" s="949"/>
      <c r="F110" s="949"/>
      <c r="G110" s="949"/>
      <c r="H110" s="949"/>
      <c r="I110" s="949"/>
      <c r="J110" s="950"/>
      <c r="K110" s="706"/>
    </row>
    <row r="111" spans="1:11" ht="15.75" customHeight="1">
      <c r="A111" s="579"/>
      <c r="B111" s="668">
        <v>2</v>
      </c>
      <c r="C111" s="1110" t="s">
        <v>488</v>
      </c>
      <c r="D111" s="949"/>
      <c r="E111" s="949"/>
      <c r="F111" s="949"/>
      <c r="G111" s="949"/>
      <c r="H111" s="949"/>
      <c r="I111" s="950"/>
      <c r="J111" s="668" t="s">
        <v>447</v>
      </c>
      <c r="K111" s="657"/>
    </row>
    <row r="112" spans="1:11" ht="21.75" customHeight="1">
      <c r="A112" s="579"/>
      <c r="B112" s="600" t="s">
        <v>445</v>
      </c>
      <c r="C112" s="1092" t="s">
        <v>719</v>
      </c>
      <c r="D112" s="949"/>
      <c r="E112" s="949"/>
      <c r="F112" s="949"/>
      <c r="G112" s="949"/>
      <c r="H112" s="949"/>
      <c r="I112" s="950"/>
      <c r="J112" s="707">
        <f>J72</f>
        <v>164.75</v>
      </c>
      <c r="K112" s="708"/>
    </row>
    <row r="113" spans="1:11" ht="11.25" customHeight="1">
      <c r="A113" s="579"/>
      <c r="B113" s="600" t="s">
        <v>453</v>
      </c>
      <c r="C113" s="1092" t="s">
        <v>454</v>
      </c>
      <c r="D113" s="949"/>
      <c r="E113" s="949"/>
      <c r="F113" s="949"/>
      <c r="G113" s="949"/>
      <c r="H113" s="949"/>
      <c r="I113" s="950"/>
      <c r="J113" s="707">
        <f>J86</f>
        <v>594.54000000000008</v>
      </c>
      <c r="K113" s="708"/>
    </row>
    <row r="114" spans="1:11" ht="11.25" customHeight="1">
      <c r="A114" s="579"/>
      <c r="B114" s="600" t="s">
        <v>468</v>
      </c>
      <c r="C114" s="1092" t="s">
        <v>469</v>
      </c>
      <c r="D114" s="949"/>
      <c r="E114" s="949"/>
      <c r="F114" s="949"/>
      <c r="G114" s="949"/>
      <c r="H114" s="949"/>
      <c r="I114" s="950"/>
      <c r="J114" s="707">
        <f>J106</f>
        <v>408.64</v>
      </c>
      <c r="K114" s="708"/>
    </row>
    <row r="115" spans="1:11" ht="11.25" customHeight="1">
      <c r="A115" s="579"/>
      <c r="B115" s="1115" t="s">
        <v>450</v>
      </c>
      <c r="C115" s="949"/>
      <c r="D115" s="949"/>
      <c r="E115" s="949"/>
      <c r="F115" s="949"/>
      <c r="G115" s="949"/>
      <c r="H115" s="949"/>
      <c r="I115" s="950"/>
      <c r="J115" s="709">
        <f>SUM(J112+J113+J114)</f>
        <v>1167.93</v>
      </c>
      <c r="K115" s="708"/>
    </row>
    <row r="116" spans="1:11" ht="6" customHeight="1">
      <c r="A116" s="579"/>
      <c r="B116" s="1116"/>
      <c r="C116" s="949"/>
      <c r="D116" s="949"/>
      <c r="E116" s="949"/>
      <c r="F116" s="949"/>
      <c r="G116" s="949"/>
      <c r="H116" s="949"/>
      <c r="I116" s="949"/>
      <c r="J116" s="950"/>
      <c r="K116" s="710"/>
    </row>
    <row r="117" spans="1:11" ht="21.75" customHeight="1">
      <c r="A117" s="579"/>
      <c r="B117" s="1117" t="s">
        <v>490</v>
      </c>
      <c r="C117" s="949"/>
      <c r="D117" s="949"/>
      <c r="E117" s="949"/>
      <c r="F117" s="949"/>
      <c r="G117" s="949"/>
      <c r="H117" s="949"/>
      <c r="I117" s="949"/>
      <c r="J117" s="950"/>
      <c r="K117" s="711"/>
    </row>
    <row r="118" spans="1:11" ht="17.25" customHeight="1">
      <c r="A118" s="579"/>
      <c r="B118" s="680">
        <v>3</v>
      </c>
      <c r="C118" s="1118" t="s">
        <v>491</v>
      </c>
      <c r="D118" s="949"/>
      <c r="E118" s="949"/>
      <c r="F118" s="949"/>
      <c r="G118" s="949"/>
      <c r="H118" s="949"/>
      <c r="I118" s="950"/>
      <c r="J118" s="680" t="s">
        <v>447</v>
      </c>
      <c r="K118" s="712"/>
    </row>
    <row r="119" spans="1:11" ht="49.5" customHeight="1">
      <c r="A119" s="579"/>
      <c r="B119" s="682" t="s">
        <v>369</v>
      </c>
      <c r="C119" s="1051" t="s">
        <v>720</v>
      </c>
      <c r="D119" s="949"/>
      <c r="E119" s="949"/>
      <c r="F119" s="949"/>
      <c r="G119" s="949"/>
      <c r="H119" s="949"/>
      <c r="I119" s="950"/>
      <c r="J119" s="671">
        <f>ROUND((($J$58/12)+($J$70/12)+(J58/12/12)+($J$71/12))*(30/30)*0.05,2)</f>
        <v>7.24</v>
      </c>
      <c r="K119" s="663"/>
    </row>
    <row r="120" spans="1:11" ht="16.5" customHeight="1">
      <c r="A120" s="579"/>
      <c r="B120" s="682" t="s">
        <v>371</v>
      </c>
      <c r="C120" s="1111" t="s">
        <v>493</v>
      </c>
      <c r="D120" s="949"/>
      <c r="E120" s="949"/>
      <c r="F120" s="949"/>
      <c r="G120" s="949"/>
      <c r="H120" s="949"/>
      <c r="I120" s="950"/>
      <c r="J120" s="671">
        <f>ROUND($I$85*J119,2)</f>
        <v>0.57999999999999996</v>
      </c>
      <c r="K120" s="663"/>
    </row>
    <row r="121" spans="1:11" ht="97.5" customHeight="1">
      <c r="A121" s="579"/>
      <c r="B121" s="682" t="s">
        <v>373</v>
      </c>
      <c r="C121" s="1106" t="s">
        <v>721</v>
      </c>
      <c r="D121" s="949"/>
      <c r="E121" s="949"/>
      <c r="F121" s="949"/>
      <c r="G121" s="949"/>
      <c r="H121" s="949"/>
      <c r="I121" s="950"/>
      <c r="J121" s="671">
        <f>ROUND(((7/30)/$I$11)*$J$58*1,2)</f>
        <v>11.28</v>
      </c>
      <c r="K121" s="663"/>
    </row>
    <row r="122" spans="1:11" ht="24.75" customHeight="1">
      <c r="A122" s="579"/>
      <c r="B122" s="682" t="s">
        <v>375</v>
      </c>
      <c r="C122" s="1111" t="s">
        <v>495</v>
      </c>
      <c r="D122" s="949"/>
      <c r="E122" s="949"/>
      <c r="F122" s="949"/>
      <c r="G122" s="949"/>
      <c r="H122" s="949"/>
      <c r="I122" s="950"/>
      <c r="J122" s="671">
        <f>ROUND($I$86*J121,2)</f>
        <v>4.1500000000000004</v>
      </c>
      <c r="K122" s="663"/>
    </row>
    <row r="123" spans="1:11" ht="39" customHeight="1">
      <c r="A123" s="579"/>
      <c r="B123" s="682" t="s">
        <v>417</v>
      </c>
      <c r="C123" s="1051" t="s">
        <v>722</v>
      </c>
      <c r="D123" s="949"/>
      <c r="E123" s="949"/>
      <c r="F123" s="949"/>
      <c r="G123" s="949"/>
      <c r="H123" s="950"/>
      <c r="I123" s="714">
        <v>0.04</v>
      </c>
      <c r="J123" s="671">
        <f>ROUND(J58*I123,2)</f>
        <v>58.03</v>
      </c>
      <c r="K123" s="663"/>
    </row>
    <row r="124" spans="1:11" ht="11.25" customHeight="1">
      <c r="A124" s="579"/>
      <c r="B124" s="1108" t="s">
        <v>497</v>
      </c>
      <c r="C124" s="949"/>
      <c r="D124" s="949"/>
      <c r="E124" s="949"/>
      <c r="F124" s="949"/>
      <c r="G124" s="949"/>
      <c r="H124" s="949"/>
      <c r="I124" s="950"/>
      <c r="J124" s="662">
        <f>SUM(J119:J123)</f>
        <v>81.28</v>
      </c>
      <c r="K124" s="663"/>
    </row>
    <row r="125" spans="1:11" ht="6" customHeight="1">
      <c r="A125" s="579"/>
      <c r="B125" s="1112"/>
      <c r="C125" s="949"/>
      <c r="D125" s="949"/>
      <c r="E125" s="949"/>
      <c r="F125" s="949"/>
      <c r="G125" s="949"/>
      <c r="H125" s="949"/>
      <c r="I125" s="949"/>
      <c r="J125" s="950"/>
      <c r="K125" s="715"/>
    </row>
    <row r="126" spans="1:11" ht="21.75" customHeight="1">
      <c r="A126" s="579"/>
      <c r="B126" s="1113" t="s">
        <v>498</v>
      </c>
      <c r="C126" s="949"/>
      <c r="D126" s="949"/>
      <c r="E126" s="949"/>
      <c r="F126" s="949"/>
      <c r="G126" s="949"/>
      <c r="H126" s="949"/>
      <c r="I126" s="949"/>
      <c r="J126" s="950"/>
      <c r="K126" s="716"/>
    </row>
    <row r="127" spans="1:11" ht="27.75" customHeight="1">
      <c r="A127" s="579"/>
      <c r="B127" s="1086" t="s">
        <v>499</v>
      </c>
      <c r="C127" s="949"/>
      <c r="D127" s="949"/>
      <c r="E127" s="949"/>
      <c r="F127" s="949"/>
      <c r="G127" s="949"/>
      <c r="H127" s="949"/>
      <c r="I127" s="949"/>
      <c r="J127" s="950"/>
      <c r="K127" s="617"/>
    </row>
    <row r="128" spans="1:11" ht="53.25" customHeight="1">
      <c r="A128" s="579"/>
      <c r="B128" s="1105" t="s">
        <v>723</v>
      </c>
      <c r="C128" s="949"/>
      <c r="D128" s="949"/>
      <c r="E128" s="949"/>
      <c r="F128" s="949"/>
      <c r="G128" s="949"/>
      <c r="H128" s="949"/>
      <c r="I128" s="949"/>
      <c r="J128" s="950"/>
      <c r="K128" s="665"/>
    </row>
    <row r="129" spans="1:11" ht="39.75" customHeight="1">
      <c r="A129" s="579"/>
      <c r="B129" s="717" t="s">
        <v>501</v>
      </c>
      <c r="C129" s="718">
        <f>J58</f>
        <v>1450.8727272727272</v>
      </c>
      <c r="D129" s="719" t="s">
        <v>502</v>
      </c>
      <c r="E129" s="717" t="s">
        <v>724</v>
      </c>
      <c r="F129" s="718">
        <f>J115-J92-J97</f>
        <v>759.29000000000008</v>
      </c>
      <c r="G129" s="719" t="s">
        <v>502</v>
      </c>
      <c r="H129" s="717" t="s">
        <v>504</v>
      </c>
      <c r="I129" s="718">
        <f>J124</f>
        <v>81.28</v>
      </c>
      <c r="J129" s="720">
        <f>C129+F129+I129</f>
        <v>2291.4427272727276</v>
      </c>
      <c r="K129" s="721"/>
    </row>
    <row r="130" spans="1:11" ht="6" customHeight="1">
      <c r="A130" s="579"/>
      <c r="B130" s="1120"/>
      <c r="C130" s="949"/>
      <c r="D130" s="949"/>
      <c r="E130" s="949"/>
      <c r="F130" s="949"/>
      <c r="G130" s="949"/>
      <c r="H130" s="949"/>
      <c r="I130" s="949"/>
      <c r="J130" s="950"/>
      <c r="K130" s="722"/>
    </row>
    <row r="131" spans="1:11" ht="18" customHeight="1">
      <c r="A131" s="579"/>
      <c r="B131" s="1121" t="s">
        <v>505</v>
      </c>
      <c r="C131" s="949"/>
      <c r="D131" s="949"/>
      <c r="E131" s="949"/>
      <c r="F131" s="949"/>
      <c r="G131" s="949"/>
      <c r="H131" s="949"/>
      <c r="I131" s="949"/>
      <c r="J131" s="950"/>
      <c r="K131" s="723"/>
    </row>
    <row r="132" spans="1:11" ht="24.75" customHeight="1">
      <c r="A132" s="579"/>
      <c r="B132" s="724" t="s">
        <v>506</v>
      </c>
      <c r="C132" s="1118" t="s">
        <v>507</v>
      </c>
      <c r="D132" s="949"/>
      <c r="E132" s="949"/>
      <c r="F132" s="949"/>
      <c r="G132" s="949"/>
      <c r="H132" s="949"/>
      <c r="I132" s="950"/>
      <c r="J132" s="724" t="s">
        <v>447</v>
      </c>
      <c r="K132" s="726"/>
    </row>
    <row r="133" spans="1:11" ht="54.75" customHeight="1">
      <c r="A133" s="579"/>
      <c r="B133" s="682" t="s">
        <v>369</v>
      </c>
      <c r="C133" s="1092" t="s">
        <v>725</v>
      </c>
      <c r="D133" s="949"/>
      <c r="E133" s="949"/>
      <c r="F133" s="949"/>
      <c r="G133" s="949"/>
      <c r="H133" s="727">
        <v>9.0749999999999997E-2</v>
      </c>
      <c r="I133" s="873">
        <f>I86</f>
        <v>0.36800000000000005</v>
      </c>
      <c r="J133" s="671">
        <f>ROUND(H133*J58,2)*(1+I133)</f>
        <v>180.12456</v>
      </c>
      <c r="K133" s="663"/>
    </row>
    <row r="134" spans="1:11" ht="24" customHeight="1">
      <c r="A134" s="579"/>
      <c r="B134" s="682" t="s">
        <v>371</v>
      </c>
      <c r="C134" s="1051" t="s">
        <v>726</v>
      </c>
      <c r="D134" s="949"/>
      <c r="E134" s="949"/>
      <c r="F134" s="949"/>
      <c r="G134" s="949"/>
      <c r="H134" s="949"/>
      <c r="I134" s="950"/>
      <c r="J134" s="671">
        <f>ROUND((1/30)/12*(J129),2)</f>
        <v>6.37</v>
      </c>
      <c r="K134" s="663"/>
    </row>
    <row r="135" spans="1:11" ht="24" customHeight="1">
      <c r="A135" s="579"/>
      <c r="B135" s="682" t="s">
        <v>373</v>
      </c>
      <c r="C135" s="1051" t="s">
        <v>727</v>
      </c>
      <c r="D135" s="949"/>
      <c r="E135" s="949"/>
      <c r="F135" s="949"/>
      <c r="G135" s="949"/>
      <c r="H135" s="949"/>
      <c r="I135" s="950"/>
      <c r="J135" s="671">
        <f>ROUND((5/30)/12*0.015*(J129),2)</f>
        <v>0.48</v>
      </c>
      <c r="K135" s="663"/>
    </row>
    <row r="136" spans="1:11" ht="24" customHeight="1">
      <c r="A136" s="579"/>
      <c r="B136" s="682" t="s">
        <v>375</v>
      </c>
      <c r="C136" s="1051" t="s">
        <v>728</v>
      </c>
      <c r="D136" s="949"/>
      <c r="E136" s="949"/>
      <c r="F136" s="949"/>
      <c r="G136" s="949"/>
      <c r="H136" s="949"/>
      <c r="I136" s="950"/>
      <c r="J136" s="671">
        <f>ROUND(((15/30)/12)*0.0078*(J129),2)</f>
        <v>0.74</v>
      </c>
      <c r="K136" s="663"/>
    </row>
    <row r="137" spans="1:11" ht="24" customHeight="1">
      <c r="A137" s="579"/>
      <c r="B137" s="730" t="s">
        <v>417</v>
      </c>
      <c r="C137" s="1119" t="s">
        <v>729</v>
      </c>
      <c r="D137" s="949"/>
      <c r="E137" s="949"/>
      <c r="F137" s="949"/>
      <c r="G137" s="949"/>
      <c r="H137" s="949"/>
      <c r="I137" s="950"/>
      <c r="J137" s="731">
        <f>ROUND(((((C129+C129/3)+(I86)*(C129+C129/3))*(4/12))/12)*0.02,2) + ((J106 -J92-J97+ J124)*4/12)*0.02</f>
        <v>2.0118666666666667</v>
      </c>
      <c r="K137" s="732"/>
    </row>
    <row r="138" spans="1:11" ht="24" customHeight="1">
      <c r="A138" s="579"/>
      <c r="B138" s="682" t="s">
        <v>421</v>
      </c>
      <c r="C138" s="1051" t="s">
        <v>730</v>
      </c>
      <c r="D138" s="949"/>
      <c r="E138" s="949"/>
      <c r="F138" s="949"/>
      <c r="G138" s="949"/>
      <c r="H138" s="949"/>
      <c r="I138" s="950"/>
      <c r="J138" s="671">
        <f>ROUND(((3/30)/12)*(J129),2)</f>
        <v>19.100000000000001</v>
      </c>
      <c r="K138" s="663"/>
    </row>
    <row r="139" spans="1:11" ht="11.25" customHeight="1">
      <c r="A139" s="579"/>
      <c r="B139" s="1108" t="s">
        <v>450</v>
      </c>
      <c r="C139" s="949"/>
      <c r="D139" s="949"/>
      <c r="E139" s="949"/>
      <c r="F139" s="949"/>
      <c r="G139" s="949"/>
      <c r="H139" s="949"/>
      <c r="I139" s="950"/>
      <c r="J139" s="662">
        <f>SUM(J133:J138)</f>
        <v>208.82642666666666</v>
      </c>
      <c r="K139" s="663"/>
    </row>
    <row r="140" spans="1:11" ht="6" customHeight="1">
      <c r="A140" s="579"/>
      <c r="B140" s="1112"/>
      <c r="C140" s="949"/>
      <c r="D140" s="949"/>
      <c r="E140" s="949"/>
      <c r="F140" s="949"/>
      <c r="G140" s="949"/>
      <c r="H140" s="949"/>
      <c r="I140" s="949"/>
      <c r="J140" s="950"/>
      <c r="K140" s="715"/>
    </row>
    <row r="141" spans="1:11" ht="17.25" customHeight="1">
      <c r="A141" s="579"/>
      <c r="B141" s="1114" t="s">
        <v>514</v>
      </c>
      <c r="C141" s="949"/>
      <c r="D141" s="949"/>
      <c r="E141" s="949"/>
      <c r="F141" s="949"/>
      <c r="G141" s="949"/>
      <c r="H141" s="949"/>
      <c r="I141" s="949"/>
      <c r="J141" s="950"/>
      <c r="K141" s="654"/>
    </row>
    <row r="142" spans="1:11" ht="22.5" customHeight="1">
      <c r="A142" s="579"/>
      <c r="B142" s="733" t="s">
        <v>515</v>
      </c>
      <c r="C142" s="1122" t="s">
        <v>516</v>
      </c>
      <c r="D142" s="949"/>
      <c r="E142" s="949"/>
      <c r="F142" s="949"/>
      <c r="G142" s="949"/>
      <c r="H142" s="949"/>
      <c r="I142" s="950"/>
      <c r="J142" s="734" t="s">
        <v>447</v>
      </c>
      <c r="K142" s="735"/>
    </row>
    <row r="143" spans="1:11" ht="23.25" customHeight="1">
      <c r="A143" s="579"/>
      <c r="B143" s="736" t="s">
        <v>369</v>
      </c>
      <c r="C143" s="1125" t="s">
        <v>517</v>
      </c>
      <c r="D143" s="949"/>
      <c r="E143" s="949"/>
      <c r="F143" s="949"/>
      <c r="G143" s="949"/>
      <c r="H143" s="949"/>
      <c r="I143" s="950"/>
      <c r="J143" s="737">
        <v>0</v>
      </c>
      <c r="K143" s="738"/>
    </row>
    <row r="144" spans="1:11" ht="11.25" customHeight="1">
      <c r="A144" s="579"/>
      <c r="B144" s="1102" t="s">
        <v>450</v>
      </c>
      <c r="C144" s="949"/>
      <c r="D144" s="949"/>
      <c r="E144" s="949"/>
      <c r="F144" s="949"/>
      <c r="G144" s="949"/>
      <c r="H144" s="949"/>
      <c r="I144" s="950"/>
      <c r="J144" s="739">
        <v>0</v>
      </c>
      <c r="K144" s="738"/>
    </row>
    <row r="145" spans="1:11" ht="6" customHeight="1">
      <c r="A145" s="579"/>
      <c r="B145" s="1126"/>
      <c r="C145" s="949"/>
      <c r="D145" s="949"/>
      <c r="E145" s="949"/>
      <c r="F145" s="949"/>
      <c r="G145" s="949"/>
      <c r="H145" s="949"/>
      <c r="I145" s="949"/>
      <c r="J145" s="950"/>
      <c r="K145" s="740"/>
    </row>
    <row r="146" spans="1:11" ht="19.5" customHeight="1">
      <c r="A146" s="579"/>
      <c r="B146" s="1098" t="s">
        <v>518</v>
      </c>
      <c r="C146" s="949"/>
      <c r="D146" s="949"/>
      <c r="E146" s="949"/>
      <c r="F146" s="949"/>
      <c r="G146" s="949"/>
      <c r="H146" s="949"/>
      <c r="I146" s="949"/>
      <c r="J146" s="950"/>
      <c r="K146" s="653"/>
    </row>
    <row r="147" spans="1:11" ht="23.25" customHeight="1">
      <c r="A147" s="579"/>
      <c r="B147" s="668">
        <v>4</v>
      </c>
      <c r="C147" s="1122" t="s">
        <v>519</v>
      </c>
      <c r="D147" s="949"/>
      <c r="E147" s="949"/>
      <c r="F147" s="949"/>
      <c r="G147" s="949"/>
      <c r="H147" s="949"/>
      <c r="I147" s="950"/>
      <c r="J147" s="734" t="s">
        <v>447</v>
      </c>
      <c r="K147" s="735"/>
    </row>
    <row r="148" spans="1:11" ht="11.25" customHeight="1">
      <c r="A148" s="579"/>
      <c r="B148" s="600" t="s">
        <v>506</v>
      </c>
      <c r="C148" s="1125" t="s">
        <v>507</v>
      </c>
      <c r="D148" s="949"/>
      <c r="E148" s="949"/>
      <c r="F148" s="949"/>
      <c r="G148" s="949"/>
      <c r="H148" s="949"/>
      <c r="I148" s="950"/>
      <c r="J148" s="737">
        <f>J139</f>
        <v>208.82642666666666</v>
      </c>
      <c r="K148" s="738"/>
    </row>
    <row r="149" spans="1:11" ht="11.25" customHeight="1">
      <c r="A149" s="579"/>
      <c r="B149" s="600" t="s">
        <v>520</v>
      </c>
      <c r="C149" s="1125" t="s">
        <v>516</v>
      </c>
      <c r="D149" s="949"/>
      <c r="E149" s="949"/>
      <c r="F149" s="949"/>
      <c r="G149" s="949"/>
      <c r="H149" s="949"/>
      <c r="I149" s="950"/>
      <c r="J149" s="737">
        <f>J144</f>
        <v>0</v>
      </c>
      <c r="K149" s="738"/>
    </row>
    <row r="150" spans="1:11" ht="11.25" customHeight="1">
      <c r="A150" s="579"/>
      <c r="B150" s="1115" t="s">
        <v>450</v>
      </c>
      <c r="C150" s="949"/>
      <c r="D150" s="949"/>
      <c r="E150" s="949"/>
      <c r="F150" s="949"/>
      <c r="G150" s="949"/>
      <c r="H150" s="949"/>
      <c r="I150" s="950"/>
      <c r="J150" s="739">
        <f>SUM(J148+J149)</f>
        <v>208.82642666666666</v>
      </c>
      <c r="K150" s="738"/>
    </row>
    <row r="151" spans="1:11" ht="11.25" customHeight="1">
      <c r="A151" s="579"/>
      <c r="B151" s="1126"/>
      <c r="C151" s="949"/>
      <c r="D151" s="949"/>
      <c r="E151" s="949"/>
      <c r="F151" s="949"/>
      <c r="G151" s="949"/>
      <c r="H151" s="949"/>
      <c r="I151" s="949"/>
      <c r="J151" s="950"/>
      <c r="K151" s="740"/>
    </row>
    <row r="152" spans="1:11" ht="21" customHeight="1">
      <c r="A152" s="579"/>
      <c r="B152" s="1113" t="s">
        <v>521</v>
      </c>
      <c r="C152" s="949"/>
      <c r="D152" s="949"/>
      <c r="E152" s="949"/>
      <c r="F152" s="949"/>
      <c r="G152" s="949"/>
      <c r="H152" s="949"/>
      <c r="I152" s="949"/>
      <c r="J152" s="950"/>
      <c r="K152" s="716"/>
    </row>
    <row r="153" spans="1:11" ht="11.25" customHeight="1">
      <c r="A153" s="579"/>
      <c r="B153" s="680">
        <v>3</v>
      </c>
      <c r="C153" s="1089" t="s">
        <v>522</v>
      </c>
      <c r="D153" s="949"/>
      <c r="E153" s="949"/>
      <c r="F153" s="949"/>
      <c r="G153" s="949"/>
      <c r="H153" s="949"/>
      <c r="I153" s="950"/>
      <c r="J153" s="680" t="s">
        <v>447</v>
      </c>
      <c r="K153" s="712"/>
    </row>
    <row r="154" spans="1:11" ht="22.5" customHeight="1">
      <c r="A154" s="579"/>
      <c r="B154" s="682" t="s">
        <v>369</v>
      </c>
      <c r="C154" s="1051" t="s">
        <v>523</v>
      </c>
      <c r="D154" s="949"/>
      <c r="E154" s="949"/>
      <c r="F154" s="949"/>
      <c r="G154" s="949"/>
      <c r="H154" s="949"/>
      <c r="I154" s="950"/>
      <c r="J154" s="741">
        <v>0</v>
      </c>
      <c r="K154" s="663"/>
    </row>
    <row r="155" spans="1:11" ht="20.25" customHeight="1">
      <c r="A155" s="579"/>
      <c r="B155" s="682" t="s">
        <v>371</v>
      </c>
      <c r="C155" s="1051" t="s">
        <v>731</v>
      </c>
      <c r="D155" s="949"/>
      <c r="E155" s="949"/>
      <c r="F155" s="949"/>
      <c r="G155" s="949"/>
      <c r="H155" s="949"/>
      <c r="I155" s="950"/>
      <c r="J155" s="741" t="e">
        <f>#REF!</f>
        <v>#REF!</v>
      </c>
      <c r="K155" s="704"/>
    </row>
    <row r="156" spans="1:11" ht="12.75" customHeight="1">
      <c r="A156" s="579"/>
      <c r="B156" s="682" t="s">
        <v>373</v>
      </c>
      <c r="C156" s="1051" t="s">
        <v>524</v>
      </c>
      <c r="D156" s="949"/>
      <c r="E156" s="949"/>
      <c r="F156" s="949"/>
      <c r="G156" s="949"/>
      <c r="H156" s="949"/>
      <c r="I156" s="950"/>
      <c r="J156" s="742" t="s">
        <v>525</v>
      </c>
      <c r="K156" s="704"/>
    </row>
    <row r="157" spans="1:11" ht="11.25" customHeight="1">
      <c r="A157" s="579"/>
      <c r="B157" s="1108" t="s">
        <v>526</v>
      </c>
      <c r="C157" s="949"/>
      <c r="D157" s="949"/>
      <c r="E157" s="949"/>
      <c r="F157" s="949"/>
      <c r="G157" s="949"/>
      <c r="H157" s="949"/>
      <c r="I157" s="950"/>
      <c r="J157" s="743" t="e">
        <f>ROUND(SUM(J154:J156),2)</f>
        <v>#REF!</v>
      </c>
      <c r="K157" s="704"/>
    </row>
    <row r="158" spans="1:11" ht="6.75" customHeight="1">
      <c r="A158" s="579"/>
      <c r="B158" s="1153"/>
      <c r="C158" s="949"/>
      <c r="D158" s="949"/>
      <c r="E158" s="949"/>
      <c r="F158" s="949"/>
      <c r="G158" s="949"/>
      <c r="H158" s="949"/>
      <c r="I158" s="949"/>
      <c r="J158" s="950"/>
      <c r="K158" s="744"/>
    </row>
    <row r="159" spans="1:11" ht="11.25" customHeight="1">
      <c r="A159" s="579"/>
      <c r="B159" s="1154" t="s">
        <v>527</v>
      </c>
      <c r="C159" s="949"/>
      <c r="D159" s="949"/>
      <c r="E159" s="949"/>
      <c r="F159" s="949"/>
      <c r="G159" s="949"/>
      <c r="H159" s="949"/>
      <c r="I159" s="949"/>
      <c r="J159" s="950"/>
      <c r="K159" s="745"/>
    </row>
    <row r="160" spans="1:11" ht="6.75" customHeight="1">
      <c r="A160" s="579"/>
      <c r="B160" s="746"/>
      <c r="C160" s="747"/>
      <c r="D160" s="747"/>
      <c r="E160" s="747"/>
      <c r="F160" s="747"/>
      <c r="G160" s="747"/>
      <c r="H160" s="747"/>
      <c r="I160" s="747"/>
      <c r="J160" s="748"/>
      <c r="K160" s="314"/>
    </row>
    <row r="161" spans="1:11" ht="21" customHeight="1">
      <c r="A161" s="579"/>
      <c r="B161" s="1117" t="s">
        <v>528</v>
      </c>
      <c r="C161" s="949"/>
      <c r="D161" s="949"/>
      <c r="E161" s="949"/>
      <c r="F161" s="949"/>
      <c r="G161" s="949"/>
      <c r="H161" s="949"/>
      <c r="I161" s="949"/>
      <c r="J161" s="950"/>
      <c r="K161" s="711"/>
    </row>
    <row r="162" spans="1:11" ht="23.25" customHeight="1">
      <c r="A162" s="579"/>
      <c r="B162" s="680">
        <v>6</v>
      </c>
      <c r="C162" s="1118" t="s">
        <v>529</v>
      </c>
      <c r="D162" s="949"/>
      <c r="E162" s="949"/>
      <c r="F162" s="949"/>
      <c r="G162" s="949"/>
      <c r="H162" s="950"/>
      <c r="I162" s="749" t="s">
        <v>411</v>
      </c>
      <c r="J162" s="750" t="s">
        <v>455</v>
      </c>
      <c r="K162" s="751"/>
    </row>
    <row r="163" spans="1:11" ht="54.75" customHeight="1">
      <c r="A163" s="579"/>
      <c r="B163" s="1062" t="s">
        <v>530</v>
      </c>
      <c r="C163" s="949"/>
      <c r="D163" s="949"/>
      <c r="E163" s="949"/>
      <c r="F163" s="949"/>
      <c r="G163" s="949"/>
      <c r="H163" s="950"/>
      <c r="I163" s="341" t="s">
        <v>382</v>
      </c>
      <c r="J163" s="752" t="e">
        <f>SUM(J63+J115+J124+J150+J157)</f>
        <v>#REF!</v>
      </c>
      <c r="K163" s="753"/>
    </row>
    <row r="164" spans="1:11" ht="18" customHeight="1">
      <c r="A164" s="579"/>
      <c r="B164" s="682" t="s">
        <v>369</v>
      </c>
      <c r="C164" s="1155" t="s">
        <v>531</v>
      </c>
      <c r="D164" s="949"/>
      <c r="E164" s="949"/>
      <c r="F164" s="949"/>
      <c r="G164" s="949"/>
      <c r="H164" s="950"/>
      <c r="I164" s="670">
        <f>'1-ABA-DE-CARREGAMENTO'!E85</f>
        <v>0.06</v>
      </c>
      <c r="J164" s="671" t="e">
        <f>ROUND(I164*J163,2)</f>
        <v>#REF!</v>
      </c>
      <c r="K164" s="663"/>
    </row>
    <row r="165" spans="1:11" ht="51" customHeight="1">
      <c r="A165" s="579"/>
      <c r="B165" s="1062" t="s">
        <v>532</v>
      </c>
      <c r="C165" s="949"/>
      <c r="D165" s="949"/>
      <c r="E165" s="949"/>
      <c r="F165" s="949"/>
      <c r="G165" s="949"/>
      <c r="H165" s="950"/>
      <c r="I165" s="754" t="s">
        <v>382</v>
      </c>
      <c r="J165" s="752" t="e">
        <f>SUM(J63+J115+J124+J150+J157+J164)</f>
        <v>#REF!</v>
      </c>
      <c r="K165" s="753"/>
    </row>
    <row r="166" spans="1:11" ht="15" customHeight="1">
      <c r="A166" s="579"/>
      <c r="B166" s="682" t="s">
        <v>371</v>
      </c>
      <c r="C166" s="1155" t="s">
        <v>312</v>
      </c>
      <c r="D166" s="949"/>
      <c r="E166" s="949"/>
      <c r="F166" s="949"/>
      <c r="G166" s="949"/>
      <c r="H166" s="950"/>
      <c r="I166" s="670">
        <f>'1-ABA-DE-CARREGAMENTO'!E86</f>
        <v>0.06</v>
      </c>
      <c r="J166" s="671" t="e">
        <f>ROUND(I166*J165,2)</f>
        <v>#REF!</v>
      </c>
      <c r="K166" s="663"/>
    </row>
    <row r="167" spans="1:11" ht="58.5" customHeight="1">
      <c r="A167" s="579"/>
      <c r="B167" s="1062" t="s">
        <v>533</v>
      </c>
      <c r="C167" s="949"/>
      <c r="D167" s="949"/>
      <c r="E167" s="949"/>
      <c r="F167" s="949"/>
      <c r="G167" s="949"/>
      <c r="H167" s="950"/>
      <c r="I167" s="754" t="s">
        <v>382</v>
      </c>
      <c r="J167" s="752" t="e">
        <f>SUM(J163+J164+J166)</f>
        <v>#REF!</v>
      </c>
      <c r="K167" s="753"/>
    </row>
    <row r="168" spans="1:11" ht="18" customHeight="1">
      <c r="A168" s="579"/>
      <c r="B168" s="755" t="s">
        <v>373</v>
      </c>
      <c r="C168" s="1117" t="s">
        <v>534</v>
      </c>
      <c r="D168" s="949"/>
      <c r="E168" s="949"/>
      <c r="F168" s="949"/>
      <c r="G168" s="949"/>
      <c r="H168" s="950"/>
      <c r="I168" s="756" t="s">
        <v>382</v>
      </c>
      <c r="J168" s="643" t="s">
        <v>382</v>
      </c>
      <c r="K168" s="644"/>
    </row>
    <row r="169" spans="1:11" ht="11.25" customHeight="1">
      <c r="A169" s="579"/>
      <c r="B169" s="682"/>
      <c r="C169" s="1111" t="s">
        <v>535</v>
      </c>
      <c r="D169" s="949"/>
      <c r="E169" s="949"/>
      <c r="F169" s="949"/>
      <c r="G169" s="949"/>
      <c r="H169" s="950"/>
      <c r="I169" s="756" t="s">
        <v>382</v>
      </c>
      <c r="J169" s="643" t="s">
        <v>382</v>
      </c>
      <c r="K169" s="644"/>
    </row>
    <row r="170" spans="1:11" ht="15" customHeight="1">
      <c r="A170" s="579"/>
      <c r="B170" s="682"/>
      <c r="C170" s="1156" t="s">
        <v>732</v>
      </c>
      <c r="D170" s="949"/>
      <c r="E170" s="949"/>
      <c r="F170" s="949"/>
      <c r="G170" s="949"/>
      <c r="H170" s="950"/>
      <c r="I170" s="629">
        <f>'1-ABA-DE-CARREGAMENTO'!E28</f>
        <v>1.6500000000000001E-2</v>
      </c>
      <c r="J170" s="757" t="e">
        <f t="shared" ref="J170:J171" si="3">ROUND(($J$167/(1-$I$179))*I170,2)</f>
        <v>#REF!</v>
      </c>
      <c r="K170" s="758"/>
    </row>
    <row r="171" spans="1:11" ht="15" customHeight="1">
      <c r="A171" s="579"/>
      <c r="B171" s="682"/>
      <c r="C171" s="1156" t="s">
        <v>733</v>
      </c>
      <c r="D171" s="949"/>
      <c r="E171" s="949"/>
      <c r="F171" s="949"/>
      <c r="G171" s="949"/>
      <c r="H171" s="950"/>
      <c r="I171" s="629">
        <f>'1-ABA-DE-CARREGAMENTO'!F28</f>
        <v>7.5999999999999998E-2</v>
      </c>
      <c r="J171" s="757" t="e">
        <f t="shared" si="3"/>
        <v>#REF!</v>
      </c>
      <c r="K171" s="758"/>
    </row>
    <row r="172" spans="1:11" ht="11.25" customHeight="1">
      <c r="A172" s="579"/>
      <c r="B172" s="682"/>
      <c r="C172" s="1051" t="s">
        <v>734</v>
      </c>
      <c r="D172" s="949"/>
      <c r="E172" s="949"/>
      <c r="F172" s="949"/>
      <c r="G172" s="949"/>
      <c r="H172" s="950"/>
      <c r="I172" s="759" t="s">
        <v>382</v>
      </c>
      <c r="J172" s="643" t="s">
        <v>382</v>
      </c>
      <c r="K172" s="644"/>
    </row>
    <row r="173" spans="1:11" ht="11.25" customHeight="1">
      <c r="A173" s="579"/>
      <c r="B173" s="682"/>
      <c r="C173" s="1051" t="s">
        <v>735</v>
      </c>
      <c r="D173" s="949"/>
      <c r="E173" s="949"/>
      <c r="F173" s="949"/>
      <c r="G173" s="949"/>
      <c r="H173" s="950"/>
      <c r="I173" s="759" t="s">
        <v>382</v>
      </c>
      <c r="J173" s="643" t="s">
        <v>382</v>
      </c>
      <c r="K173" s="644"/>
    </row>
    <row r="174" spans="1:11" ht="11.25" customHeight="1">
      <c r="A174" s="579"/>
      <c r="B174" s="682"/>
      <c r="C174" s="1051" t="s">
        <v>540</v>
      </c>
      <c r="D174" s="949"/>
      <c r="E174" s="949"/>
      <c r="F174" s="949"/>
      <c r="G174" s="949"/>
      <c r="H174" s="949"/>
      <c r="I174" s="760" t="s">
        <v>382</v>
      </c>
      <c r="J174" s="761" t="s">
        <v>382</v>
      </c>
      <c r="K174" s="762"/>
    </row>
    <row r="175" spans="1:11" ht="11.25" customHeight="1">
      <c r="A175" s="579"/>
      <c r="B175" s="682"/>
      <c r="C175" s="1051" t="s">
        <v>541</v>
      </c>
      <c r="D175" s="949"/>
      <c r="E175" s="949"/>
      <c r="F175" s="949"/>
      <c r="G175" s="949"/>
      <c r="H175" s="949"/>
      <c r="I175" s="760" t="s">
        <v>382</v>
      </c>
      <c r="J175" s="761" t="s">
        <v>382</v>
      </c>
      <c r="K175" s="762"/>
    </row>
    <row r="176" spans="1:11" ht="11.25" customHeight="1">
      <c r="A176" s="579"/>
      <c r="B176" s="682"/>
      <c r="C176" s="1051" t="s">
        <v>736</v>
      </c>
      <c r="D176" s="949"/>
      <c r="E176" s="949"/>
      <c r="F176" s="949"/>
      <c r="G176" s="949"/>
      <c r="H176" s="950"/>
      <c r="I176" s="763">
        <f>'1-ABA-DE-CARREGAMENTO'!D87</f>
        <v>0.03</v>
      </c>
      <c r="J176" s="757" t="e">
        <f>ROUND(($J$167/(1-$I$179))*I176,2)</f>
        <v>#REF!</v>
      </c>
      <c r="K176" s="758"/>
    </row>
    <row r="177" spans="1:11" ht="11.25" customHeight="1">
      <c r="A177" s="579"/>
      <c r="B177" s="1108" t="s">
        <v>497</v>
      </c>
      <c r="C177" s="949"/>
      <c r="D177" s="949"/>
      <c r="E177" s="949"/>
      <c r="F177" s="949"/>
      <c r="G177" s="949"/>
      <c r="H177" s="949"/>
      <c r="I177" s="950"/>
      <c r="J177" s="662" t="e">
        <f>SUM(J164+J166+J170+J171+J176)</f>
        <v>#REF!</v>
      </c>
      <c r="K177" s="663"/>
    </row>
    <row r="178" spans="1:11" ht="6.75" customHeight="1">
      <c r="A178" s="579"/>
      <c r="B178" s="1112"/>
      <c r="C178" s="949"/>
      <c r="D178" s="949"/>
      <c r="E178" s="949"/>
      <c r="F178" s="949"/>
      <c r="G178" s="949"/>
      <c r="H178" s="949"/>
      <c r="I178" s="949"/>
      <c r="J178" s="950"/>
      <c r="K178" s="715"/>
    </row>
    <row r="179" spans="1:11" ht="11.25" customHeight="1">
      <c r="A179" s="579"/>
      <c r="B179" s="1157" t="s">
        <v>543</v>
      </c>
      <c r="C179" s="949"/>
      <c r="D179" s="949"/>
      <c r="E179" s="949"/>
      <c r="F179" s="949"/>
      <c r="G179" s="949"/>
      <c r="H179" s="950"/>
      <c r="I179" s="764">
        <f t="shared" ref="I179:J179" si="4">SUM(I170:I176)</f>
        <v>0.1225</v>
      </c>
      <c r="J179" s="752" t="e">
        <f t="shared" si="4"/>
        <v>#REF!</v>
      </c>
      <c r="K179" s="753"/>
    </row>
    <row r="180" spans="1:11" ht="11.25" customHeight="1">
      <c r="A180" s="579"/>
      <c r="B180" s="1158" t="s">
        <v>544</v>
      </c>
      <c r="C180" s="947"/>
      <c r="D180" s="1159" t="s">
        <v>545</v>
      </c>
      <c r="E180" s="947"/>
      <c r="F180" s="947"/>
      <c r="G180" s="947"/>
      <c r="H180" s="947"/>
      <c r="I180" s="947"/>
      <c r="J180" s="1020"/>
      <c r="K180" s="765"/>
    </row>
    <row r="181" spans="1:11" ht="11.25" customHeight="1">
      <c r="A181" s="579"/>
      <c r="B181" s="1151"/>
      <c r="C181" s="947"/>
      <c r="D181" s="1160" t="s">
        <v>546</v>
      </c>
      <c r="E181" s="947"/>
      <c r="F181" s="947"/>
      <c r="G181" s="947"/>
      <c r="H181" s="947"/>
      <c r="I181" s="947"/>
      <c r="J181" s="1020"/>
      <c r="K181" s="766"/>
    </row>
    <row r="182" spans="1:11" ht="11.25" customHeight="1">
      <c r="A182" s="579"/>
      <c r="B182" s="1134"/>
      <c r="C182" s="1037"/>
      <c r="D182" s="1161" t="s">
        <v>547</v>
      </c>
      <c r="E182" s="1037"/>
      <c r="F182" s="1037"/>
      <c r="G182" s="1037"/>
      <c r="H182" s="1037"/>
      <c r="I182" s="1037"/>
      <c r="J182" s="1038"/>
      <c r="K182" s="765"/>
    </row>
    <row r="183" spans="1:11" ht="6.75" customHeight="1">
      <c r="A183" s="579"/>
      <c r="B183" s="1162"/>
      <c r="C183" s="949"/>
      <c r="D183" s="949"/>
      <c r="E183" s="949"/>
      <c r="F183" s="949"/>
      <c r="G183" s="949"/>
      <c r="H183" s="949"/>
      <c r="I183" s="949"/>
      <c r="J183" s="950"/>
      <c r="K183" s="767"/>
    </row>
    <row r="184" spans="1:11" ht="11.25" customHeight="1">
      <c r="A184" s="579"/>
      <c r="B184" s="1046" t="s">
        <v>548</v>
      </c>
      <c r="C184" s="949"/>
      <c r="D184" s="949"/>
      <c r="E184" s="949"/>
      <c r="F184" s="949"/>
      <c r="G184" s="949"/>
      <c r="H184" s="949"/>
      <c r="I184" s="949"/>
      <c r="J184" s="950"/>
      <c r="K184" s="596"/>
    </row>
    <row r="185" spans="1:11" ht="6.75" customHeight="1">
      <c r="A185" s="579"/>
      <c r="B185" s="1112"/>
      <c r="C185" s="949"/>
      <c r="D185" s="949"/>
      <c r="E185" s="949"/>
      <c r="F185" s="949"/>
      <c r="G185" s="949"/>
      <c r="H185" s="949"/>
      <c r="I185" s="949"/>
      <c r="J185" s="950"/>
      <c r="K185" s="715"/>
    </row>
    <row r="186" spans="1:11" ht="11.25" customHeight="1">
      <c r="A186" s="579"/>
      <c r="B186" s="1113" t="s">
        <v>737</v>
      </c>
      <c r="C186" s="949"/>
      <c r="D186" s="949"/>
      <c r="E186" s="949"/>
      <c r="F186" s="949"/>
      <c r="G186" s="949"/>
      <c r="H186" s="949"/>
      <c r="I186" s="949"/>
      <c r="J186" s="950"/>
      <c r="K186" s="716"/>
    </row>
    <row r="187" spans="1:11" ht="11.25" customHeight="1">
      <c r="A187" s="579"/>
      <c r="B187" s="1050" t="s">
        <v>550</v>
      </c>
      <c r="C187" s="949"/>
      <c r="D187" s="949"/>
      <c r="E187" s="949"/>
      <c r="F187" s="949"/>
      <c r="G187" s="949"/>
      <c r="H187" s="949"/>
      <c r="I187" s="950"/>
      <c r="J187" s="749" t="s">
        <v>447</v>
      </c>
      <c r="K187" s="593"/>
    </row>
    <row r="188" spans="1:11" ht="11.25" customHeight="1">
      <c r="A188" s="579"/>
      <c r="B188" s="768" t="s">
        <v>369</v>
      </c>
      <c r="C188" s="1123" t="s">
        <v>551</v>
      </c>
      <c r="D188" s="949"/>
      <c r="E188" s="949"/>
      <c r="F188" s="949"/>
      <c r="G188" s="949"/>
      <c r="H188" s="949"/>
      <c r="I188" s="949"/>
      <c r="J188" s="742">
        <f>J63</f>
        <v>1450.8727272727272</v>
      </c>
      <c r="K188" s="704"/>
    </row>
    <row r="189" spans="1:11" ht="11.25" customHeight="1">
      <c r="A189" s="579"/>
      <c r="B189" s="768" t="s">
        <v>371</v>
      </c>
      <c r="C189" s="1123" t="s">
        <v>552</v>
      </c>
      <c r="D189" s="949"/>
      <c r="E189" s="949"/>
      <c r="F189" s="949"/>
      <c r="G189" s="949"/>
      <c r="H189" s="949"/>
      <c r="I189" s="949"/>
      <c r="J189" s="742">
        <f>J115</f>
        <v>1167.93</v>
      </c>
      <c r="K189" s="704"/>
    </row>
    <row r="190" spans="1:11" ht="11.25" customHeight="1">
      <c r="A190" s="579"/>
      <c r="B190" s="768" t="s">
        <v>373</v>
      </c>
      <c r="C190" s="1123" t="s">
        <v>553</v>
      </c>
      <c r="D190" s="949"/>
      <c r="E190" s="949"/>
      <c r="F190" s="949"/>
      <c r="G190" s="949"/>
      <c r="H190" s="949"/>
      <c r="I190" s="949"/>
      <c r="J190" s="742">
        <f>J124</f>
        <v>81.28</v>
      </c>
      <c r="K190" s="704"/>
    </row>
    <row r="191" spans="1:11" ht="11.25" customHeight="1">
      <c r="A191" s="579"/>
      <c r="B191" s="768" t="s">
        <v>375</v>
      </c>
      <c r="C191" s="1123" t="s">
        <v>554</v>
      </c>
      <c r="D191" s="949"/>
      <c r="E191" s="949"/>
      <c r="F191" s="949"/>
      <c r="G191" s="949"/>
      <c r="H191" s="949"/>
      <c r="I191" s="949"/>
      <c r="J191" s="742">
        <f>J150</f>
        <v>208.82642666666666</v>
      </c>
      <c r="K191" s="704"/>
    </row>
    <row r="192" spans="1:11" ht="11.25" customHeight="1">
      <c r="A192" s="579"/>
      <c r="B192" s="768" t="s">
        <v>417</v>
      </c>
      <c r="C192" s="1123" t="s">
        <v>555</v>
      </c>
      <c r="D192" s="949"/>
      <c r="E192" s="949"/>
      <c r="F192" s="949"/>
      <c r="G192" s="949"/>
      <c r="H192" s="949"/>
      <c r="I192" s="949"/>
      <c r="J192" s="742" t="e">
        <f>J157</f>
        <v>#REF!</v>
      </c>
      <c r="K192" s="704"/>
    </row>
    <row r="193" spans="1:11" ht="11.25" customHeight="1">
      <c r="A193" s="579"/>
      <c r="B193" s="1124" t="s">
        <v>556</v>
      </c>
      <c r="C193" s="949"/>
      <c r="D193" s="949"/>
      <c r="E193" s="949"/>
      <c r="F193" s="949"/>
      <c r="G193" s="949"/>
      <c r="H193" s="949"/>
      <c r="I193" s="949"/>
      <c r="J193" s="743" t="e">
        <f>ROUND(SUM(J188:J192),2)</f>
        <v>#REF!</v>
      </c>
      <c r="K193" s="704"/>
    </row>
    <row r="194" spans="1:11" ht="11.25" customHeight="1">
      <c r="A194" s="579"/>
      <c r="B194" s="769" t="s">
        <v>421</v>
      </c>
      <c r="C194" s="1123" t="s">
        <v>528</v>
      </c>
      <c r="D194" s="949"/>
      <c r="E194" s="949"/>
      <c r="F194" s="949"/>
      <c r="G194" s="949"/>
      <c r="H194" s="949"/>
      <c r="I194" s="949"/>
      <c r="J194" s="742" t="e">
        <f>J177</f>
        <v>#REF!</v>
      </c>
      <c r="K194" s="704"/>
    </row>
    <row r="195" spans="1:11" ht="11.25" customHeight="1">
      <c r="A195" s="579"/>
      <c r="B195" s="1124" t="s">
        <v>666</v>
      </c>
      <c r="C195" s="949"/>
      <c r="D195" s="949"/>
      <c r="E195" s="949"/>
      <c r="F195" s="949"/>
      <c r="G195" s="949"/>
      <c r="H195" s="949"/>
      <c r="I195" s="949"/>
      <c r="J195" s="743" t="e">
        <f>J193+J194</f>
        <v>#REF!</v>
      </c>
      <c r="K195" s="704"/>
    </row>
    <row r="196" spans="1:11" ht="42" customHeight="1">
      <c r="A196" s="579"/>
      <c r="B196" s="1169" t="s">
        <v>558</v>
      </c>
      <c r="C196" s="949"/>
      <c r="D196" s="949"/>
      <c r="E196" s="949"/>
      <c r="F196" s="949"/>
      <c r="G196" s="949"/>
      <c r="H196" s="949"/>
      <c r="I196" s="949"/>
      <c r="J196" s="950"/>
      <c r="K196" s="874"/>
    </row>
    <row r="197" spans="1:11" ht="9" customHeight="1">
      <c r="A197" s="579"/>
      <c r="B197" s="1170"/>
      <c r="C197" s="949"/>
      <c r="D197" s="949"/>
      <c r="E197" s="949"/>
      <c r="F197" s="949"/>
      <c r="G197" s="949"/>
      <c r="H197" s="949"/>
      <c r="I197" s="949"/>
      <c r="J197" s="950"/>
      <c r="K197" s="771"/>
    </row>
    <row r="198" spans="1:11" ht="11.25" customHeight="1">
      <c r="A198" s="579"/>
      <c r="B198" s="772"/>
      <c r="C198" s="587"/>
      <c r="D198" s="587"/>
      <c r="E198" s="587"/>
      <c r="F198" s="587"/>
      <c r="G198" s="587"/>
      <c r="H198" s="587"/>
      <c r="I198" s="773"/>
      <c r="J198" s="774"/>
      <c r="K198" s="773"/>
    </row>
    <row r="199" spans="1:11" ht="17.25" customHeight="1">
      <c r="A199" s="579"/>
      <c r="B199" s="1129" t="s">
        <v>559</v>
      </c>
      <c r="C199" s="947"/>
      <c r="D199" s="947"/>
      <c r="E199" s="947"/>
      <c r="F199" s="947"/>
      <c r="G199" s="947"/>
      <c r="H199" s="947"/>
      <c r="I199" s="947"/>
      <c r="J199" s="1020"/>
      <c r="K199" s="588"/>
    </row>
    <row r="200" spans="1:11" ht="11.25" customHeight="1">
      <c r="A200" s="579"/>
      <c r="B200" s="1075" t="s">
        <v>560</v>
      </c>
      <c r="C200" s="949"/>
      <c r="D200" s="949"/>
      <c r="E200" s="950"/>
      <c r="F200" s="1075" t="s">
        <v>667</v>
      </c>
      <c r="G200" s="950"/>
      <c r="H200" s="749" t="s">
        <v>563</v>
      </c>
      <c r="I200" s="1075" t="s">
        <v>564</v>
      </c>
      <c r="J200" s="950"/>
      <c r="K200" s="593"/>
    </row>
    <row r="201" spans="1:11" ht="38.25" hidden="1" customHeight="1" outlineLevel="1">
      <c r="A201" s="579"/>
      <c r="B201" s="1051" t="s">
        <v>565</v>
      </c>
      <c r="C201" s="949"/>
      <c r="D201" s="949"/>
      <c r="E201" s="950"/>
      <c r="F201" s="1140">
        <v>0</v>
      </c>
      <c r="G201" s="950"/>
      <c r="H201" s="875">
        <f t="shared" ref="H201:H202" si="5">E201*F201</f>
        <v>0</v>
      </c>
      <c r="I201" s="1140">
        <f t="shared" ref="I201:I203" si="6">F201*H201</f>
        <v>0</v>
      </c>
      <c r="J201" s="950"/>
      <c r="K201" s="779"/>
    </row>
    <row r="202" spans="1:11" ht="38.25" hidden="1" customHeight="1" outlineLevel="1">
      <c r="A202" s="579"/>
      <c r="B202" s="1051" t="s">
        <v>566</v>
      </c>
      <c r="C202" s="949"/>
      <c r="D202" s="949"/>
      <c r="E202" s="950"/>
      <c r="F202" s="1140">
        <v>0</v>
      </c>
      <c r="G202" s="950"/>
      <c r="H202" s="875">
        <f t="shared" si="5"/>
        <v>0</v>
      </c>
      <c r="I202" s="1140">
        <f t="shared" si="6"/>
        <v>0</v>
      </c>
      <c r="J202" s="950"/>
      <c r="K202" s="779"/>
    </row>
    <row r="203" spans="1:11" ht="38.25" customHeight="1" collapsed="1">
      <c r="A203" s="579"/>
      <c r="B203" s="1141" t="str">
        <f>B3</f>
        <v>A NÃO TEM MAIS POSTOS-00</v>
      </c>
      <c r="C203" s="949"/>
      <c r="D203" s="949"/>
      <c r="E203" s="950"/>
      <c r="F203" s="1131" t="e">
        <f>J195</f>
        <v>#REF!</v>
      </c>
      <c r="G203" s="950"/>
      <c r="H203" s="875">
        <f>I17</f>
        <v>0</v>
      </c>
      <c r="I203" s="1140" t="e">
        <f t="shared" si="6"/>
        <v>#REF!</v>
      </c>
      <c r="J203" s="950"/>
      <c r="K203" s="779"/>
    </row>
    <row r="204" spans="1:11" ht="38.25" hidden="1" customHeight="1" outlineLevel="1">
      <c r="A204" s="579"/>
      <c r="B204" s="1051" t="s">
        <v>567</v>
      </c>
      <c r="C204" s="949"/>
      <c r="D204" s="949"/>
      <c r="E204" s="950"/>
      <c r="F204" s="1131">
        <v>0</v>
      </c>
      <c r="G204" s="950"/>
      <c r="H204" s="875">
        <f t="shared" ref="H204:I204" si="7">E204*G204</f>
        <v>0</v>
      </c>
      <c r="I204" s="1140">
        <f t="shared" si="7"/>
        <v>0</v>
      </c>
      <c r="J204" s="950"/>
      <c r="K204" s="779"/>
    </row>
    <row r="205" spans="1:11" ht="38.25" hidden="1" customHeight="1" outlineLevel="1">
      <c r="A205" s="579"/>
      <c r="B205" s="1051" t="s">
        <v>568</v>
      </c>
      <c r="C205" s="949"/>
      <c r="D205" s="949"/>
      <c r="E205" s="950"/>
      <c r="F205" s="1131">
        <v>0</v>
      </c>
      <c r="G205" s="950"/>
      <c r="H205" s="875">
        <f t="shared" ref="H205:I205" si="8">E205*G205</f>
        <v>0</v>
      </c>
      <c r="I205" s="1140">
        <f t="shared" si="8"/>
        <v>0</v>
      </c>
      <c r="J205" s="950"/>
      <c r="K205" s="779"/>
    </row>
    <row r="206" spans="1:11" ht="38.25" hidden="1" customHeight="1" outlineLevel="1">
      <c r="A206" s="579"/>
      <c r="B206" s="1142" t="s">
        <v>738</v>
      </c>
      <c r="C206" s="949"/>
      <c r="D206" s="949"/>
      <c r="E206" s="950"/>
      <c r="F206" s="1140">
        <v>0</v>
      </c>
      <c r="G206" s="950"/>
      <c r="H206" s="875">
        <f t="shared" ref="H206:I206" si="9">E206*G206</f>
        <v>0</v>
      </c>
      <c r="I206" s="1140">
        <f t="shared" si="9"/>
        <v>0</v>
      </c>
      <c r="J206" s="950"/>
      <c r="K206" s="779"/>
    </row>
    <row r="207" spans="1:11" ht="11.25" customHeight="1" collapsed="1">
      <c r="A207" s="579"/>
      <c r="B207" s="1143" t="s">
        <v>570</v>
      </c>
      <c r="C207" s="949"/>
      <c r="D207" s="949"/>
      <c r="E207" s="949"/>
      <c r="F207" s="949"/>
      <c r="G207" s="950"/>
      <c r="H207" s="906">
        <f>SUM(H201:H206)</f>
        <v>0</v>
      </c>
      <c r="I207" s="1176" t="e">
        <f>SUM(I201:J206)</f>
        <v>#REF!</v>
      </c>
      <c r="J207" s="950"/>
      <c r="K207" s="786"/>
    </row>
    <row r="208" spans="1:11" ht="8.25" customHeight="1">
      <c r="A208" s="579"/>
      <c r="B208" s="1144"/>
      <c r="C208" s="1145"/>
      <c r="D208" s="1145"/>
      <c r="E208" s="1145"/>
      <c r="F208" s="1145"/>
      <c r="G208" s="1145"/>
      <c r="H208" s="1145"/>
      <c r="I208" s="1145"/>
      <c r="J208" s="1146"/>
      <c r="K208" s="715"/>
    </row>
    <row r="209" spans="1:11" ht="13.5" customHeight="1">
      <c r="A209" s="579"/>
      <c r="B209" s="1147" t="s">
        <v>571</v>
      </c>
      <c r="C209" s="1037"/>
      <c r="D209" s="1037"/>
      <c r="E209" s="1037"/>
      <c r="F209" s="1037"/>
      <c r="G209" s="1037"/>
      <c r="H209" s="1037"/>
      <c r="I209" s="1037"/>
      <c r="J209" s="1038"/>
      <c r="K209" s="596"/>
    </row>
    <row r="210" spans="1:11" ht="8.25" customHeight="1">
      <c r="A210" s="579"/>
      <c r="B210" s="1148"/>
      <c r="C210" s="949"/>
      <c r="D210" s="949"/>
      <c r="E210" s="949"/>
      <c r="F210" s="949"/>
      <c r="G210" s="949"/>
      <c r="H210" s="949"/>
      <c r="I210" s="949"/>
      <c r="J210" s="950"/>
      <c r="K210" s="787"/>
    </row>
    <row r="211" spans="1:11" ht="20.25" customHeight="1">
      <c r="A211" s="579"/>
      <c r="B211" s="1072" t="s">
        <v>572</v>
      </c>
      <c r="C211" s="949"/>
      <c r="D211" s="949"/>
      <c r="E211" s="949"/>
      <c r="F211" s="949"/>
      <c r="G211" s="950"/>
      <c r="H211" s="1149" t="e">
        <f>$I$207</f>
        <v>#REF!</v>
      </c>
      <c r="I211" s="949"/>
      <c r="J211" s="950"/>
      <c r="K211" s="788"/>
    </row>
    <row r="212" spans="1:11" ht="8.25" customHeight="1">
      <c r="A212" s="579"/>
      <c r="B212" s="1135"/>
      <c r="C212" s="954"/>
      <c r="D212" s="954"/>
      <c r="E212" s="954"/>
      <c r="F212" s="954"/>
      <c r="G212" s="954"/>
      <c r="H212" s="954"/>
      <c r="I212" s="954"/>
      <c r="J212" s="1136"/>
      <c r="K212" s="789"/>
    </row>
    <row r="213" spans="1:11" ht="20.25" customHeight="1">
      <c r="A213" s="579"/>
      <c r="B213" s="1072" t="s">
        <v>573</v>
      </c>
      <c r="C213" s="949"/>
      <c r="D213" s="949"/>
      <c r="E213" s="949"/>
      <c r="F213" s="949"/>
      <c r="G213" s="950"/>
      <c r="H213" s="1073">
        <f>$I$11</f>
        <v>30</v>
      </c>
      <c r="I213" s="949"/>
      <c r="J213" s="950"/>
      <c r="K213" s="790"/>
    </row>
    <row r="214" spans="1:11" ht="8.25" customHeight="1">
      <c r="A214" s="579"/>
      <c r="B214" s="1137"/>
      <c r="C214" s="949"/>
      <c r="D214" s="949"/>
      <c r="E214" s="949"/>
      <c r="F214" s="949"/>
      <c r="G214" s="949"/>
      <c r="H214" s="949"/>
      <c r="I214" s="949"/>
      <c r="J214" s="950"/>
      <c r="K214" s="791"/>
    </row>
    <row r="215" spans="1:11" ht="33.75" customHeight="1">
      <c r="A215" s="579"/>
      <c r="B215" s="1072" t="s">
        <v>739</v>
      </c>
      <c r="C215" s="949"/>
      <c r="D215" s="949"/>
      <c r="E215" s="949"/>
      <c r="F215" s="949"/>
      <c r="G215" s="950"/>
      <c r="H215" s="1138" t="e">
        <f>ROUND(H211*H213,2)</f>
        <v>#REF!</v>
      </c>
      <c r="I215" s="949"/>
      <c r="J215" s="950"/>
      <c r="K215" s="792"/>
    </row>
    <row r="216" spans="1:11" ht="7.5" customHeight="1">
      <c r="A216" s="579"/>
      <c r="B216" s="1139"/>
      <c r="C216" s="949"/>
      <c r="D216" s="949"/>
      <c r="E216" s="949"/>
      <c r="F216" s="949"/>
      <c r="G216" s="949"/>
      <c r="H216" s="949"/>
      <c r="I216" s="949"/>
      <c r="J216" s="950"/>
      <c r="K216" s="587"/>
    </row>
    <row r="217" spans="1:11" ht="11.25" customHeight="1">
      <c r="A217" s="579"/>
      <c r="B217" s="579"/>
      <c r="C217" s="579"/>
      <c r="D217" s="579"/>
      <c r="E217" s="579"/>
      <c r="F217" s="579"/>
      <c r="G217" s="579"/>
      <c r="H217" s="579"/>
      <c r="I217" s="579"/>
      <c r="J217" s="579"/>
      <c r="K217" s="579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1">
    <mergeCell ref="I206:J206"/>
    <mergeCell ref="I207:J207"/>
    <mergeCell ref="B202:E202"/>
    <mergeCell ref="F202:G202"/>
    <mergeCell ref="I202:J202"/>
    <mergeCell ref="B203:E203"/>
    <mergeCell ref="F203:G203"/>
    <mergeCell ref="B204:E204"/>
    <mergeCell ref="F204:G204"/>
    <mergeCell ref="B207:G207"/>
    <mergeCell ref="B200:E200"/>
    <mergeCell ref="F200:G200"/>
    <mergeCell ref="I200:J200"/>
    <mergeCell ref="B201:E201"/>
    <mergeCell ref="F201:G201"/>
    <mergeCell ref="I201:J201"/>
    <mergeCell ref="I203:J203"/>
    <mergeCell ref="I204:J204"/>
    <mergeCell ref="I205:J205"/>
    <mergeCell ref="C190:I190"/>
    <mergeCell ref="C191:I191"/>
    <mergeCell ref="C192:I192"/>
    <mergeCell ref="B193:I193"/>
    <mergeCell ref="C194:I194"/>
    <mergeCell ref="B195:I195"/>
    <mergeCell ref="B196:J196"/>
    <mergeCell ref="B197:J197"/>
    <mergeCell ref="B199:J199"/>
    <mergeCell ref="B208:J208"/>
    <mergeCell ref="B209:J209"/>
    <mergeCell ref="B215:G215"/>
    <mergeCell ref="H215:J215"/>
    <mergeCell ref="B216:J216"/>
    <mergeCell ref="B210:J210"/>
    <mergeCell ref="B211:G211"/>
    <mergeCell ref="H211:J211"/>
    <mergeCell ref="B212:J212"/>
    <mergeCell ref="B213:G213"/>
    <mergeCell ref="H213:J213"/>
    <mergeCell ref="B214:J214"/>
    <mergeCell ref="B205:E205"/>
    <mergeCell ref="F205:G205"/>
    <mergeCell ref="B206:E206"/>
    <mergeCell ref="F206:G206"/>
    <mergeCell ref="C171:H171"/>
    <mergeCell ref="C172:H172"/>
    <mergeCell ref="C173:H173"/>
    <mergeCell ref="C174:H174"/>
    <mergeCell ref="C175:H175"/>
    <mergeCell ref="C176:H176"/>
    <mergeCell ref="B177:I177"/>
    <mergeCell ref="B178:J178"/>
    <mergeCell ref="B179:H179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88:I188"/>
    <mergeCell ref="C189:I189"/>
    <mergeCell ref="B76:J76"/>
    <mergeCell ref="C120:I120"/>
    <mergeCell ref="C121:I121"/>
    <mergeCell ref="C122:I122"/>
    <mergeCell ref="C123:H123"/>
    <mergeCell ref="B124:I124"/>
    <mergeCell ref="B125:J125"/>
    <mergeCell ref="B126:J126"/>
    <mergeCell ref="B127:J127"/>
    <mergeCell ref="B115:I115"/>
    <mergeCell ref="B116:J116"/>
    <mergeCell ref="B117:J117"/>
    <mergeCell ref="C118:I118"/>
    <mergeCell ref="C119:I119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C114:I114"/>
    <mergeCell ref="C97:I97"/>
    <mergeCell ref="B67:J67"/>
    <mergeCell ref="B68:J68"/>
    <mergeCell ref="C69:I69"/>
    <mergeCell ref="C70:H70"/>
    <mergeCell ref="C71:H71"/>
    <mergeCell ref="B72:I72"/>
    <mergeCell ref="B73:J73"/>
    <mergeCell ref="B74:J74"/>
    <mergeCell ref="B75:J75"/>
    <mergeCell ref="B58:I58"/>
    <mergeCell ref="C59:I59"/>
    <mergeCell ref="C60:I60"/>
    <mergeCell ref="B61:I61"/>
    <mergeCell ref="B62:J62"/>
    <mergeCell ref="B63:I63"/>
    <mergeCell ref="B64:J64"/>
    <mergeCell ref="B65:J65"/>
    <mergeCell ref="B66:J66"/>
    <mergeCell ref="C50:F50"/>
    <mergeCell ref="G50:H50"/>
    <mergeCell ref="C51:E51"/>
    <mergeCell ref="C52:I52"/>
    <mergeCell ref="C53:I53"/>
    <mergeCell ref="C54:E54"/>
    <mergeCell ref="C55:E55"/>
    <mergeCell ref="C56:I56"/>
    <mergeCell ref="C57:I57"/>
    <mergeCell ref="B42:J42"/>
    <mergeCell ref="B43:J43"/>
    <mergeCell ref="B44:J44"/>
    <mergeCell ref="B45:J45"/>
    <mergeCell ref="C46:H46"/>
    <mergeCell ref="C47:F47"/>
    <mergeCell ref="C48:E48"/>
    <mergeCell ref="F48:H48"/>
    <mergeCell ref="C49:H49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C33:F33"/>
    <mergeCell ref="C34:F34"/>
    <mergeCell ref="G34:H34"/>
    <mergeCell ref="I34:J34"/>
    <mergeCell ref="C35:F35"/>
    <mergeCell ref="G35:H35"/>
    <mergeCell ref="I35:J35"/>
    <mergeCell ref="C36:H36"/>
    <mergeCell ref="I36:J36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B163:H163"/>
    <mergeCell ref="C168:H168"/>
    <mergeCell ref="C169:H169"/>
    <mergeCell ref="C170:H170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B158:J158"/>
    <mergeCell ref="B157:I157"/>
    <mergeCell ref="C164:H164"/>
    <mergeCell ref="B165:H165"/>
    <mergeCell ref="C166:H166"/>
    <mergeCell ref="B167:H167"/>
    <mergeCell ref="B128:J128"/>
    <mergeCell ref="B130:J130"/>
    <mergeCell ref="B131:J131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B141:J141"/>
    <mergeCell ref="C142:I142"/>
    <mergeCell ref="C143:I143"/>
    <mergeCell ref="B159:J159"/>
    <mergeCell ref="B161:J161"/>
    <mergeCell ref="C162:H162"/>
    <mergeCell ref="C77:H77"/>
    <mergeCell ref="C78:H78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B89:J89"/>
    <mergeCell ref="B90:J90"/>
    <mergeCell ref="C91:I91"/>
    <mergeCell ref="C92:H92"/>
    <mergeCell ref="C93:H93"/>
    <mergeCell ref="C94:H94"/>
    <mergeCell ref="C95:H95"/>
    <mergeCell ref="C96:H96"/>
    <mergeCell ref="C149:I149"/>
    <mergeCell ref="B150:I150"/>
    <mergeCell ref="B151:J151"/>
    <mergeCell ref="B152:J152"/>
    <mergeCell ref="C153:I153"/>
    <mergeCell ref="C154:I154"/>
    <mergeCell ref="C155:I155"/>
    <mergeCell ref="C156:I156"/>
    <mergeCell ref="C98:H98"/>
    <mergeCell ref="C99:H99"/>
    <mergeCell ref="C100:H100"/>
    <mergeCell ref="C101:I101"/>
    <mergeCell ref="C102:I102"/>
    <mergeCell ref="C103:I103"/>
    <mergeCell ref="C104:I104"/>
    <mergeCell ref="C105:I105"/>
    <mergeCell ref="B144:I144"/>
    <mergeCell ref="B145:J145"/>
    <mergeCell ref="B146:J146"/>
    <mergeCell ref="C147:I147"/>
    <mergeCell ref="C148:I148"/>
  </mergeCells>
  <conditionalFormatting sqref="I49:I50">
    <cfRule type="cellIs" dxfId="19" priority="1" operator="equal">
      <formula>0</formula>
    </cfRule>
  </conditionalFormatting>
  <conditionalFormatting sqref="I48">
    <cfRule type="cellIs" dxfId="18" priority="2" operator="equal">
      <formula>0</formula>
    </cfRule>
  </conditionalFormatting>
  <printOptions horizontalCentered="1"/>
  <pageMargins left="0.11811023622047245" right="0.11811023622047245" top="0.19685039370078741" bottom="0.19685039370078741" header="0" footer="0"/>
  <pageSetup paperSize="9" orientation="portrait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BFBFBF"/>
  </sheetPr>
  <dimension ref="A1:K1000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7" width="13.5703125" customWidth="1"/>
    <col min="8" max="8" width="16.42578125" customWidth="1"/>
    <col min="9" max="9" width="11.28515625" customWidth="1"/>
    <col min="10" max="10" width="16.5703125" customWidth="1"/>
    <col min="11" max="11" width="1.42578125" customWidth="1"/>
  </cols>
  <sheetData>
    <row r="1" spans="1:11" ht="11.25" customHeight="1">
      <c r="A1" s="579"/>
      <c r="B1" s="579"/>
      <c r="C1" s="579"/>
      <c r="D1" s="579"/>
      <c r="E1" s="579"/>
      <c r="F1" s="579"/>
      <c r="G1" s="579"/>
      <c r="H1" s="579"/>
      <c r="I1" s="579"/>
      <c r="J1" s="904"/>
      <c r="K1" s="579"/>
    </row>
    <row r="2" spans="1:11" ht="11.25" customHeight="1">
      <c r="A2" s="579"/>
      <c r="B2" s="1066" t="str">
        <f>'1-ABA-DE-CARREGAMENTO'!C11</f>
        <v xml:space="preserve"> S E R V I Ç O S     -    INTERPRETE DE LIBRAS e SINAIS </v>
      </c>
      <c r="C2" s="1054"/>
      <c r="D2" s="1054"/>
      <c r="E2" s="1054"/>
      <c r="F2" s="1054"/>
      <c r="G2" s="1054"/>
      <c r="H2" s="1054"/>
      <c r="I2" s="1054"/>
      <c r="J2" s="1055"/>
      <c r="K2" s="583"/>
    </row>
    <row r="3" spans="1:11" ht="11.25" customHeight="1">
      <c r="A3" s="579"/>
      <c r="B3" s="1067" t="str">
        <f>'1-ABA-DE-CARREGAMENTO'!F33</f>
        <v>A NÃO TEM MAIS POSTOS-11</v>
      </c>
      <c r="C3" s="1037"/>
      <c r="D3" s="1037"/>
      <c r="E3" s="1037"/>
      <c r="F3" s="1037"/>
      <c r="G3" s="1037"/>
      <c r="H3" s="1037"/>
      <c r="I3" s="1037"/>
      <c r="J3" s="1038"/>
      <c r="K3" s="584"/>
    </row>
    <row r="4" spans="1:11" ht="11.25" customHeight="1">
      <c r="A4" s="579"/>
      <c r="B4" s="1060" t="s">
        <v>366</v>
      </c>
      <c r="C4" s="1037"/>
      <c r="D4" s="1037"/>
      <c r="E4" s="1037"/>
      <c r="F4" s="1038"/>
      <c r="G4" s="1068">
        <f>'1-ABA-DE-CARREGAMENTO'!C12</f>
        <v>0</v>
      </c>
      <c r="H4" s="1037"/>
      <c r="I4" s="1037"/>
      <c r="J4" s="1038"/>
      <c r="K4" s="585"/>
    </row>
    <row r="5" spans="1:11" ht="11.25" customHeight="1">
      <c r="A5" s="579"/>
      <c r="B5" s="1051" t="s">
        <v>367</v>
      </c>
      <c r="C5" s="949"/>
      <c r="D5" s="949"/>
      <c r="E5" s="949"/>
      <c r="F5" s="950"/>
      <c r="G5" s="1069">
        <f>'1-ABA-DE-CARREGAMENTO'!C13</f>
        <v>0</v>
      </c>
      <c r="H5" s="949"/>
      <c r="I5" s="949"/>
      <c r="J5" s="950"/>
      <c r="K5" s="585"/>
    </row>
    <row r="6" spans="1:11" ht="11.25" customHeight="1">
      <c r="A6" s="579"/>
      <c r="B6" s="1070">
        <f>'1-ABA-DE-CARREGAMENTO'!C16</f>
        <v>0</v>
      </c>
      <c r="C6" s="949"/>
      <c r="D6" s="949"/>
      <c r="E6" s="949"/>
      <c r="F6" s="949"/>
      <c r="G6" s="949"/>
      <c r="H6" s="949"/>
      <c r="I6" s="949"/>
      <c r="J6" s="950"/>
      <c r="K6" s="587"/>
    </row>
    <row r="7" spans="1:11" ht="11.25" customHeight="1">
      <c r="A7" s="579"/>
      <c r="B7" s="1050" t="s">
        <v>368</v>
      </c>
      <c r="C7" s="949"/>
      <c r="D7" s="949"/>
      <c r="E7" s="949"/>
      <c r="F7" s="949"/>
      <c r="G7" s="949"/>
      <c r="H7" s="949"/>
      <c r="I7" s="949"/>
      <c r="J7" s="950"/>
      <c r="K7" s="588"/>
    </row>
    <row r="8" spans="1:11" ht="11.25" customHeight="1">
      <c r="A8" s="579"/>
      <c r="B8" s="589" t="s">
        <v>369</v>
      </c>
      <c r="C8" s="1051" t="s">
        <v>370</v>
      </c>
      <c r="D8" s="949"/>
      <c r="E8" s="949"/>
      <c r="F8" s="949"/>
      <c r="G8" s="949"/>
      <c r="H8" s="950"/>
      <c r="I8" s="1071">
        <f>'1-ABA-DE-CARREGAMENTO'!C16</f>
        <v>0</v>
      </c>
      <c r="J8" s="950"/>
      <c r="K8" s="590"/>
    </row>
    <row r="9" spans="1:11" ht="11.25" customHeight="1">
      <c r="A9" s="579"/>
      <c r="B9" s="589" t="s">
        <v>371</v>
      </c>
      <c r="C9" s="1051" t="s">
        <v>372</v>
      </c>
      <c r="D9" s="949"/>
      <c r="E9" s="949"/>
      <c r="F9" s="949"/>
      <c r="G9" s="949"/>
      <c r="H9" s="950"/>
      <c r="I9" s="1069" t="str">
        <f>'1-ABA-DE-CARREGAMENTO'!C14</f>
        <v xml:space="preserve">SANTO-AUGUSTO </v>
      </c>
      <c r="J9" s="950"/>
      <c r="K9" s="585"/>
    </row>
    <row r="10" spans="1:11" ht="11.25" customHeight="1">
      <c r="A10" s="579"/>
      <c r="B10" s="589" t="s">
        <v>373</v>
      </c>
      <c r="C10" s="1051" t="s">
        <v>374</v>
      </c>
      <c r="D10" s="949"/>
      <c r="E10" s="949"/>
      <c r="F10" s="949"/>
      <c r="G10" s="949"/>
      <c r="H10" s="950"/>
      <c r="I10" s="1069" t="str">
        <f>'1-ABA-DE-CARREGAMENTO'!F35</f>
        <v>RS005021/2021</v>
      </c>
      <c r="J10" s="950"/>
      <c r="K10" s="585"/>
    </row>
    <row r="11" spans="1:11" ht="11.25" customHeight="1">
      <c r="A11" s="579"/>
      <c r="B11" s="589" t="s">
        <v>375</v>
      </c>
      <c r="C11" s="1051" t="s">
        <v>376</v>
      </c>
      <c r="D11" s="949"/>
      <c r="E11" s="949"/>
      <c r="F11" s="949"/>
      <c r="G11" s="949"/>
      <c r="H11" s="950"/>
      <c r="I11" s="1175">
        <f>'1-ABA-DE-CARREGAMENTO'!F94</f>
        <v>30</v>
      </c>
      <c r="J11" s="950"/>
      <c r="K11" s="585"/>
    </row>
    <row r="12" spans="1:11" ht="11.25" customHeight="1">
      <c r="A12" s="579"/>
      <c r="B12" s="1074" t="s">
        <v>377</v>
      </c>
      <c r="C12" s="949"/>
      <c r="D12" s="949"/>
      <c r="E12" s="949"/>
      <c r="F12" s="949"/>
      <c r="G12" s="949"/>
      <c r="H12" s="949"/>
      <c r="I12" s="949"/>
      <c r="J12" s="950"/>
      <c r="K12" s="592"/>
    </row>
    <row r="13" spans="1:11" ht="11.25" customHeight="1">
      <c r="A13" s="579"/>
      <c r="B13" s="1075" t="str">
        <f>'1-ABA-DE-CARREGAMENTO'!C11</f>
        <v xml:space="preserve"> S E R V I Ç O S     -    INTERPRETE DE LIBRAS e SINAIS </v>
      </c>
      <c r="C13" s="949"/>
      <c r="D13" s="949"/>
      <c r="E13" s="949"/>
      <c r="F13" s="949"/>
      <c r="G13" s="1075" t="s">
        <v>378</v>
      </c>
      <c r="H13" s="950"/>
      <c r="I13" s="1075" t="s">
        <v>379</v>
      </c>
      <c r="J13" s="950"/>
      <c r="K13" s="593"/>
    </row>
    <row r="14" spans="1:11" ht="11.25" hidden="1" customHeight="1" outlineLevel="1">
      <c r="A14" s="579"/>
      <c r="B14" s="1040" t="s">
        <v>380</v>
      </c>
      <c r="C14" s="949"/>
      <c r="D14" s="949"/>
      <c r="E14" s="949"/>
      <c r="F14" s="950"/>
      <c r="G14" s="1041" t="s">
        <v>381</v>
      </c>
      <c r="H14" s="950"/>
      <c r="I14" s="1042" t="s">
        <v>382</v>
      </c>
      <c r="J14" s="950"/>
      <c r="K14" s="594"/>
    </row>
    <row r="15" spans="1:11" ht="11.25" hidden="1" customHeight="1" outlineLevel="1">
      <c r="A15" s="579"/>
      <c r="B15" s="1040" t="s">
        <v>383</v>
      </c>
      <c r="C15" s="949"/>
      <c r="D15" s="949"/>
      <c r="E15" s="949"/>
      <c r="F15" s="950"/>
      <c r="G15" s="1041" t="s">
        <v>381</v>
      </c>
      <c r="H15" s="950"/>
      <c r="I15" s="1042" t="s">
        <v>382</v>
      </c>
      <c r="J15" s="950"/>
      <c r="K15" s="594"/>
    </row>
    <row r="16" spans="1:11" ht="11.25" hidden="1" customHeight="1" outlineLevel="1">
      <c r="A16" s="579"/>
      <c r="B16" s="1040" t="s">
        <v>384</v>
      </c>
      <c r="C16" s="949"/>
      <c r="D16" s="949"/>
      <c r="E16" s="949"/>
      <c r="F16" s="950"/>
      <c r="G16" s="1041" t="s">
        <v>381</v>
      </c>
      <c r="H16" s="950"/>
      <c r="I16" s="1042" t="s">
        <v>382</v>
      </c>
      <c r="J16" s="950"/>
      <c r="K16" s="594"/>
    </row>
    <row r="17" spans="1:11" ht="11.25" customHeight="1" collapsed="1">
      <c r="A17" s="579"/>
      <c r="B17" s="1040" t="str">
        <f>B3</f>
        <v>A NÃO TEM MAIS POSTOS-11</v>
      </c>
      <c r="C17" s="949"/>
      <c r="D17" s="949"/>
      <c r="E17" s="949"/>
      <c r="F17" s="950"/>
      <c r="G17" s="1041" t="s">
        <v>381</v>
      </c>
      <c r="H17" s="950"/>
      <c r="I17" s="1042">
        <f>'1-ABA-DE-CARREGAMENTO'!F92</f>
        <v>0</v>
      </c>
      <c r="J17" s="950"/>
      <c r="K17" s="594"/>
    </row>
    <row r="18" spans="1:11" ht="11.25" hidden="1" customHeight="1" outlineLevel="1">
      <c r="A18" s="579"/>
      <c r="B18" s="1040" t="s">
        <v>385</v>
      </c>
      <c r="C18" s="949"/>
      <c r="D18" s="949"/>
      <c r="E18" s="949"/>
      <c r="F18" s="950"/>
      <c r="G18" s="1041" t="s">
        <v>381</v>
      </c>
      <c r="H18" s="950"/>
      <c r="I18" s="1042" t="s">
        <v>382</v>
      </c>
      <c r="J18" s="950"/>
      <c r="K18" s="594"/>
    </row>
    <row r="19" spans="1:11" ht="11.25" hidden="1" customHeight="1" outlineLevel="1">
      <c r="A19" s="579"/>
      <c r="B19" s="1040" t="s">
        <v>740</v>
      </c>
      <c r="C19" s="949"/>
      <c r="D19" s="949"/>
      <c r="E19" s="949"/>
      <c r="F19" s="950"/>
      <c r="G19" s="1041" t="s">
        <v>381</v>
      </c>
      <c r="H19" s="950"/>
      <c r="I19" s="1042" t="s">
        <v>382</v>
      </c>
      <c r="J19" s="950"/>
      <c r="K19" s="594"/>
    </row>
    <row r="20" spans="1:11" ht="11.25" customHeight="1" collapsed="1">
      <c r="A20" s="579"/>
      <c r="B20" s="1044" t="s">
        <v>387</v>
      </c>
      <c r="C20" s="949"/>
      <c r="D20" s="949"/>
      <c r="E20" s="949"/>
      <c r="F20" s="949"/>
      <c r="G20" s="949"/>
      <c r="H20" s="950"/>
      <c r="I20" s="1043">
        <f>SUM(I14:I19)</f>
        <v>0</v>
      </c>
      <c r="J20" s="950"/>
      <c r="K20" s="595"/>
    </row>
    <row r="21" spans="1:11" ht="11.25" customHeight="1">
      <c r="A21" s="579"/>
      <c r="B21" s="1045"/>
      <c r="C21" s="949"/>
      <c r="D21" s="949"/>
      <c r="E21" s="949"/>
      <c r="F21" s="949"/>
      <c r="G21" s="949"/>
      <c r="H21" s="949"/>
      <c r="I21" s="949"/>
      <c r="J21" s="950"/>
      <c r="K21" s="593"/>
    </row>
    <row r="22" spans="1:11" ht="11.25" customHeight="1">
      <c r="A22" s="579"/>
      <c r="B22" s="1046" t="s">
        <v>388</v>
      </c>
      <c r="C22" s="949"/>
      <c r="D22" s="949"/>
      <c r="E22" s="949"/>
      <c r="F22" s="949"/>
      <c r="G22" s="949"/>
      <c r="H22" s="949"/>
      <c r="I22" s="949"/>
      <c r="J22" s="950"/>
      <c r="K22" s="596"/>
    </row>
    <row r="23" spans="1:11" ht="11.25" customHeight="1">
      <c r="A23" s="579"/>
      <c r="B23" s="1047"/>
      <c r="C23" s="949"/>
      <c r="D23" s="949"/>
      <c r="E23" s="949"/>
      <c r="F23" s="949"/>
      <c r="G23" s="949"/>
      <c r="H23" s="949"/>
      <c r="I23" s="949"/>
      <c r="J23" s="950"/>
      <c r="K23" s="362"/>
    </row>
    <row r="24" spans="1:11" ht="11.25" customHeight="1">
      <c r="A24" s="579"/>
      <c r="B24" s="1048" t="s">
        <v>741</v>
      </c>
      <c r="C24" s="949"/>
      <c r="D24" s="949"/>
      <c r="E24" s="949"/>
      <c r="F24" s="949"/>
      <c r="G24" s="949"/>
      <c r="H24" s="949"/>
      <c r="I24" s="949"/>
      <c r="J24" s="950"/>
      <c r="K24" s="597"/>
    </row>
    <row r="25" spans="1:11" ht="11.25" customHeight="1">
      <c r="A25" s="579"/>
      <c r="B25" s="1049"/>
      <c r="C25" s="949"/>
      <c r="D25" s="949"/>
      <c r="E25" s="949"/>
      <c r="F25" s="949"/>
      <c r="G25" s="949"/>
      <c r="H25" s="949"/>
      <c r="I25" s="949"/>
      <c r="J25" s="950"/>
      <c r="K25" s="598"/>
    </row>
    <row r="26" spans="1:11" ht="11.25" customHeight="1">
      <c r="A26" s="593"/>
      <c r="B26" s="1050" t="s">
        <v>390</v>
      </c>
      <c r="C26" s="949"/>
      <c r="D26" s="949"/>
      <c r="E26" s="949"/>
      <c r="F26" s="949"/>
      <c r="G26" s="949"/>
      <c r="H26" s="949"/>
      <c r="I26" s="949"/>
      <c r="J26" s="950"/>
      <c r="K26" s="588"/>
    </row>
    <row r="27" spans="1:11" ht="24" customHeight="1">
      <c r="A27" s="579"/>
      <c r="B27" s="589">
        <v>1</v>
      </c>
      <c r="C27" s="1051" t="s">
        <v>391</v>
      </c>
      <c r="D27" s="949"/>
      <c r="E27" s="949"/>
      <c r="F27" s="949"/>
      <c r="G27" s="949"/>
      <c r="H27" s="950"/>
      <c r="I27" s="1052" t="str">
        <f>'1-ABA-DE-CARREGAMENTO'!F33</f>
        <v>A NÃO TEM MAIS POSTOS-11</v>
      </c>
      <c r="J27" s="950"/>
      <c r="K27" s="599"/>
    </row>
    <row r="28" spans="1:11" ht="11.25" customHeight="1">
      <c r="A28" s="579"/>
      <c r="B28" s="600">
        <v>2</v>
      </c>
      <c r="C28" s="1092" t="s">
        <v>392</v>
      </c>
      <c r="D28" s="949"/>
      <c r="E28" s="949"/>
      <c r="F28" s="949"/>
      <c r="G28" s="949"/>
      <c r="H28" s="950"/>
      <c r="I28" s="1056"/>
      <c r="J28" s="950"/>
      <c r="K28" s="601"/>
    </row>
    <row r="29" spans="1:11" ht="52.5" customHeight="1">
      <c r="A29" s="579"/>
      <c r="B29" s="589">
        <v>3</v>
      </c>
      <c r="C29" s="1057" t="s">
        <v>742</v>
      </c>
      <c r="D29" s="929"/>
      <c r="E29" s="907">
        <v>220</v>
      </c>
      <c r="F29" s="604">
        <f>'1-ABA-DE-CARREGAMENTO'!F37</f>
        <v>1929.4</v>
      </c>
      <c r="G29" s="586" t="s">
        <v>394</v>
      </c>
      <c r="H29" s="864">
        <f>'1-ABA-DE-CARREGAMENTO'!F52/I40</f>
        <v>220</v>
      </c>
      <c r="I29" s="1058">
        <f>F29/E29*H29</f>
        <v>1929.3999999999999</v>
      </c>
      <c r="J29" s="950"/>
      <c r="K29" s="606"/>
    </row>
    <row r="30" spans="1:11" ht="11.25" customHeight="1">
      <c r="A30" s="579"/>
      <c r="B30" s="589">
        <v>4</v>
      </c>
      <c r="C30" s="1051" t="s">
        <v>395</v>
      </c>
      <c r="D30" s="949"/>
      <c r="E30" s="949"/>
      <c r="F30" s="949"/>
      <c r="G30" s="949"/>
      <c r="H30" s="950"/>
      <c r="I30" s="1059"/>
      <c r="J30" s="950"/>
      <c r="K30" s="607"/>
    </row>
    <row r="31" spans="1:11" ht="11.25" customHeight="1">
      <c r="A31" s="579"/>
      <c r="B31" s="589">
        <v>5</v>
      </c>
      <c r="C31" s="1051" t="s">
        <v>396</v>
      </c>
      <c r="D31" s="949"/>
      <c r="E31" s="949"/>
      <c r="F31" s="949"/>
      <c r="G31" s="949"/>
      <c r="H31" s="950"/>
      <c r="I31" s="1061" t="str">
        <f>'1-ABA-DE-CARREGAMENTO'!F36</f>
        <v>01 de JANEIRO</v>
      </c>
      <c r="J31" s="950"/>
      <c r="K31" s="608"/>
    </row>
    <row r="32" spans="1:11" ht="12.75" customHeight="1">
      <c r="A32" s="579"/>
      <c r="B32" s="609">
        <v>6</v>
      </c>
      <c r="C32" s="1062" t="s">
        <v>743</v>
      </c>
      <c r="D32" s="949"/>
      <c r="E32" s="949"/>
      <c r="F32" s="949"/>
      <c r="G32" s="949"/>
      <c r="H32" s="950"/>
      <c r="I32" s="1063">
        <f>I29/H29</f>
        <v>8.77</v>
      </c>
      <c r="J32" s="950"/>
      <c r="K32" s="610"/>
    </row>
    <row r="33" spans="1:11" ht="40.5" customHeight="1">
      <c r="A33" s="579"/>
      <c r="B33" s="609">
        <v>7</v>
      </c>
      <c r="C33" s="1062" t="s">
        <v>744</v>
      </c>
      <c r="D33" s="949"/>
      <c r="E33" s="949"/>
      <c r="F33" s="950"/>
      <c r="G33" s="1064"/>
      <c r="H33" s="950"/>
      <c r="I33" s="1076">
        <f>(SUM(J47:J50)/H29)</f>
        <v>9.9699999999999989</v>
      </c>
      <c r="J33" s="950"/>
      <c r="K33" s="610"/>
    </row>
    <row r="34" spans="1:11" ht="27" customHeight="1">
      <c r="A34" s="579"/>
      <c r="B34" s="609">
        <v>8</v>
      </c>
      <c r="C34" s="1062" t="s">
        <v>745</v>
      </c>
      <c r="D34" s="949"/>
      <c r="E34" s="949"/>
      <c r="F34" s="950"/>
      <c r="G34" s="1064"/>
      <c r="H34" s="950"/>
      <c r="I34" s="1063">
        <f t="shared" ref="I34:I35" si="0">I32*1.5</f>
        <v>13.154999999999999</v>
      </c>
      <c r="J34" s="950"/>
      <c r="K34" s="610"/>
    </row>
    <row r="35" spans="1:11" ht="27" customHeight="1">
      <c r="A35" s="579"/>
      <c r="B35" s="609">
        <v>9</v>
      </c>
      <c r="C35" s="1062" t="s">
        <v>746</v>
      </c>
      <c r="D35" s="949"/>
      <c r="E35" s="949"/>
      <c r="F35" s="950"/>
      <c r="G35" s="1064" t="s">
        <v>401</v>
      </c>
      <c r="H35" s="950"/>
      <c r="I35" s="1076">
        <f t="shared" si="0"/>
        <v>14.954999999999998</v>
      </c>
      <c r="J35" s="950"/>
      <c r="K35" s="611"/>
    </row>
    <row r="36" spans="1:11" ht="27" customHeight="1">
      <c r="A36" s="579"/>
      <c r="B36" s="609">
        <v>10</v>
      </c>
      <c r="C36" s="1062" t="s">
        <v>747</v>
      </c>
      <c r="D36" s="949"/>
      <c r="E36" s="949"/>
      <c r="F36" s="949"/>
      <c r="G36" s="949"/>
      <c r="H36" s="950"/>
      <c r="I36" s="1063">
        <f>I35*1.2</f>
        <v>17.945999999999998</v>
      </c>
      <c r="J36" s="950"/>
      <c r="K36" s="610"/>
    </row>
    <row r="37" spans="1:11" ht="27" customHeight="1">
      <c r="A37" s="579"/>
      <c r="B37" s="609">
        <v>11</v>
      </c>
      <c r="C37" s="1062" t="s">
        <v>748</v>
      </c>
      <c r="D37" s="949"/>
      <c r="E37" s="949"/>
      <c r="F37" s="949"/>
      <c r="G37" s="949"/>
      <c r="H37" s="950"/>
      <c r="I37" s="1076">
        <f>I35*2</f>
        <v>29.909999999999997</v>
      </c>
      <c r="J37" s="950"/>
      <c r="K37" s="610"/>
    </row>
    <row r="38" spans="1:11" ht="24" customHeight="1">
      <c r="A38" s="579"/>
      <c r="B38" s="609">
        <v>12</v>
      </c>
      <c r="C38" s="1062" t="s">
        <v>749</v>
      </c>
      <c r="D38" s="949"/>
      <c r="E38" s="949"/>
      <c r="F38" s="949"/>
      <c r="G38" s="949"/>
      <c r="H38" s="950"/>
      <c r="I38" s="1063">
        <f>I32*2.5</f>
        <v>21.924999999999997</v>
      </c>
      <c r="J38" s="950"/>
      <c r="K38" s="610"/>
    </row>
    <row r="39" spans="1:11" ht="11.25" customHeight="1">
      <c r="A39" s="579"/>
      <c r="B39" s="609">
        <v>13</v>
      </c>
      <c r="C39" s="1078" t="s">
        <v>405</v>
      </c>
      <c r="D39" s="1054"/>
      <c r="E39" s="1054"/>
      <c r="F39" s="1054"/>
      <c r="G39" s="1054"/>
      <c r="H39" s="1055"/>
      <c r="I39" s="1077">
        <f>ROUND(I32/6,2)*1.3*0</f>
        <v>0</v>
      </c>
      <c r="J39" s="1055"/>
      <c r="K39" s="610"/>
    </row>
    <row r="40" spans="1:11" ht="11.25" customHeight="1">
      <c r="A40" s="579"/>
      <c r="B40" s="865">
        <v>14</v>
      </c>
      <c r="C40" s="1177" t="s">
        <v>406</v>
      </c>
      <c r="D40" s="929"/>
      <c r="E40" s="929"/>
      <c r="F40" s="929"/>
      <c r="G40" s="929"/>
      <c r="H40" s="1178"/>
      <c r="I40" s="1179">
        <f>'1-ABA-DE-CARREGAMENTO'!F93</f>
        <v>1</v>
      </c>
      <c r="J40" s="930"/>
      <c r="K40" s="614"/>
    </row>
    <row r="41" spans="1:11" ht="11.25" customHeight="1">
      <c r="A41" s="579"/>
      <c r="B41" s="609">
        <v>15</v>
      </c>
      <c r="C41" s="1084" t="s">
        <v>687</v>
      </c>
      <c r="D41" s="1037"/>
      <c r="E41" s="1037"/>
      <c r="F41" s="1037"/>
      <c r="G41" s="1037"/>
      <c r="H41" s="1038"/>
      <c r="I41" s="1085">
        <f>'1-ABA-DE-CARREGAMENTO'!E42</f>
        <v>1320</v>
      </c>
      <c r="J41" s="1038"/>
      <c r="K41" s="616"/>
    </row>
    <row r="42" spans="1:11" ht="11.25" customHeight="1">
      <c r="A42" s="579"/>
      <c r="B42" s="1047"/>
      <c r="C42" s="949"/>
      <c r="D42" s="949"/>
      <c r="E42" s="949"/>
      <c r="F42" s="949"/>
      <c r="G42" s="949"/>
      <c r="H42" s="949"/>
      <c r="I42" s="949"/>
      <c r="J42" s="950"/>
      <c r="K42" s="362"/>
    </row>
    <row r="43" spans="1:11" ht="28.5" customHeight="1">
      <c r="A43" s="579"/>
      <c r="B43" s="1086" t="s">
        <v>408</v>
      </c>
      <c r="C43" s="949"/>
      <c r="D43" s="949"/>
      <c r="E43" s="949"/>
      <c r="F43" s="949"/>
      <c r="G43" s="949"/>
      <c r="H43" s="949"/>
      <c r="I43" s="949"/>
      <c r="J43" s="950"/>
      <c r="K43" s="617"/>
    </row>
    <row r="44" spans="1:11" ht="11.25" customHeight="1">
      <c r="A44" s="579"/>
      <c r="B44" s="1087"/>
      <c r="C44" s="949"/>
      <c r="D44" s="949"/>
      <c r="E44" s="949"/>
      <c r="F44" s="949"/>
      <c r="G44" s="949"/>
      <c r="H44" s="949"/>
      <c r="I44" s="949"/>
      <c r="J44" s="950"/>
      <c r="K44" s="618"/>
    </row>
    <row r="45" spans="1:11" ht="24" customHeight="1">
      <c r="A45" s="579"/>
      <c r="B45" s="1088" t="s">
        <v>409</v>
      </c>
      <c r="C45" s="949"/>
      <c r="D45" s="949"/>
      <c r="E45" s="949"/>
      <c r="F45" s="949"/>
      <c r="G45" s="949"/>
      <c r="H45" s="949"/>
      <c r="I45" s="949"/>
      <c r="J45" s="950"/>
      <c r="K45" s="620"/>
    </row>
    <row r="46" spans="1:11" ht="11.25" customHeight="1">
      <c r="A46" s="621"/>
      <c r="B46" s="622">
        <v>1</v>
      </c>
      <c r="C46" s="1089" t="s">
        <v>410</v>
      </c>
      <c r="D46" s="949"/>
      <c r="E46" s="949"/>
      <c r="F46" s="949"/>
      <c r="G46" s="949"/>
      <c r="H46" s="950"/>
      <c r="I46" s="623" t="s">
        <v>411</v>
      </c>
      <c r="J46" s="622" t="s">
        <v>412</v>
      </c>
      <c r="K46" s="592"/>
    </row>
    <row r="47" spans="1:11" ht="12.75" customHeight="1">
      <c r="A47" s="579"/>
      <c r="B47" s="589" t="s">
        <v>369</v>
      </c>
      <c r="C47" s="1051" t="s">
        <v>413</v>
      </c>
      <c r="D47" s="949"/>
      <c r="E47" s="949"/>
      <c r="F47" s="950"/>
      <c r="G47" s="624" t="s">
        <v>184</v>
      </c>
      <c r="H47" s="625">
        <f>'1-ABA-DE-CARREGAMENTO'!F52</f>
        <v>220</v>
      </c>
      <c r="I47" s="624"/>
      <c r="J47" s="627">
        <f>I29*I40</f>
        <v>1929.3999999999999</v>
      </c>
      <c r="K47" s="628"/>
    </row>
    <row r="48" spans="1:11" ht="11.25" customHeight="1">
      <c r="A48" s="579"/>
      <c r="B48" s="589" t="s">
        <v>371</v>
      </c>
      <c r="C48" s="1051" t="s">
        <v>688</v>
      </c>
      <c r="D48" s="949"/>
      <c r="E48" s="949"/>
      <c r="F48" s="1090" t="str">
        <f>'1-ABA-DE-CARREGAMENTO'!F38</f>
        <v>SEM ADICIONAL DE FUNÇÃO</v>
      </c>
      <c r="G48" s="949"/>
      <c r="H48" s="950"/>
      <c r="I48" s="867">
        <f>'1-ABA-DE-CARREGAMENTO'!F39</f>
        <v>0</v>
      </c>
      <c r="J48" s="627">
        <f>J47*I48</f>
        <v>0</v>
      </c>
      <c r="K48" s="628"/>
    </row>
    <row r="49" spans="1:11" ht="25.5" customHeight="1">
      <c r="A49" s="579"/>
      <c r="B49" s="589" t="s">
        <v>373</v>
      </c>
      <c r="C49" s="1051" t="s">
        <v>750</v>
      </c>
      <c r="D49" s="949"/>
      <c r="E49" s="949"/>
      <c r="F49" s="949"/>
      <c r="G49" s="949"/>
      <c r="H49" s="950"/>
      <c r="I49" s="756">
        <f>'1-ABA-DE-CARREGAMENTO'!F44</f>
        <v>0</v>
      </c>
      <c r="J49" s="627">
        <f>ROUND(J47*I49,2)</f>
        <v>0</v>
      </c>
      <c r="K49" s="628"/>
    </row>
    <row r="50" spans="1:11" ht="13.5" customHeight="1">
      <c r="A50" s="579"/>
      <c r="B50" s="589" t="s">
        <v>375</v>
      </c>
      <c r="C50" s="1051" t="s">
        <v>690</v>
      </c>
      <c r="D50" s="949"/>
      <c r="E50" s="949"/>
      <c r="F50" s="949"/>
      <c r="G50" s="1180" t="str">
        <f>'1-ABA-DE-CARREGAMENTO'!F40</f>
        <v>INSALUB S/MIN. NACION.</v>
      </c>
      <c r="H50" s="1055"/>
      <c r="I50" s="908">
        <f>'1-ABA-DE-CARREGAMENTO'!F41</f>
        <v>0.2</v>
      </c>
      <c r="J50" s="627">
        <f>ROUND(I50*I41,2)</f>
        <v>264</v>
      </c>
      <c r="K50" s="628"/>
    </row>
    <row r="51" spans="1:11" ht="30.75" customHeight="1">
      <c r="A51" s="579"/>
      <c r="B51" s="589" t="s">
        <v>417</v>
      </c>
      <c r="C51" s="1181" t="s">
        <v>751</v>
      </c>
      <c r="D51" s="949"/>
      <c r="E51" s="949"/>
      <c r="F51" s="683" t="s">
        <v>419</v>
      </c>
      <c r="G51" s="909">
        <v>0</v>
      </c>
      <c r="H51" s="683" t="s">
        <v>420</v>
      </c>
      <c r="I51" s="910">
        <f>I36</f>
        <v>17.945999999999998</v>
      </c>
      <c r="J51" s="911">
        <f>G51*I51</f>
        <v>0</v>
      </c>
      <c r="K51" s="628"/>
    </row>
    <row r="52" spans="1:11" ht="43.5" hidden="1" customHeight="1" outlineLevel="1">
      <c r="A52" s="579"/>
      <c r="B52" s="589" t="s">
        <v>421</v>
      </c>
      <c r="C52" s="1092" t="s">
        <v>752</v>
      </c>
      <c r="D52" s="949"/>
      <c r="E52" s="949"/>
      <c r="F52" s="949"/>
      <c r="G52" s="949"/>
      <c r="H52" s="949"/>
      <c r="I52" s="950"/>
      <c r="J52" s="627">
        <f>ROUND(I38*(((12*15)+15)-((44/6)*26))*I35,2)*0+ROUND(2*4.33*I35,2)*0</f>
        <v>0</v>
      </c>
      <c r="K52" s="628"/>
    </row>
    <row r="53" spans="1:11" ht="27" hidden="1" customHeight="1" outlineLevel="1">
      <c r="A53" s="579"/>
      <c r="B53" s="589" t="s">
        <v>423</v>
      </c>
      <c r="C53" s="1092" t="s">
        <v>753</v>
      </c>
      <c r="D53" s="949"/>
      <c r="E53" s="949"/>
      <c r="F53" s="949"/>
      <c r="G53" s="949"/>
      <c r="H53" s="949"/>
      <c r="I53" s="950"/>
      <c r="J53" s="627">
        <f>ROUND(I39*I40*15,2)*0</f>
        <v>0</v>
      </c>
      <c r="K53" s="628"/>
    </row>
    <row r="54" spans="1:11" ht="39" customHeight="1" collapsed="1">
      <c r="A54" s="579"/>
      <c r="B54" s="589" t="s">
        <v>425</v>
      </c>
      <c r="C54" s="1092" t="s">
        <v>754</v>
      </c>
      <c r="D54" s="949"/>
      <c r="E54" s="949"/>
      <c r="F54" s="683" t="s">
        <v>427</v>
      </c>
      <c r="G54" s="909">
        <v>0</v>
      </c>
      <c r="H54" s="683" t="s">
        <v>755</v>
      </c>
      <c r="I54" s="910">
        <f t="shared" ref="I54:I55" si="1">I37</f>
        <v>29.909999999999997</v>
      </c>
      <c r="J54" s="627">
        <f t="shared" ref="J54:J55" si="2">G54*I54</f>
        <v>0</v>
      </c>
      <c r="K54" s="628"/>
    </row>
    <row r="55" spans="1:11" ht="39" customHeight="1">
      <c r="A55" s="579"/>
      <c r="B55" s="589" t="s">
        <v>429</v>
      </c>
      <c r="C55" s="1092" t="s">
        <v>756</v>
      </c>
      <c r="D55" s="949"/>
      <c r="E55" s="949"/>
      <c r="F55" s="683" t="s">
        <v>431</v>
      </c>
      <c r="G55" s="909">
        <v>0</v>
      </c>
      <c r="H55" s="683" t="s">
        <v>757</v>
      </c>
      <c r="I55" s="910">
        <f t="shared" si="1"/>
        <v>21.924999999999997</v>
      </c>
      <c r="J55" s="627">
        <f t="shared" si="2"/>
        <v>0</v>
      </c>
      <c r="K55" s="628"/>
    </row>
    <row r="56" spans="1:11" ht="40.5" customHeight="1">
      <c r="A56" s="579"/>
      <c r="B56" s="589" t="s">
        <v>433</v>
      </c>
      <c r="C56" s="1051" t="s">
        <v>758</v>
      </c>
      <c r="D56" s="949"/>
      <c r="E56" s="949"/>
      <c r="F56" s="949"/>
      <c r="G56" s="949"/>
      <c r="H56" s="949"/>
      <c r="I56" s="950"/>
      <c r="J56" s="627">
        <f>ROUND(((J54+J55)/25)*5,2)</f>
        <v>0</v>
      </c>
      <c r="K56" s="628"/>
    </row>
    <row r="57" spans="1:11" ht="11.25" customHeight="1">
      <c r="A57" s="579"/>
      <c r="B57" s="589" t="s">
        <v>436</v>
      </c>
      <c r="C57" s="1051" t="s">
        <v>437</v>
      </c>
      <c r="D57" s="949"/>
      <c r="E57" s="949"/>
      <c r="F57" s="949"/>
      <c r="G57" s="949"/>
      <c r="H57" s="949"/>
      <c r="I57" s="950"/>
      <c r="J57" s="643" t="s">
        <v>382</v>
      </c>
      <c r="K57" s="644"/>
    </row>
    <row r="58" spans="1:11" ht="27.75" customHeight="1">
      <c r="A58" s="579"/>
      <c r="B58" s="1050" t="s">
        <v>438</v>
      </c>
      <c r="C58" s="949"/>
      <c r="D58" s="949"/>
      <c r="E58" s="949"/>
      <c r="F58" s="949"/>
      <c r="G58" s="949"/>
      <c r="H58" s="949"/>
      <c r="I58" s="950"/>
      <c r="J58" s="645">
        <f>SUM(J47:J57)</f>
        <v>2193.3999999999996</v>
      </c>
      <c r="K58" s="646"/>
    </row>
    <row r="59" spans="1:11" ht="11.25" customHeight="1">
      <c r="A59" s="579"/>
      <c r="B59" s="647"/>
      <c r="C59" s="1095"/>
      <c r="D59" s="949"/>
      <c r="E59" s="949"/>
      <c r="F59" s="949"/>
      <c r="G59" s="949"/>
      <c r="H59" s="949"/>
      <c r="I59" s="950"/>
      <c r="J59" s="648"/>
      <c r="K59" s="646"/>
    </row>
    <row r="60" spans="1:11" ht="11.25" customHeight="1">
      <c r="A60" s="579"/>
      <c r="B60" s="589" t="s">
        <v>425</v>
      </c>
      <c r="C60" s="1051" t="s">
        <v>759</v>
      </c>
      <c r="D60" s="949"/>
      <c r="E60" s="949"/>
      <c r="F60" s="949"/>
      <c r="G60" s="949"/>
      <c r="H60" s="949"/>
      <c r="I60" s="950"/>
      <c r="J60" s="627">
        <f>ROUND(I34*15*I40*0.5,2)*0</f>
        <v>0</v>
      </c>
      <c r="K60" s="628"/>
    </row>
    <row r="61" spans="1:11" ht="31.5" customHeight="1">
      <c r="A61" s="579"/>
      <c r="B61" s="1050" t="s">
        <v>760</v>
      </c>
      <c r="C61" s="949"/>
      <c r="D61" s="949"/>
      <c r="E61" s="949"/>
      <c r="F61" s="949"/>
      <c r="G61" s="949"/>
      <c r="H61" s="949"/>
      <c r="I61" s="950"/>
      <c r="J61" s="645">
        <f>J60</f>
        <v>0</v>
      </c>
      <c r="K61" s="646"/>
    </row>
    <row r="62" spans="1:11" ht="11.25" customHeight="1">
      <c r="A62" s="579"/>
      <c r="B62" s="1045"/>
      <c r="C62" s="949"/>
      <c r="D62" s="949"/>
      <c r="E62" s="949"/>
      <c r="F62" s="949"/>
      <c r="G62" s="949"/>
      <c r="H62" s="949"/>
      <c r="I62" s="949"/>
      <c r="J62" s="950"/>
      <c r="K62" s="593"/>
    </row>
    <row r="63" spans="1:11" ht="46.5" customHeight="1">
      <c r="A63" s="579"/>
      <c r="B63" s="1096" t="s">
        <v>761</v>
      </c>
      <c r="C63" s="949"/>
      <c r="D63" s="949"/>
      <c r="E63" s="949"/>
      <c r="F63" s="949"/>
      <c r="G63" s="949"/>
      <c r="H63" s="949"/>
      <c r="I63" s="950"/>
      <c r="J63" s="649">
        <f>J58+J61</f>
        <v>2193.3999999999996</v>
      </c>
      <c r="K63" s="650"/>
    </row>
    <row r="64" spans="1:11" ht="11.25" customHeight="1">
      <c r="A64" s="579"/>
      <c r="B64" s="1095"/>
      <c r="C64" s="949"/>
      <c r="D64" s="949"/>
      <c r="E64" s="949"/>
      <c r="F64" s="949"/>
      <c r="G64" s="949"/>
      <c r="H64" s="949"/>
      <c r="I64" s="949"/>
      <c r="J64" s="950"/>
      <c r="K64" s="651"/>
    </row>
    <row r="65" spans="1:11" ht="11.25" customHeight="1">
      <c r="A65" s="579"/>
      <c r="B65" s="1097" t="s">
        <v>442</v>
      </c>
      <c r="C65" s="949"/>
      <c r="D65" s="949"/>
      <c r="E65" s="949"/>
      <c r="F65" s="949"/>
      <c r="G65" s="949"/>
      <c r="H65" s="949"/>
      <c r="I65" s="949"/>
      <c r="J65" s="950"/>
      <c r="K65" s="652"/>
    </row>
    <row r="66" spans="1:11" ht="11.25" customHeight="1">
      <c r="A66" s="579"/>
      <c r="B66" s="1095"/>
      <c r="C66" s="949"/>
      <c r="D66" s="949"/>
      <c r="E66" s="949"/>
      <c r="F66" s="949"/>
      <c r="G66" s="949"/>
      <c r="H66" s="949"/>
      <c r="I66" s="949"/>
      <c r="J66" s="950"/>
      <c r="K66" s="651"/>
    </row>
    <row r="67" spans="1:11" ht="17.25" customHeight="1">
      <c r="A67" s="579"/>
      <c r="B67" s="1098" t="s">
        <v>443</v>
      </c>
      <c r="C67" s="949"/>
      <c r="D67" s="949"/>
      <c r="E67" s="949"/>
      <c r="F67" s="949"/>
      <c r="G67" s="949"/>
      <c r="H67" s="949"/>
      <c r="I67" s="949"/>
      <c r="J67" s="950"/>
      <c r="K67" s="653"/>
    </row>
    <row r="68" spans="1:11" ht="16.5" customHeight="1">
      <c r="A68" s="579"/>
      <c r="B68" s="1099" t="s">
        <v>762</v>
      </c>
      <c r="C68" s="949"/>
      <c r="D68" s="949"/>
      <c r="E68" s="949"/>
      <c r="F68" s="949"/>
      <c r="G68" s="949"/>
      <c r="H68" s="949"/>
      <c r="I68" s="949"/>
      <c r="J68" s="950"/>
      <c r="K68" s="654"/>
    </row>
    <row r="69" spans="1:11" ht="17.25" customHeight="1">
      <c r="A69" s="579"/>
      <c r="B69" s="655" t="s">
        <v>445</v>
      </c>
      <c r="C69" s="1100" t="s">
        <v>763</v>
      </c>
      <c r="D69" s="949"/>
      <c r="E69" s="949"/>
      <c r="F69" s="949"/>
      <c r="G69" s="949"/>
      <c r="H69" s="949"/>
      <c r="I69" s="950"/>
      <c r="J69" s="656" t="s">
        <v>447</v>
      </c>
      <c r="K69" s="657"/>
    </row>
    <row r="70" spans="1:11" ht="22.5" customHeight="1">
      <c r="A70" s="579"/>
      <c r="B70" s="655" t="s">
        <v>369</v>
      </c>
      <c r="C70" s="1092" t="s">
        <v>764</v>
      </c>
      <c r="D70" s="949"/>
      <c r="E70" s="949"/>
      <c r="F70" s="949"/>
      <c r="G70" s="949"/>
      <c r="H70" s="950"/>
      <c r="I70" s="658">
        <v>8.3299999999999999E-2</v>
      </c>
      <c r="J70" s="659">
        <f>ROUND(J58*I70,2)</f>
        <v>182.71</v>
      </c>
      <c r="K70" s="660"/>
    </row>
    <row r="71" spans="1:11" ht="97.5" customHeight="1">
      <c r="A71" s="579"/>
      <c r="B71" s="655" t="s">
        <v>371</v>
      </c>
      <c r="C71" s="1101" t="s">
        <v>765</v>
      </c>
      <c r="D71" s="949"/>
      <c r="E71" s="949"/>
      <c r="F71" s="949"/>
      <c r="G71" s="949"/>
      <c r="H71" s="950"/>
      <c r="I71" s="661">
        <v>3.0249999999999999E-2</v>
      </c>
      <c r="J71" s="659">
        <f>ROUND(J58*I71,2)</f>
        <v>66.349999999999994</v>
      </c>
      <c r="K71" s="660"/>
    </row>
    <row r="72" spans="1:11" ht="11.25" customHeight="1">
      <c r="A72" s="579"/>
      <c r="B72" s="1102" t="s">
        <v>450</v>
      </c>
      <c r="C72" s="949"/>
      <c r="D72" s="949"/>
      <c r="E72" s="949"/>
      <c r="F72" s="949"/>
      <c r="G72" s="949"/>
      <c r="H72" s="949"/>
      <c r="I72" s="950"/>
      <c r="J72" s="662">
        <f>SUM(J70+J71)</f>
        <v>249.06</v>
      </c>
      <c r="K72" s="663"/>
    </row>
    <row r="73" spans="1:11" ht="11.25" customHeight="1">
      <c r="A73" s="579"/>
      <c r="B73" s="1103"/>
      <c r="C73" s="949"/>
      <c r="D73" s="949"/>
      <c r="E73" s="949"/>
      <c r="F73" s="949"/>
      <c r="G73" s="949"/>
      <c r="H73" s="949"/>
      <c r="I73" s="949"/>
      <c r="J73" s="950"/>
      <c r="K73" s="664"/>
    </row>
    <row r="74" spans="1:11" ht="11.25" customHeight="1">
      <c r="A74" s="579"/>
      <c r="B74" s="1086" t="s">
        <v>766</v>
      </c>
      <c r="C74" s="949"/>
      <c r="D74" s="949"/>
      <c r="E74" s="949"/>
      <c r="F74" s="949"/>
      <c r="G74" s="949"/>
      <c r="H74" s="949"/>
      <c r="I74" s="949"/>
      <c r="J74" s="950"/>
      <c r="K74" s="617"/>
    </row>
    <row r="75" spans="1:11" ht="11.25" customHeight="1">
      <c r="A75" s="579"/>
      <c r="B75" s="1104"/>
      <c r="C75" s="949"/>
      <c r="D75" s="949"/>
      <c r="E75" s="949"/>
      <c r="F75" s="949"/>
      <c r="G75" s="949"/>
      <c r="H75" s="949"/>
      <c r="I75" s="949"/>
      <c r="J75" s="950"/>
      <c r="K75" s="617"/>
    </row>
    <row r="76" spans="1:11" ht="29.25" customHeight="1">
      <c r="A76" s="579"/>
      <c r="B76" s="1105" t="s">
        <v>767</v>
      </c>
      <c r="C76" s="949"/>
      <c r="D76" s="949"/>
      <c r="E76" s="949"/>
      <c r="F76" s="949"/>
      <c r="G76" s="949"/>
      <c r="H76" s="949"/>
      <c r="I76" s="949"/>
      <c r="J76" s="950"/>
      <c r="K76" s="665"/>
    </row>
    <row r="77" spans="1:11" ht="27" customHeight="1">
      <c r="A77" s="579"/>
      <c r="B77" s="666" t="s">
        <v>453</v>
      </c>
      <c r="C77" s="1110" t="s">
        <v>454</v>
      </c>
      <c r="D77" s="949"/>
      <c r="E77" s="949"/>
      <c r="F77" s="949"/>
      <c r="G77" s="949"/>
      <c r="H77" s="950"/>
      <c r="I77" s="667" t="s">
        <v>411</v>
      </c>
      <c r="J77" s="668" t="s">
        <v>455</v>
      </c>
      <c r="K77" s="657"/>
    </row>
    <row r="78" spans="1:11" ht="11.25" customHeight="1">
      <c r="A78" s="579"/>
      <c r="B78" s="669" t="s">
        <v>369</v>
      </c>
      <c r="C78" s="1051" t="s">
        <v>456</v>
      </c>
      <c r="D78" s="949"/>
      <c r="E78" s="949"/>
      <c r="F78" s="949"/>
      <c r="G78" s="949"/>
      <c r="H78" s="950"/>
      <c r="I78" s="670">
        <v>0.2</v>
      </c>
      <c r="J78" s="671">
        <f>ROUND((J58+J72)*I78,2)</f>
        <v>488.49</v>
      </c>
      <c r="K78" s="663"/>
    </row>
    <row r="79" spans="1:11" ht="11.25" customHeight="1">
      <c r="A79" s="579"/>
      <c r="B79" s="669" t="s">
        <v>371</v>
      </c>
      <c r="C79" s="1051" t="s">
        <v>457</v>
      </c>
      <c r="D79" s="949"/>
      <c r="E79" s="949"/>
      <c r="F79" s="949"/>
      <c r="G79" s="949"/>
      <c r="H79" s="950"/>
      <c r="I79" s="670">
        <v>2.5000000000000001E-2</v>
      </c>
      <c r="J79" s="671">
        <f>ROUND((J58+J72)*I79,2)</f>
        <v>61.06</v>
      </c>
      <c r="K79" s="663"/>
    </row>
    <row r="80" spans="1:11" ht="33" customHeight="1">
      <c r="A80" s="579"/>
      <c r="B80" s="669" t="s">
        <v>373</v>
      </c>
      <c r="C80" s="1051" t="s">
        <v>768</v>
      </c>
      <c r="D80" s="950"/>
      <c r="E80" s="912" t="s">
        <v>459</v>
      </c>
      <c r="F80" s="913">
        <f>'1-ABA-DE-CARREGAMENTO'!F57</f>
        <v>0.03</v>
      </c>
      <c r="G80" s="912" t="s">
        <v>460</v>
      </c>
      <c r="H80" s="914">
        <f>'1-ABA-DE-CARREGAMENTO'!F58</f>
        <v>1</v>
      </c>
      <c r="I80" s="674">
        <f>ROUND((F80*H80),6)</f>
        <v>0.03</v>
      </c>
      <c r="J80" s="671">
        <f>ROUND((J58+J72)*I80,2)</f>
        <v>73.27</v>
      </c>
      <c r="K80" s="663"/>
    </row>
    <row r="81" spans="1:11" ht="11.25" customHeight="1">
      <c r="A81" s="579"/>
      <c r="B81" s="669" t="s">
        <v>375</v>
      </c>
      <c r="C81" s="1051" t="s">
        <v>461</v>
      </c>
      <c r="D81" s="949"/>
      <c r="E81" s="949"/>
      <c r="F81" s="949"/>
      <c r="G81" s="949"/>
      <c r="H81" s="950"/>
      <c r="I81" s="670">
        <v>1.4999999999999999E-2</v>
      </c>
      <c r="J81" s="671">
        <f>ROUND((J58+J72)*I81,2)</f>
        <v>36.64</v>
      </c>
      <c r="K81" s="663"/>
    </row>
    <row r="82" spans="1:11" ht="11.25" customHeight="1">
      <c r="A82" s="579"/>
      <c r="B82" s="669" t="s">
        <v>417</v>
      </c>
      <c r="C82" s="1051" t="s">
        <v>462</v>
      </c>
      <c r="D82" s="949"/>
      <c r="E82" s="949"/>
      <c r="F82" s="949"/>
      <c r="G82" s="949"/>
      <c r="H82" s="950"/>
      <c r="I82" s="670">
        <v>0.01</v>
      </c>
      <c r="J82" s="671">
        <f>ROUND((J58+J72)*I82,2)</f>
        <v>24.42</v>
      </c>
      <c r="K82" s="663"/>
    </row>
    <row r="83" spans="1:11" ht="11.25" customHeight="1">
      <c r="A83" s="579"/>
      <c r="B83" s="669" t="s">
        <v>421</v>
      </c>
      <c r="C83" s="1051" t="s">
        <v>463</v>
      </c>
      <c r="D83" s="949"/>
      <c r="E83" s="949"/>
      <c r="F83" s="949"/>
      <c r="G83" s="949"/>
      <c r="H83" s="950"/>
      <c r="I83" s="670">
        <v>6.0000000000000001E-3</v>
      </c>
      <c r="J83" s="671">
        <f>ROUND((J58+J72)*I83,2)</f>
        <v>14.65</v>
      </c>
      <c r="K83" s="663"/>
    </row>
    <row r="84" spans="1:11" ht="11.25" customHeight="1">
      <c r="A84" s="579"/>
      <c r="B84" s="669" t="s">
        <v>423</v>
      </c>
      <c r="C84" s="1051" t="s">
        <v>464</v>
      </c>
      <c r="D84" s="949"/>
      <c r="E84" s="949"/>
      <c r="F84" s="949"/>
      <c r="G84" s="949"/>
      <c r="H84" s="950"/>
      <c r="I84" s="670">
        <v>2E-3</v>
      </c>
      <c r="J84" s="671">
        <f>ROUND((J58+J72)*I84,2)</f>
        <v>4.88</v>
      </c>
      <c r="K84" s="663"/>
    </row>
    <row r="85" spans="1:11" ht="11.25" customHeight="1">
      <c r="A85" s="579"/>
      <c r="B85" s="669" t="s">
        <v>425</v>
      </c>
      <c r="C85" s="1051" t="s">
        <v>465</v>
      </c>
      <c r="D85" s="949"/>
      <c r="E85" s="949"/>
      <c r="F85" s="949"/>
      <c r="G85" s="949"/>
      <c r="H85" s="950"/>
      <c r="I85" s="670">
        <v>0.08</v>
      </c>
      <c r="J85" s="671">
        <f>ROUND((J58+J72)*I85,2)</f>
        <v>195.4</v>
      </c>
      <c r="K85" s="663"/>
    </row>
    <row r="86" spans="1:11" ht="11.25" customHeight="1">
      <c r="A86" s="579"/>
      <c r="B86" s="1108" t="s">
        <v>450</v>
      </c>
      <c r="C86" s="949"/>
      <c r="D86" s="949"/>
      <c r="E86" s="949"/>
      <c r="F86" s="949"/>
      <c r="G86" s="949"/>
      <c r="H86" s="950"/>
      <c r="I86" s="675">
        <f t="shared" ref="I86:J86" si="3">SUM(I78:I85)</f>
        <v>0.36800000000000005</v>
      </c>
      <c r="J86" s="662">
        <f t="shared" si="3"/>
        <v>898.80999999999983</v>
      </c>
      <c r="K86" s="663"/>
    </row>
    <row r="87" spans="1:11" ht="11.25" customHeight="1">
      <c r="A87" s="579"/>
      <c r="B87" s="676"/>
      <c r="C87" s="677"/>
      <c r="D87" s="677"/>
      <c r="E87" s="677"/>
      <c r="F87" s="677"/>
      <c r="G87" s="677"/>
      <c r="H87" s="677"/>
      <c r="I87" s="678"/>
      <c r="J87" s="679"/>
      <c r="K87" s="663"/>
    </row>
    <row r="88" spans="1:11" ht="11.25" customHeight="1">
      <c r="A88" s="579"/>
      <c r="B88" s="1086" t="s">
        <v>466</v>
      </c>
      <c r="C88" s="949"/>
      <c r="D88" s="949"/>
      <c r="E88" s="949"/>
      <c r="F88" s="949"/>
      <c r="G88" s="949"/>
      <c r="H88" s="949"/>
      <c r="I88" s="949"/>
      <c r="J88" s="950"/>
      <c r="K88" s="617"/>
    </row>
    <row r="89" spans="1:11" ht="11.25" customHeight="1">
      <c r="A89" s="579"/>
      <c r="B89" s="1047"/>
      <c r="C89" s="949"/>
      <c r="D89" s="949"/>
      <c r="E89" s="949"/>
      <c r="F89" s="949"/>
      <c r="G89" s="949"/>
      <c r="H89" s="949"/>
      <c r="I89" s="949"/>
      <c r="J89" s="950"/>
      <c r="K89" s="362"/>
    </row>
    <row r="90" spans="1:11" ht="18" customHeight="1">
      <c r="A90" s="579"/>
      <c r="B90" s="1114" t="s">
        <v>467</v>
      </c>
      <c r="C90" s="949"/>
      <c r="D90" s="949"/>
      <c r="E90" s="949"/>
      <c r="F90" s="949"/>
      <c r="G90" s="949"/>
      <c r="H90" s="949"/>
      <c r="I90" s="949"/>
      <c r="J90" s="950"/>
      <c r="K90" s="654"/>
    </row>
    <row r="91" spans="1:11" ht="11.25" customHeight="1">
      <c r="A91" s="579"/>
      <c r="B91" s="680" t="s">
        <v>468</v>
      </c>
      <c r="C91" s="1089" t="s">
        <v>469</v>
      </c>
      <c r="D91" s="949"/>
      <c r="E91" s="949"/>
      <c r="F91" s="949"/>
      <c r="G91" s="949"/>
      <c r="H91" s="949"/>
      <c r="I91" s="950"/>
      <c r="J91" s="681" t="s">
        <v>447</v>
      </c>
      <c r="K91" s="592"/>
    </row>
    <row r="92" spans="1:11" ht="12.75" customHeight="1">
      <c r="A92" s="579"/>
      <c r="B92" s="682" t="s">
        <v>369</v>
      </c>
      <c r="C92" s="1051" t="s">
        <v>769</v>
      </c>
      <c r="D92" s="949"/>
      <c r="E92" s="949"/>
      <c r="F92" s="949"/>
      <c r="G92" s="949"/>
      <c r="H92" s="950"/>
      <c r="I92" s="683">
        <f>J47</f>
        <v>1929.3999999999999</v>
      </c>
      <c r="J92" s="684">
        <f>IF(ROUND((I93*I95*I94)-(J47*I96),2)&lt;0,0,ROUND((I93*I95*I94)-(J47*I96),2))</f>
        <v>0</v>
      </c>
      <c r="K92" s="663"/>
    </row>
    <row r="93" spans="1:11" ht="27" customHeight="1">
      <c r="A93" s="579"/>
      <c r="B93" s="682" t="s">
        <v>371</v>
      </c>
      <c r="C93" s="1051" t="s">
        <v>770</v>
      </c>
      <c r="D93" s="949"/>
      <c r="E93" s="949"/>
      <c r="F93" s="949"/>
      <c r="G93" s="949"/>
      <c r="H93" s="949"/>
      <c r="I93" s="685">
        <f>'1-ABA-DE-CARREGAMENTO'!F72</f>
        <v>0</v>
      </c>
      <c r="J93" s="691" t="s">
        <v>382</v>
      </c>
      <c r="K93" s="644"/>
    </row>
    <row r="94" spans="1:11" ht="18" customHeight="1">
      <c r="A94" s="579"/>
      <c r="B94" s="682" t="s">
        <v>373</v>
      </c>
      <c r="C94" s="1051" t="s">
        <v>771</v>
      </c>
      <c r="D94" s="949"/>
      <c r="E94" s="949"/>
      <c r="F94" s="949"/>
      <c r="G94" s="949"/>
      <c r="H94" s="950"/>
      <c r="I94" s="687">
        <f>'1-ABA-DE-CARREGAMENTO'!F73</f>
        <v>2</v>
      </c>
      <c r="J94" s="691" t="s">
        <v>382</v>
      </c>
      <c r="K94" s="644"/>
    </row>
    <row r="95" spans="1:11" ht="18" customHeight="1">
      <c r="A95" s="579"/>
      <c r="B95" s="682" t="s">
        <v>375</v>
      </c>
      <c r="C95" s="1062" t="s">
        <v>473</v>
      </c>
      <c r="D95" s="949"/>
      <c r="E95" s="949"/>
      <c r="F95" s="949"/>
      <c r="G95" s="949"/>
      <c r="H95" s="950"/>
      <c r="I95" s="687">
        <f>'1-ABA-DE-CARREGAMENTO'!F74</f>
        <v>22</v>
      </c>
      <c r="J95" s="691" t="s">
        <v>382</v>
      </c>
      <c r="K95" s="644"/>
    </row>
    <row r="96" spans="1:11" ht="24" customHeight="1">
      <c r="A96" s="579"/>
      <c r="B96" s="682" t="s">
        <v>417</v>
      </c>
      <c r="C96" s="1062" t="s">
        <v>772</v>
      </c>
      <c r="D96" s="949"/>
      <c r="E96" s="949"/>
      <c r="F96" s="949"/>
      <c r="G96" s="949"/>
      <c r="H96" s="950"/>
      <c r="I96" s="688">
        <f>'1-ABA-DE-CARREGAMENTO'!F75</f>
        <v>0.06</v>
      </c>
      <c r="J96" s="693" t="s">
        <v>382</v>
      </c>
      <c r="K96" s="644"/>
    </row>
    <row r="97" spans="1:11" ht="14.25" customHeight="1">
      <c r="A97" s="579"/>
      <c r="B97" s="682" t="s">
        <v>421</v>
      </c>
      <c r="C97" s="1051" t="s">
        <v>773</v>
      </c>
      <c r="D97" s="949"/>
      <c r="E97" s="949"/>
      <c r="F97" s="949"/>
      <c r="G97" s="949"/>
      <c r="H97" s="949"/>
      <c r="I97" s="949"/>
      <c r="J97" s="684">
        <f>ROUND(I98*I99,2)-ROUND((I98*I99)*I100,2)</f>
        <v>359.61</v>
      </c>
      <c r="K97" s="663"/>
    </row>
    <row r="98" spans="1:11" ht="18" customHeight="1">
      <c r="A98" s="579"/>
      <c r="B98" s="682" t="s">
        <v>423</v>
      </c>
      <c r="C98" s="1051" t="s">
        <v>774</v>
      </c>
      <c r="D98" s="949"/>
      <c r="E98" s="949"/>
      <c r="F98" s="949"/>
      <c r="G98" s="949"/>
      <c r="H98" s="949"/>
      <c r="I98" s="685">
        <f>IF('1-ABA-DE-CARREGAMENTO'!F60&gt;0,'1-ABA-DE-CARREGAMENTO'!F60,'1-ABA-DE-CARREGAMENTO'!F64)</f>
        <v>20.18</v>
      </c>
      <c r="J98" s="691"/>
      <c r="K98" s="644"/>
    </row>
    <row r="99" spans="1:11" ht="24.75" customHeight="1">
      <c r="A99" s="579"/>
      <c r="B99" s="682" t="s">
        <v>425</v>
      </c>
      <c r="C99" s="1051" t="s">
        <v>775</v>
      </c>
      <c r="D99" s="949"/>
      <c r="E99" s="949"/>
      <c r="F99" s="949"/>
      <c r="G99" s="949"/>
      <c r="H99" s="949"/>
      <c r="I99" s="687">
        <f>'1-ABA-DE-CARREGAMENTO'!F62</f>
        <v>22</v>
      </c>
      <c r="J99" s="691"/>
      <c r="K99" s="644"/>
    </row>
    <row r="100" spans="1:11" ht="27.75" customHeight="1">
      <c r="A100" s="579"/>
      <c r="B100" s="682" t="s">
        <v>429</v>
      </c>
      <c r="C100" s="1107" t="s">
        <v>776</v>
      </c>
      <c r="D100" s="949"/>
      <c r="E100" s="949"/>
      <c r="F100" s="949"/>
      <c r="G100" s="949"/>
      <c r="H100" s="950"/>
      <c r="I100" s="688">
        <f>'1-ABA-DE-CARREGAMENTO'!F61</f>
        <v>0.19</v>
      </c>
      <c r="J100" s="693"/>
      <c r="K100" s="644"/>
    </row>
    <row r="101" spans="1:11" ht="13.5" customHeight="1" outlineLevel="1">
      <c r="A101" s="579"/>
      <c r="B101" s="682" t="s">
        <v>433</v>
      </c>
      <c r="C101" s="1051" t="s">
        <v>479</v>
      </c>
      <c r="D101" s="949"/>
      <c r="E101" s="949"/>
      <c r="F101" s="949"/>
      <c r="G101" s="949"/>
      <c r="H101" s="949"/>
      <c r="I101" s="949"/>
      <c r="J101" s="671">
        <f>'1-ABA-DE-CARREGAMENTO'!F79/12</f>
        <v>0</v>
      </c>
      <c r="K101" s="663"/>
    </row>
    <row r="102" spans="1:11" ht="13.5" customHeight="1" outlineLevel="1">
      <c r="A102" s="579"/>
      <c r="B102" s="682" t="s">
        <v>436</v>
      </c>
      <c r="C102" s="1051" t="s">
        <v>777</v>
      </c>
      <c r="D102" s="949"/>
      <c r="E102" s="949"/>
      <c r="F102" s="949"/>
      <c r="G102" s="949"/>
      <c r="H102" s="949"/>
      <c r="I102" s="949"/>
      <c r="J102" s="671">
        <f>'1-ABA-DE-CARREGAMENTO'!F77</f>
        <v>0</v>
      </c>
      <c r="K102" s="663"/>
    </row>
    <row r="103" spans="1:11" ht="13.5" customHeight="1" outlineLevel="1">
      <c r="A103" s="579"/>
      <c r="B103" s="682" t="s">
        <v>481</v>
      </c>
      <c r="C103" s="1051" t="s">
        <v>778</v>
      </c>
      <c r="D103" s="949"/>
      <c r="E103" s="949"/>
      <c r="F103" s="949"/>
      <c r="G103" s="949"/>
      <c r="H103" s="949"/>
      <c r="I103" s="950"/>
      <c r="J103" s="671">
        <v>0</v>
      </c>
      <c r="K103" s="663"/>
    </row>
    <row r="104" spans="1:11" ht="13.5" customHeight="1" outlineLevel="1">
      <c r="A104" s="579"/>
      <c r="B104" s="682" t="s">
        <v>483</v>
      </c>
      <c r="C104" s="1051" t="s">
        <v>718</v>
      </c>
      <c r="D104" s="949"/>
      <c r="E104" s="949"/>
      <c r="F104" s="949"/>
      <c r="G104" s="949"/>
      <c r="H104" s="949"/>
      <c r="I104" s="950"/>
      <c r="J104" s="671">
        <f>'1-ABA-DE-CARREGAMENTO'!F76</f>
        <v>17.32</v>
      </c>
      <c r="K104" s="663"/>
    </row>
    <row r="105" spans="1:11" ht="13.5" customHeight="1">
      <c r="A105" s="579"/>
      <c r="B105" s="682" t="s">
        <v>129</v>
      </c>
      <c r="C105" s="1111" t="s">
        <v>524</v>
      </c>
      <c r="D105" s="949"/>
      <c r="E105" s="949"/>
      <c r="F105" s="949"/>
      <c r="G105" s="949"/>
      <c r="H105" s="949"/>
      <c r="I105" s="949"/>
      <c r="J105" s="742">
        <v>0</v>
      </c>
      <c r="K105" s="704"/>
    </row>
    <row r="106" spans="1:11" ht="11.25" customHeight="1">
      <c r="A106" s="579"/>
      <c r="B106" s="705"/>
      <c r="C106" s="1108" t="s">
        <v>450</v>
      </c>
      <c r="D106" s="949"/>
      <c r="E106" s="949"/>
      <c r="F106" s="949"/>
      <c r="G106" s="949"/>
      <c r="H106" s="949"/>
      <c r="I106" s="949"/>
      <c r="J106" s="662">
        <f>SUM(J92:J105)</f>
        <v>376.93</v>
      </c>
      <c r="K106" s="663"/>
    </row>
    <row r="107" spans="1:11" ht="11.25" customHeight="1">
      <c r="A107" s="579"/>
      <c r="B107" s="1047"/>
      <c r="C107" s="949"/>
      <c r="D107" s="949"/>
      <c r="E107" s="949"/>
      <c r="F107" s="949"/>
      <c r="G107" s="949"/>
      <c r="H107" s="949"/>
      <c r="I107" s="949"/>
      <c r="J107" s="950"/>
      <c r="K107" s="362"/>
    </row>
    <row r="108" spans="1:11" ht="11.25" customHeight="1">
      <c r="A108" s="579"/>
      <c r="B108" s="1086" t="s">
        <v>486</v>
      </c>
      <c r="C108" s="949"/>
      <c r="D108" s="949"/>
      <c r="E108" s="949"/>
      <c r="F108" s="949"/>
      <c r="G108" s="949"/>
      <c r="H108" s="949"/>
      <c r="I108" s="949"/>
      <c r="J108" s="950"/>
      <c r="K108" s="617"/>
    </row>
    <row r="109" spans="1:11" ht="11.25" customHeight="1">
      <c r="A109" s="579"/>
      <c r="B109" s="1045"/>
      <c r="C109" s="949"/>
      <c r="D109" s="949"/>
      <c r="E109" s="949"/>
      <c r="F109" s="949"/>
      <c r="G109" s="949"/>
      <c r="H109" s="949"/>
      <c r="I109" s="949"/>
      <c r="J109" s="950"/>
      <c r="K109" s="593"/>
    </row>
    <row r="110" spans="1:11" ht="17.25" customHeight="1">
      <c r="A110" s="579"/>
      <c r="B110" s="1109" t="s">
        <v>487</v>
      </c>
      <c r="C110" s="949"/>
      <c r="D110" s="949"/>
      <c r="E110" s="949"/>
      <c r="F110" s="949"/>
      <c r="G110" s="949"/>
      <c r="H110" s="949"/>
      <c r="I110" s="949"/>
      <c r="J110" s="950"/>
      <c r="K110" s="706"/>
    </row>
    <row r="111" spans="1:11" ht="11.25" customHeight="1">
      <c r="A111" s="579"/>
      <c r="B111" s="668">
        <v>2</v>
      </c>
      <c r="C111" s="1110" t="s">
        <v>488</v>
      </c>
      <c r="D111" s="949"/>
      <c r="E111" s="949"/>
      <c r="F111" s="949"/>
      <c r="G111" s="949"/>
      <c r="H111" s="949"/>
      <c r="I111" s="950"/>
      <c r="J111" s="668" t="s">
        <v>447</v>
      </c>
      <c r="K111" s="657"/>
    </row>
    <row r="112" spans="1:11" ht="24.75" customHeight="1">
      <c r="A112" s="579"/>
      <c r="B112" s="600" t="s">
        <v>445</v>
      </c>
      <c r="C112" s="1092" t="s">
        <v>779</v>
      </c>
      <c r="D112" s="949"/>
      <c r="E112" s="949"/>
      <c r="F112" s="949"/>
      <c r="G112" s="949"/>
      <c r="H112" s="949"/>
      <c r="I112" s="950"/>
      <c r="J112" s="707">
        <f>J72</f>
        <v>249.06</v>
      </c>
      <c r="K112" s="708"/>
    </row>
    <row r="113" spans="1:11" ht="14.25" customHeight="1">
      <c r="A113" s="579"/>
      <c r="B113" s="600" t="s">
        <v>453</v>
      </c>
      <c r="C113" s="1092" t="s">
        <v>454</v>
      </c>
      <c r="D113" s="949"/>
      <c r="E113" s="949"/>
      <c r="F113" s="949"/>
      <c r="G113" s="949"/>
      <c r="H113" s="949"/>
      <c r="I113" s="950"/>
      <c r="J113" s="707">
        <f>J86</f>
        <v>898.80999999999983</v>
      </c>
      <c r="K113" s="708"/>
    </row>
    <row r="114" spans="1:11" ht="11.25" customHeight="1">
      <c r="A114" s="579"/>
      <c r="B114" s="600" t="s">
        <v>468</v>
      </c>
      <c r="C114" s="1092" t="s">
        <v>469</v>
      </c>
      <c r="D114" s="949"/>
      <c r="E114" s="949"/>
      <c r="F114" s="949"/>
      <c r="G114" s="949"/>
      <c r="H114" s="949"/>
      <c r="I114" s="950"/>
      <c r="J114" s="707">
        <f>J106</f>
        <v>376.93</v>
      </c>
      <c r="K114" s="708"/>
    </row>
    <row r="115" spans="1:11" ht="11.25" customHeight="1">
      <c r="A115" s="579"/>
      <c r="B115" s="1115" t="s">
        <v>450</v>
      </c>
      <c r="C115" s="949"/>
      <c r="D115" s="949"/>
      <c r="E115" s="949"/>
      <c r="F115" s="949"/>
      <c r="G115" s="949"/>
      <c r="H115" s="949"/>
      <c r="I115" s="950"/>
      <c r="J115" s="709">
        <f>SUM(J112+J113+J114)</f>
        <v>1524.8</v>
      </c>
      <c r="K115" s="708"/>
    </row>
    <row r="116" spans="1:11" ht="11.25" customHeight="1">
      <c r="A116" s="579"/>
      <c r="B116" s="1116"/>
      <c r="C116" s="949"/>
      <c r="D116" s="949"/>
      <c r="E116" s="949"/>
      <c r="F116" s="949"/>
      <c r="G116" s="949"/>
      <c r="H116" s="949"/>
      <c r="I116" s="949"/>
      <c r="J116" s="950"/>
      <c r="K116" s="710"/>
    </row>
    <row r="117" spans="1:11" ht="21.75" customHeight="1">
      <c r="A117" s="579"/>
      <c r="B117" s="1117" t="s">
        <v>490</v>
      </c>
      <c r="C117" s="949"/>
      <c r="D117" s="949"/>
      <c r="E117" s="949"/>
      <c r="F117" s="949"/>
      <c r="G117" s="949"/>
      <c r="H117" s="949"/>
      <c r="I117" s="949"/>
      <c r="J117" s="950"/>
      <c r="K117" s="711"/>
    </row>
    <row r="118" spans="1:11" ht="15.75" customHeight="1">
      <c r="A118" s="579"/>
      <c r="B118" s="680">
        <v>3</v>
      </c>
      <c r="C118" s="1118" t="s">
        <v>491</v>
      </c>
      <c r="D118" s="949"/>
      <c r="E118" s="949"/>
      <c r="F118" s="949"/>
      <c r="G118" s="949"/>
      <c r="H118" s="949"/>
      <c r="I118" s="950"/>
      <c r="J118" s="680" t="s">
        <v>447</v>
      </c>
      <c r="K118" s="712"/>
    </row>
    <row r="119" spans="1:11" ht="47.25" customHeight="1">
      <c r="A119" s="579"/>
      <c r="B119" s="682" t="s">
        <v>369</v>
      </c>
      <c r="C119" s="1051" t="s">
        <v>780</v>
      </c>
      <c r="D119" s="949"/>
      <c r="E119" s="949"/>
      <c r="F119" s="949"/>
      <c r="G119" s="949"/>
      <c r="H119" s="949"/>
      <c r="I119" s="950"/>
      <c r="J119" s="671">
        <f>ROUND((($J$58/12)+($J$70/12)+(J58/12/12)+($J$71/12))*(30/30)*0.05,2)</f>
        <v>10.94</v>
      </c>
      <c r="K119" s="663"/>
    </row>
    <row r="120" spans="1:11" ht="14.25" customHeight="1">
      <c r="A120" s="579"/>
      <c r="B120" s="682" t="s">
        <v>371</v>
      </c>
      <c r="C120" s="1111" t="s">
        <v>493</v>
      </c>
      <c r="D120" s="949"/>
      <c r="E120" s="949"/>
      <c r="F120" s="949"/>
      <c r="G120" s="949"/>
      <c r="H120" s="949"/>
      <c r="I120" s="950"/>
      <c r="J120" s="671">
        <f>ROUND($I$85*J119,2)</f>
        <v>0.88</v>
      </c>
      <c r="K120" s="663"/>
    </row>
    <row r="121" spans="1:11" ht="11.25" customHeight="1">
      <c r="A121" s="579"/>
      <c r="B121" s="682" t="s">
        <v>373</v>
      </c>
      <c r="C121" s="1106" t="s">
        <v>781</v>
      </c>
      <c r="D121" s="949"/>
      <c r="E121" s="949"/>
      <c r="F121" s="949"/>
      <c r="G121" s="949"/>
      <c r="H121" s="949"/>
      <c r="I121" s="950"/>
      <c r="J121" s="671">
        <f>ROUND(((7/30)/$I$11)*$J$58*1,2)</f>
        <v>17.059999999999999</v>
      </c>
      <c r="K121" s="663"/>
    </row>
    <row r="122" spans="1:11" ht="11.25" customHeight="1">
      <c r="A122" s="579"/>
      <c r="B122" s="682" t="s">
        <v>375</v>
      </c>
      <c r="C122" s="1111" t="s">
        <v>495</v>
      </c>
      <c r="D122" s="949"/>
      <c r="E122" s="949"/>
      <c r="F122" s="949"/>
      <c r="G122" s="949"/>
      <c r="H122" s="949"/>
      <c r="I122" s="950"/>
      <c r="J122" s="671">
        <f>ROUND($I$86*J121,2)</f>
        <v>6.28</v>
      </c>
      <c r="K122" s="663"/>
    </row>
    <row r="123" spans="1:11" ht="41.25" customHeight="1">
      <c r="A123" s="579"/>
      <c r="B123" s="682" t="s">
        <v>417</v>
      </c>
      <c r="C123" s="1051" t="s">
        <v>782</v>
      </c>
      <c r="D123" s="949"/>
      <c r="E123" s="949"/>
      <c r="F123" s="949"/>
      <c r="G123" s="949"/>
      <c r="H123" s="950"/>
      <c r="I123" s="714">
        <v>0.04</v>
      </c>
      <c r="J123" s="671">
        <f>ROUND(J58*I123,2)</f>
        <v>87.74</v>
      </c>
      <c r="K123" s="663"/>
    </row>
    <row r="124" spans="1:11" ht="11.25" customHeight="1">
      <c r="A124" s="579"/>
      <c r="B124" s="1108" t="s">
        <v>497</v>
      </c>
      <c r="C124" s="949"/>
      <c r="D124" s="949"/>
      <c r="E124" s="949"/>
      <c r="F124" s="949"/>
      <c r="G124" s="949"/>
      <c r="H124" s="949"/>
      <c r="I124" s="950"/>
      <c r="J124" s="662">
        <f>SUM(J119:J123)</f>
        <v>122.89999999999999</v>
      </c>
      <c r="K124" s="663"/>
    </row>
    <row r="125" spans="1:11" ht="11.25" customHeight="1">
      <c r="A125" s="579"/>
      <c r="B125" s="1112"/>
      <c r="C125" s="949"/>
      <c r="D125" s="949"/>
      <c r="E125" s="949"/>
      <c r="F125" s="949"/>
      <c r="G125" s="949"/>
      <c r="H125" s="949"/>
      <c r="I125" s="949"/>
      <c r="J125" s="950"/>
      <c r="K125" s="715"/>
    </row>
    <row r="126" spans="1:11" ht="15" customHeight="1">
      <c r="A126" s="579"/>
      <c r="B126" s="1113" t="s">
        <v>498</v>
      </c>
      <c r="C126" s="949"/>
      <c r="D126" s="949"/>
      <c r="E126" s="949"/>
      <c r="F126" s="949"/>
      <c r="G126" s="949"/>
      <c r="H126" s="949"/>
      <c r="I126" s="949"/>
      <c r="J126" s="950"/>
      <c r="K126" s="716"/>
    </row>
    <row r="127" spans="1:11" ht="36.75" customHeight="1">
      <c r="A127" s="579"/>
      <c r="B127" s="1086" t="s">
        <v>499</v>
      </c>
      <c r="C127" s="949"/>
      <c r="D127" s="949"/>
      <c r="E127" s="949"/>
      <c r="F127" s="949"/>
      <c r="G127" s="949"/>
      <c r="H127" s="949"/>
      <c r="I127" s="949"/>
      <c r="J127" s="950"/>
      <c r="K127" s="617"/>
    </row>
    <row r="128" spans="1:11" ht="56.25" customHeight="1">
      <c r="A128" s="579"/>
      <c r="B128" s="1105" t="s">
        <v>783</v>
      </c>
      <c r="C128" s="949"/>
      <c r="D128" s="949"/>
      <c r="E128" s="949"/>
      <c r="F128" s="949"/>
      <c r="G128" s="949"/>
      <c r="H128" s="949"/>
      <c r="I128" s="949"/>
      <c r="J128" s="950"/>
      <c r="K128" s="665"/>
    </row>
    <row r="129" spans="1:11" ht="33.75" customHeight="1">
      <c r="A129" s="579"/>
      <c r="B129" s="717" t="s">
        <v>501</v>
      </c>
      <c r="C129" s="718">
        <f>J58</f>
        <v>2193.3999999999996</v>
      </c>
      <c r="D129" s="719" t="s">
        <v>502</v>
      </c>
      <c r="E129" s="717" t="s">
        <v>784</v>
      </c>
      <c r="F129" s="718">
        <f>J115-J92-J97</f>
        <v>1165.19</v>
      </c>
      <c r="G129" s="719" t="s">
        <v>502</v>
      </c>
      <c r="H129" s="717" t="s">
        <v>504</v>
      </c>
      <c r="I129" s="718">
        <f>J124</f>
        <v>122.89999999999999</v>
      </c>
      <c r="J129" s="720">
        <f>C129+F129+I129</f>
        <v>3481.49</v>
      </c>
      <c r="K129" s="721"/>
    </row>
    <row r="130" spans="1:11" ht="11.25" customHeight="1">
      <c r="A130" s="579"/>
      <c r="B130" s="1120"/>
      <c r="C130" s="949"/>
      <c r="D130" s="949"/>
      <c r="E130" s="949"/>
      <c r="F130" s="949"/>
      <c r="G130" s="949"/>
      <c r="H130" s="949"/>
      <c r="I130" s="949"/>
      <c r="J130" s="950"/>
      <c r="K130" s="722"/>
    </row>
    <row r="131" spans="1:11" ht="16.5" customHeight="1">
      <c r="A131" s="579"/>
      <c r="B131" s="1121" t="s">
        <v>505</v>
      </c>
      <c r="C131" s="949"/>
      <c r="D131" s="949"/>
      <c r="E131" s="949"/>
      <c r="F131" s="949"/>
      <c r="G131" s="949"/>
      <c r="H131" s="949"/>
      <c r="I131" s="949"/>
      <c r="J131" s="950"/>
      <c r="K131" s="723"/>
    </row>
    <row r="132" spans="1:11" ht="23.25" customHeight="1">
      <c r="A132" s="579"/>
      <c r="B132" s="724" t="s">
        <v>506</v>
      </c>
      <c r="C132" s="1118" t="s">
        <v>507</v>
      </c>
      <c r="D132" s="949"/>
      <c r="E132" s="949"/>
      <c r="F132" s="949"/>
      <c r="G132" s="949"/>
      <c r="H132" s="949"/>
      <c r="I132" s="950"/>
      <c r="J132" s="724" t="s">
        <v>447</v>
      </c>
      <c r="K132" s="726"/>
    </row>
    <row r="133" spans="1:11" ht="50.25" customHeight="1">
      <c r="A133" s="579"/>
      <c r="B133" s="682" t="s">
        <v>369</v>
      </c>
      <c r="C133" s="1092" t="s">
        <v>785</v>
      </c>
      <c r="D133" s="949"/>
      <c r="E133" s="949"/>
      <c r="F133" s="949"/>
      <c r="G133" s="949"/>
      <c r="H133" s="727">
        <v>9.0749999999999997E-2</v>
      </c>
      <c r="I133" s="873">
        <f>I86</f>
        <v>0.36800000000000005</v>
      </c>
      <c r="J133" s="671">
        <f>ROUND(H133*J58,2)*(1+I133)</f>
        <v>272.30040000000002</v>
      </c>
      <c r="K133" s="663"/>
    </row>
    <row r="134" spans="1:11" ht="11.25" customHeight="1">
      <c r="A134" s="579"/>
      <c r="B134" s="682" t="s">
        <v>371</v>
      </c>
      <c r="C134" s="1051" t="s">
        <v>786</v>
      </c>
      <c r="D134" s="949"/>
      <c r="E134" s="949"/>
      <c r="F134" s="949"/>
      <c r="G134" s="949"/>
      <c r="H134" s="949"/>
      <c r="I134" s="950"/>
      <c r="J134" s="671">
        <f>ROUND((1/30)/12*(J129),2)</f>
        <v>9.67</v>
      </c>
      <c r="K134" s="663"/>
    </row>
    <row r="135" spans="1:11" ht="11.25" customHeight="1">
      <c r="A135" s="579"/>
      <c r="B135" s="682" t="s">
        <v>373</v>
      </c>
      <c r="C135" s="1051" t="s">
        <v>787</v>
      </c>
      <c r="D135" s="949"/>
      <c r="E135" s="949"/>
      <c r="F135" s="949"/>
      <c r="G135" s="949"/>
      <c r="H135" s="949"/>
      <c r="I135" s="950"/>
      <c r="J135" s="671">
        <f>ROUND((5/30)/12*0.015*(J129),2)</f>
        <v>0.73</v>
      </c>
      <c r="K135" s="663"/>
    </row>
    <row r="136" spans="1:11" ht="11.25" customHeight="1">
      <c r="A136" s="579"/>
      <c r="B136" s="682" t="s">
        <v>375</v>
      </c>
      <c r="C136" s="1051" t="s">
        <v>788</v>
      </c>
      <c r="D136" s="949"/>
      <c r="E136" s="949"/>
      <c r="F136" s="949"/>
      <c r="G136" s="949"/>
      <c r="H136" s="949"/>
      <c r="I136" s="950"/>
      <c r="J136" s="671">
        <f>ROUND(((15/30)/12)*0.0078*(J129),2)</f>
        <v>1.1299999999999999</v>
      </c>
      <c r="K136" s="663"/>
    </row>
    <row r="137" spans="1:11" ht="11.25" customHeight="1">
      <c r="A137" s="579"/>
      <c r="B137" s="730" t="s">
        <v>417</v>
      </c>
      <c r="C137" s="1119" t="s">
        <v>789</v>
      </c>
      <c r="D137" s="949"/>
      <c r="E137" s="949"/>
      <c r="F137" s="949"/>
      <c r="G137" s="949"/>
      <c r="H137" s="949"/>
      <c r="I137" s="950"/>
      <c r="J137" s="731">
        <f>ROUND(((((C129+C129/3)+(I86)*(C129+C129/3))*(4/12))/12)*0.02,2) + ((J106 -J92-J97+ J124)*4/12)*0.02</f>
        <v>3.1547999999999998</v>
      </c>
      <c r="K137" s="732"/>
    </row>
    <row r="138" spans="1:11" ht="11.25" customHeight="1">
      <c r="A138" s="579"/>
      <c r="B138" s="682" t="s">
        <v>421</v>
      </c>
      <c r="C138" s="1051" t="s">
        <v>790</v>
      </c>
      <c r="D138" s="949"/>
      <c r="E138" s="949"/>
      <c r="F138" s="949"/>
      <c r="G138" s="949"/>
      <c r="H138" s="949"/>
      <c r="I138" s="950"/>
      <c r="J138" s="671">
        <f>ROUND(((3/30)/12)*(J129),2)</f>
        <v>29.01</v>
      </c>
      <c r="K138" s="663"/>
    </row>
    <row r="139" spans="1:11" ht="11.25" customHeight="1">
      <c r="A139" s="579"/>
      <c r="B139" s="1108" t="s">
        <v>450</v>
      </c>
      <c r="C139" s="949"/>
      <c r="D139" s="949"/>
      <c r="E139" s="949"/>
      <c r="F139" s="949"/>
      <c r="G139" s="949"/>
      <c r="H139" s="949"/>
      <c r="I139" s="950"/>
      <c r="J139" s="662">
        <f>SUM(J133:J138)</f>
        <v>315.99520000000007</v>
      </c>
      <c r="K139" s="663"/>
    </row>
    <row r="140" spans="1:11" ht="11.25" customHeight="1">
      <c r="A140" s="579"/>
      <c r="B140" s="1112"/>
      <c r="C140" s="949"/>
      <c r="D140" s="949"/>
      <c r="E140" s="949"/>
      <c r="F140" s="949"/>
      <c r="G140" s="949"/>
      <c r="H140" s="949"/>
      <c r="I140" s="949"/>
      <c r="J140" s="950"/>
      <c r="K140" s="715"/>
    </row>
    <row r="141" spans="1:11" ht="20.25" customHeight="1">
      <c r="A141" s="579"/>
      <c r="B141" s="1114" t="s">
        <v>514</v>
      </c>
      <c r="C141" s="949"/>
      <c r="D141" s="949"/>
      <c r="E141" s="949"/>
      <c r="F141" s="949"/>
      <c r="G141" s="949"/>
      <c r="H141" s="949"/>
      <c r="I141" s="949"/>
      <c r="J141" s="950"/>
      <c r="K141" s="654"/>
    </row>
    <row r="142" spans="1:11" ht="11.25" customHeight="1">
      <c r="A142" s="579"/>
      <c r="B142" s="733" t="s">
        <v>515</v>
      </c>
      <c r="C142" s="1122" t="s">
        <v>516</v>
      </c>
      <c r="D142" s="949"/>
      <c r="E142" s="949"/>
      <c r="F142" s="949"/>
      <c r="G142" s="949"/>
      <c r="H142" s="949"/>
      <c r="I142" s="950"/>
      <c r="J142" s="734" t="s">
        <v>447</v>
      </c>
      <c r="K142" s="735"/>
    </row>
    <row r="143" spans="1:11" ht="11.25" customHeight="1">
      <c r="A143" s="579"/>
      <c r="B143" s="736" t="s">
        <v>369</v>
      </c>
      <c r="C143" s="1125" t="s">
        <v>517</v>
      </c>
      <c r="D143" s="949"/>
      <c r="E143" s="949"/>
      <c r="F143" s="949"/>
      <c r="G143" s="949"/>
      <c r="H143" s="949"/>
      <c r="I143" s="950"/>
      <c r="J143" s="737">
        <v>0</v>
      </c>
      <c r="K143" s="738"/>
    </row>
    <row r="144" spans="1:11" ht="11.25" customHeight="1">
      <c r="A144" s="579"/>
      <c r="B144" s="1102" t="s">
        <v>450</v>
      </c>
      <c r="C144" s="949"/>
      <c r="D144" s="949"/>
      <c r="E144" s="949"/>
      <c r="F144" s="949"/>
      <c r="G144" s="949"/>
      <c r="H144" s="949"/>
      <c r="I144" s="950"/>
      <c r="J144" s="739">
        <v>0</v>
      </c>
      <c r="K144" s="738"/>
    </row>
    <row r="145" spans="1:11" ht="11.25" customHeight="1">
      <c r="A145" s="579"/>
      <c r="B145" s="1126"/>
      <c r="C145" s="949"/>
      <c r="D145" s="949"/>
      <c r="E145" s="949"/>
      <c r="F145" s="949"/>
      <c r="G145" s="949"/>
      <c r="H145" s="949"/>
      <c r="I145" s="949"/>
      <c r="J145" s="950"/>
      <c r="K145" s="740"/>
    </row>
    <row r="146" spans="1:11" ht="33.75" customHeight="1">
      <c r="A146" s="579"/>
      <c r="B146" s="1098" t="s">
        <v>518</v>
      </c>
      <c r="C146" s="949"/>
      <c r="D146" s="949"/>
      <c r="E146" s="949"/>
      <c r="F146" s="949"/>
      <c r="G146" s="949"/>
      <c r="H146" s="949"/>
      <c r="I146" s="949"/>
      <c r="J146" s="950"/>
      <c r="K146" s="653"/>
    </row>
    <row r="147" spans="1:11" ht="11.25" customHeight="1">
      <c r="A147" s="579"/>
      <c r="B147" s="668">
        <v>4</v>
      </c>
      <c r="C147" s="1122" t="s">
        <v>519</v>
      </c>
      <c r="D147" s="949"/>
      <c r="E147" s="949"/>
      <c r="F147" s="949"/>
      <c r="G147" s="949"/>
      <c r="H147" s="949"/>
      <c r="I147" s="950"/>
      <c r="J147" s="734" t="s">
        <v>447</v>
      </c>
      <c r="K147" s="735"/>
    </row>
    <row r="148" spans="1:11" ht="11.25" customHeight="1">
      <c r="A148" s="579"/>
      <c r="B148" s="600" t="s">
        <v>506</v>
      </c>
      <c r="C148" s="1125" t="s">
        <v>507</v>
      </c>
      <c r="D148" s="949"/>
      <c r="E148" s="949"/>
      <c r="F148" s="949"/>
      <c r="G148" s="949"/>
      <c r="H148" s="949"/>
      <c r="I148" s="950"/>
      <c r="J148" s="737">
        <f>J139</f>
        <v>315.99520000000007</v>
      </c>
      <c r="K148" s="738"/>
    </row>
    <row r="149" spans="1:11" ht="11.25" customHeight="1">
      <c r="A149" s="579"/>
      <c r="B149" s="600" t="s">
        <v>520</v>
      </c>
      <c r="C149" s="1125" t="s">
        <v>516</v>
      </c>
      <c r="D149" s="949"/>
      <c r="E149" s="949"/>
      <c r="F149" s="949"/>
      <c r="G149" s="949"/>
      <c r="H149" s="949"/>
      <c r="I149" s="950"/>
      <c r="J149" s="737">
        <f>J144</f>
        <v>0</v>
      </c>
      <c r="K149" s="738"/>
    </row>
    <row r="150" spans="1:11" ht="11.25" customHeight="1">
      <c r="A150" s="579"/>
      <c r="B150" s="1115" t="s">
        <v>450</v>
      </c>
      <c r="C150" s="949"/>
      <c r="D150" s="949"/>
      <c r="E150" s="949"/>
      <c r="F150" s="949"/>
      <c r="G150" s="949"/>
      <c r="H150" s="949"/>
      <c r="I150" s="950"/>
      <c r="J150" s="739">
        <f>SUM(J148+J149)</f>
        <v>315.99520000000007</v>
      </c>
      <c r="K150" s="738"/>
    </row>
    <row r="151" spans="1:11" ht="11.25" customHeight="1">
      <c r="A151" s="579"/>
      <c r="B151" s="1126"/>
      <c r="C151" s="949"/>
      <c r="D151" s="949"/>
      <c r="E151" s="949"/>
      <c r="F151" s="949"/>
      <c r="G151" s="949"/>
      <c r="H151" s="949"/>
      <c r="I151" s="949"/>
      <c r="J151" s="950"/>
      <c r="K151" s="740"/>
    </row>
    <row r="152" spans="1:11" ht="21.75" customHeight="1">
      <c r="A152" s="579"/>
      <c r="B152" s="1113" t="s">
        <v>521</v>
      </c>
      <c r="C152" s="949"/>
      <c r="D152" s="949"/>
      <c r="E152" s="949"/>
      <c r="F152" s="949"/>
      <c r="G152" s="949"/>
      <c r="H152" s="949"/>
      <c r="I152" s="949"/>
      <c r="J152" s="950"/>
      <c r="K152" s="716"/>
    </row>
    <row r="153" spans="1:11" ht="18" customHeight="1">
      <c r="A153" s="579"/>
      <c r="B153" s="680">
        <v>3</v>
      </c>
      <c r="C153" s="1089" t="s">
        <v>522</v>
      </c>
      <c r="D153" s="949"/>
      <c r="E153" s="949"/>
      <c r="F153" s="949"/>
      <c r="G153" s="949"/>
      <c r="H153" s="949"/>
      <c r="I153" s="950"/>
      <c r="J153" s="680" t="s">
        <v>447</v>
      </c>
      <c r="K153" s="712"/>
    </row>
    <row r="154" spans="1:11" ht="12.75" customHeight="1">
      <c r="A154" s="579"/>
      <c r="B154" s="682" t="s">
        <v>369</v>
      </c>
      <c r="C154" s="1051" t="s">
        <v>658</v>
      </c>
      <c r="D154" s="949"/>
      <c r="E154" s="949"/>
      <c r="F154" s="949"/>
      <c r="G154" s="949"/>
      <c r="H154" s="949"/>
      <c r="I154" s="950"/>
      <c r="J154" s="741" t="e">
        <f>#REF!+#REF!</f>
        <v>#REF!</v>
      </c>
      <c r="K154" s="663"/>
    </row>
    <row r="155" spans="1:11" ht="12.75" customHeight="1">
      <c r="A155" s="579"/>
      <c r="B155" s="682" t="s">
        <v>371</v>
      </c>
      <c r="C155" s="1051" t="s">
        <v>659</v>
      </c>
      <c r="D155" s="949"/>
      <c r="E155" s="949"/>
      <c r="F155" s="949"/>
      <c r="G155" s="949"/>
      <c r="H155" s="949"/>
      <c r="I155" s="950"/>
      <c r="J155" s="742">
        <v>0</v>
      </c>
      <c r="K155" s="704"/>
    </row>
    <row r="156" spans="1:11" ht="12.75" customHeight="1">
      <c r="A156" s="579"/>
      <c r="B156" s="682" t="s">
        <v>373</v>
      </c>
      <c r="C156" s="1051" t="s">
        <v>524</v>
      </c>
      <c r="D156" s="949"/>
      <c r="E156" s="949"/>
      <c r="F156" s="949"/>
      <c r="G156" s="949"/>
      <c r="H156" s="949"/>
      <c r="I156" s="950"/>
      <c r="J156" s="742" t="s">
        <v>525</v>
      </c>
      <c r="K156" s="704"/>
    </row>
    <row r="157" spans="1:11" ht="11.25" customHeight="1">
      <c r="A157" s="579"/>
      <c r="B157" s="1108" t="s">
        <v>526</v>
      </c>
      <c r="C157" s="949"/>
      <c r="D157" s="949"/>
      <c r="E157" s="949"/>
      <c r="F157" s="949"/>
      <c r="G157" s="949"/>
      <c r="H157" s="949"/>
      <c r="I157" s="950"/>
      <c r="J157" s="743" t="e">
        <f>ROUND(SUM(J154:J156),2)</f>
        <v>#REF!</v>
      </c>
      <c r="K157" s="704"/>
    </row>
    <row r="158" spans="1:11" ht="11.25" customHeight="1">
      <c r="A158" s="579"/>
      <c r="B158" s="1153"/>
      <c r="C158" s="949"/>
      <c r="D158" s="949"/>
      <c r="E158" s="949"/>
      <c r="F158" s="949"/>
      <c r="G158" s="949"/>
      <c r="H158" s="949"/>
      <c r="I158" s="949"/>
      <c r="J158" s="950"/>
      <c r="K158" s="744"/>
    </row>
    <row r="159" spans="1:11" ht="11.25" customHeight="1">
      <c r="A159" s="579"/>
      <c r="B159" s="1154" t="s">
        <v>527</v>
      </c>
      <c r="C159" s="949"/>
      <c r="D159" s="949"/>
      <c r="E159" s="949"/>
      <c r="F159" s="949"/>
      <c r="G159" s="949"/>
      <c r="H159" s="949"/>
      <c r="I159" s="949"/>
      <c r="J159" s="950"/>
      <c r="K159" s="745"/>
    </row>
    <row r="160" spans="1:11" ht="11.25" customHeight="1">
      <c r="A160" s="579"/>
      <c r="B160" s="746"/>
      <c r="C160" s="747"/>
      <c r="D160" s="747"/>
      <c r="E160" s="747"/>
      <c r="F160" s="747"/>
      <c r="G160" s="747"/>
      <c r="H160" s="747"/>
      <c r="I160" s="747"/>
      <c r="J160" s="748"/>
      <c r="K160" s="314"/>
    </row>
    <row r="161" spans="1:11" ht="28.5" customHeight="1">
      <c r="A161" s="579"/>
      <c r="B161" s="1117" t="s">
        <v>528</v>
      </c>
      <c r="C161" s="949"/>
      <c r="D161" s="949"/>
      <c r="E161" s="949"/>
      <c r="F161" s="949"/>
      <c r="G161" s="949"/>
      <c r="H161" s="949"/>
      <c r="I161" s="949"/>
      <c r="J161" s="950"/>
      <c r="K161" s="711"/>
    </row>
    <row r="162" spans="1:11" ht="21.75" customHeight="1">
      <c r="A162" s="579"/>
      <c r="B162" s="680">
        <v>6</v>
      </c>
      <c r="C162" s="1118" t="s">
        <v>529</v>
      </c>
      <c r="D162" s="949"/>
      <c r="E162" s="949"/>
      <c r="F162" s="949"/>
      <c r="G162" s="949"/>
      <c r="H162" s="950"/>
      <c r="I162" s="749" t="s">
        <v>411</v>
      </c>
      <c r="J162" s="750" t="s">
        <v>455</v>
      </c>
      <c r="K162" s="751"/>
    </row>
    <row r="163" spans="1:11" ht="38.25" customHeight="1">
      <c r="A163" s="579"/>
      <c r="B163" s="1062" t="s">
        <v>530</v>
      </c>
      <c r="C163" s="949"/>
      <c r="D163" s="949"/>
      <c r="E163" s="949"/>
      <c r="F163" s="949"/>
      <c r="G163" s="949"/>
      <c r="H163" s="950"/>
      <c r="I163" s="341" t="s">
        <v>382</v>
      </c>
      <c r="J163" s="752" t="e">
        <f>SUM(J63+J115+J124+J150+J157)</f>
        <v>#REF!</v>
      </c>
      <c r="K163" s="753"/>
    </row>
    <row r="164" spans="1:11" ht="11.25" customHeight="1">
      <c r="A164" s="579"/>
      <c r="B164" s="682" t="s">
        <v>369</v>
      </c>
      <c r="C164" s="1155" t="s">
        <v>531</v>
      </c>
      <c r="D164" s="949"/>
      <c r="E164" s="949"/>
      <c r="F164" s="949"/>
      <c r="G164" s="949"/>
      <c r="H164" s="950"/>
      <c r="I164" s="670">
        <f>'1-ABA-DE-CARREGAMENTO'!F85</f>
        <v>0.06</v>
      </c>
      <c r="J164" s="671" t="e">
        <f>ROUND(I164*J163,2)</f>
        <v>#REF!</v>
      </c>
      <c r="K164" s="663"/>
    </row>
    <row r="165" spans="1:11" ht="47.25" customHeight="1">
      <c r="A165" s="579"/>
      <c r="B165" s="1062" t="s">
        <v>532</v>
      </c>
      <c r="C165" s="949"/>
      <c r="D165" s="949"/>
      <c r="E165" s="949"/>
      <c r="F165" s="949"/>
      <c r="G165" s="949"/>
      <c r="H165" s="950"/>
      <c r="I165" s="754" t="s">
        <v>382</v>
      </c>
      <c r="J165" s="752" t="e">
        <f>SUM(J63+J115+J124+J150+J157+J164)</f>
        <v>#REF!</v>
      </c>
      <c r="K165" s="753"/>
    </row>
    <row r="166" spans="1:11" ht="11.25" customHeight="1">
      <c r="A166" s="579"/>
      <c r="B166" s="682" t="s">
        <v>371</v>
      </c>
      <c r="C166" s="1155" t="s">
        <v>312</v>
      </c>
      <c r="D166" s="949"/>
      <c r="E166" s="949"/>
      <c r="F166" s="949"/>
      <c r="G166" s="949"/>
      <c r="H166" s="950"/>
      <c r="I166" s="670">
        <f>'1-ABA-DE-CARREGAMENTO'!F86</f>
        <v>0.06</v>
      </c>
      <c r="J166" s="671" t="e">
        <f>ROUND(I166*J165,2)</f>
        <v>#REF!</v>
      </c>
      <c r="K166" s="663"/>
    </row>
    <row r="167" spans="1:11" ht="54" customHeight="1">
      <c r="A167" s="579"/>
      <c r="B167" s="1062" t="s">
        <v>533</v>
      </c>
      <c r="C167" s="949"/>
      <c r="D167" s="949"/>
      <c r="E167" s="949"/>
      <c r="F167" s="949"/>
      <c r="G167" s="949"/>
      <c r="H167" s="950"/>
      <c r="I167" s="754" t="s">
        <v>382</v>
      </c>
      <c r="J167" s="752" t="e">
        <f>SUM(J163+J164+J166)</f>
        <v>#REF!</v>
      </c>
      <c r="K167" s="753"/>
    </row>
    <row r="168" spans="1:11" ht="20.25" customHeight="1">
      <c r="A168" s="579"/>
      <c r="B168" s="755" t="s">
        <v>373</v>
      </c>
      <c r="C168" s="1117" t="s">
        <v>534</v>
      </c>
      <c r="D168" s="949"/>
      <c r="E168" s="949"/>
      <c r="F168" s="949"/>
      <c r="G168" s="949"/>
      <c r="H168" s="950"/>
      <c r="I168" s="756" t="s">
        <v>382</v>
      </c>
      <c r="J168" s="643" t="s">
        <v>382</v>
      </c>
      <c r="K168" s="644"/>
    </row>
    <row r="169" spans="1:11" ht="11.25" customHeight="1">
      <c r="A169" s="579"/>
      <c r="B169" s="682"/>
      <c r="C169" s="1111" t="s">
        <v>535</v>
      </c>
      <c r="D169" s="949"/>
      <c r="E169" s="949"/>
      <c r="F169" s="949"/>
      <c r="G169" s="949"/>
      <c r="H169" s="950"/>
      <c r="I169" s="756" t="s">
        <v>382</v>
      </c>
      <c r="J169" s="643" t="s">
        <v>382</v>
      </c>
      <c r="K169" s="644"/>
    </row>
    <row r="170" spans="1:11" ht="15" customHeight="1">
      <c r="A170" s="579"/>
      <c r="B170" s="682"/>
      <c r="C170" s="1156" t="s">
        <v>791</v>
      </c>
      <c r="D170" s="949"/>
      <c r="E170" s="949"/>
      <c r="F170" s="949"/>
      <c r="G170" s="949"/>
      <c r="H170" s="950"/>
      <c r="I170" s="629">
        <f>'1-ABA-DE-CARREGAMENTO'!E28</f>
        <v>1.6500000000000001E-2</v>
      </c>
      <c r="J170" s="757" t="e">
        <f t="shared" ref="J170:J171" si="4">ROUND(($J$167/(1-$I$179))*I170,2)</f>
        <v>#REF!</v>
      </c>
      <c r="K170" s="758"/>
    </row>
    <row r="171" spans="1:11" ht="15" customHeight="1">
      <c r="A171" s="579"/>
      <c r="B171" s="682"/>
      <c r="C171" s="1156" t="s">
        <v>792</v>
      </c>
      <c r="D171" s="949"/>
      <c r="E171" s="949"/>
      <c r="F171" s="949"/>
      <c r="G171" s="949"/>
      <c r="H171" s="950"/>
      <c r="I171" s="629">
        <f>'1-ABA-DE-CARREGAMENTO'!F28</f>
        <v>7.5999999999999998E-2</v>
      </c>
      <c r="J171" s="757" t="e">
        <f t="shared" si="4"/>
        <v>#REF!</v>
      </c>
      <c r="K171" s="758"/>
    </row>
    <row r="172" spans="1:11" ht="11.25" customHeight="1">
      <c r="A172" s="579"/>
      <c r="B172" s="682"/>
      <c r="C172" s="1051" t="s">
        <v>793</v>
      </c>
      <c r="D172" s="949"/>
      <c r="E172" s="949"/>
      <c r="F172" s="949"/>
      <c r="G172" s="949"/>
      <c r="H172" s="950"/>
      <c r="I172" s="759" t="s">
        <v>382</v>
      </c>
      <c r="J172" s="643" t="s">
        <v>382</v>
      </c>
      <c r="K172" s="644"/>
    </row>
    <row r="173" spans="1:11" ht="11.25" customHeight="1">
      <c r="A173" s="579"/>
      <c r="B173" s="682"/>
      <c r="C173" s="1051" t="s">
        <v>794</v>
      </c>
      <c r="D173" s="949"/>
      <c r="E173" s="949"/>
      <c r="F173" s="949"/>
      <c r="G173" s="949"/>
      <c r="H173" s="950"/>
      <c r="I173" s="759" t="s">
        <v>382</v>
      </c>
      <c r="J173" s="643" t="s">
        <v>382</v>
      </c>
      <c r="K173" s="644"/>
    </row>
    <row r="174" spans="1:11" ht="11.25" customHeight="1">
      <c r="A174" s="579"/>
      <c r="B174" s="682"/>
      <c r="C174" s="1051" t="s">
        <v>540</v>
      </c>
      <c r="D174" s="949"/>
      <c r="E174" s="949"/>
      <c r="F174" s="949"/>
      <c r="G174" s="949"/>
      <c r="H174" s="949"/>
      <c r="I174" s="760" t="s">
        <v>382</v>
      </c>
      <c r="J174" s="761" t="s">
        <v>382</v>
      </c>
      <c r="K174" s="762"/>
    </row>
    <row r="175" spans="1:11" ht="11.25" customHeight="1">
      <c r="A175" s="579"/>
      <c r="B175" s="682"/>
      <c r="C175" s="1051" t="s">
        <v>541</v>
      </c>
      <c r="D175" s="949"/>
      <c r="E175" s="949"/>
      <c r="F175" s="949"/>
      <c r="G175" s="949"/>
      <c r="H175" s="949"/>
      <c r="I175" s="760" t="s">
        <v>382</v>
      </c>
      <c r="J175" s="761" t="s">
        <v>382</v>
      </c>
      <c r="K175" s="762"/>
    </row>
    <row r="176" spans="1:11" ht="11.25" customHeight="1">
      <c r="A176" s="579"/>
      <c r="B176" s="682"/>
      <c r="C176" s="1051" t="s">
        <v>795</v>
      </c>
      <c r="D176" s="949"/>
      <c r="E176" s="949"/>
      <c r="F176" s="949"/>
      <c r="G176" s="949"/>
      <c r="H176" s="950"/>
      <c r="I176" s="763">
        <f>'1-ABA-DE-CARREGAMENTO'!D87</f>
        <v>0.03</v>
      </c>
      <c r="J176" s="757" t="e">
        <f>ROUND(($J$167/(1-$I$179))*I176,2)</f>
        <v>#REF!</v>
      </c>
      <c r="K176" s="758"/>
    </row>
    <row r="177" spans="1:11" ht="11.25" customHeight="1">
      <c r="A177" s="579"/>
      <c r="B177" s="1108" t="s">
        <v>497</v>
      </c>
      <c r="C177" s="949"/>
      <c r="D177" s="949"/>
      <c r="E177" s="949"/>
      <c r="F177" s="949"/>
      <c r="G177" s="949"/>
      <c r="H177" s="949"/>
      <c r="I177" s="950"/>
      <c r="J177" s="662" t="e">
        <f>SUM(J164+J166+J170+J171+J176)</f>
        <v>#REF!</v>
      </c>
      <c r="K177" s="663"/>
    </row>
    <row r="178" spans="1:11" ht="11.25" customHeight="1">
      <c r="A178" s="579"/>
      <c r="B178" s="1112"/>
      <c r="C178" s="949"/>
      <c r="D178" s="949"/>
      <c r="E178" s="949"/>
      <c r="F178" s="949"/>
      <c r="G178" s="949"/>
      <c r="H178" s="949"/>
      <c r="I178" s="949"/>
      <c r="J178" s="950"/>
      <c r="K178" s="715"/>
    </row>
    <row r="179" spans="1:11" ht="11.25" customHeight="1">
      <c r="A179" s="579"/>
      <c r="B179" s="1157" t="s">
        <v>543</v>
      </c>
      <c r="C179" s="949"/>
      <c r="D179" s="949"/>
      <c r="E179" s="949"/>
      <c r="F179" s="949"/>
      <c r="G179" s="949"/>
      <c r="H179" s="950"/>
      <c r="I179" s="764">
        <f t="shared" ref="I179:J179" si="5">SUM(I170:I176)</f>
        <v>0.1225</v>
      </c>
      <c r="J179" s="752" t="e">
        <f t="shared" si="5"/>
        <v>#REF!</v>
      </c>
      <c r="K179" s="753"/>
    </row>
    <row r="180" spans="1:11" ht="11.25" customHeight="1">
      <c r="A180" s="579"/>
      <c r="B180" s="1158" t="s">
        <v>544</v>
      </c>
      <c r="C180" s="947"/>
      <c r="D180" s="1159" t="s">
        <v>545</v>
      </c>
      <c r="E180" s="947"/>
      <c r="F180" s="947"/>
      <c r="G180" s="947"/>
      <c r="H180" s="947"/>
      <c r="I180" s="947"/>
      <c r="J180" s="1020"/>
      <c r="K180" s="765"/>
    </row>
    <row r="181" spans="1:11" ht="11.25" customHeight="1">
      <c r="A181" s="579"/>
      <c r="B181" s="1151"/>
      <c r="C181" s="947"/>
      <c r="D181" s="1160" t="s">
        <v>546</v>
      </c>
      <c r="E181" s="947"/>
      <c r="F181" s="947"/>
      <c r="G181" s="947"/>
      <c r="H181" s="947"/>
      <c r="I181" s="947"/>
      <c r="J181" s="1020"/>
      <c r="K181" s="766"/>
    </row>
    <row r="182" spans="1:11" ht="11.25" customHeight="1">
      <c r="A182" s="579"/>
      <c r="B182" s="1134"/>
      <c r="C182" s="1037"/>
      <c r="D182" s="1161" t="s">
        <v>547</v>
      </c>
      <c r="E182" s="1037"/>
      <c r="F182" s="1037"/>
      <c r="G182" s="1037"/>
      <c r="H182" s="1037"/>
      <c r="I182" s="1037"/>
      <c r="J182" s="1038"/>
      <c r="K182" s="765"/>
    </row>
    <row r="183" spans="1:11" ht="8.25" customHeight="1">
      <c r="A183" s="579"/>
      <c r="B183" s="1162"/>
      <c r="C183" s="949"/>
      <c r="D183" s="949"/>
      <c r="E183" s="949"/>
      <c r="F183" s="949"/>
      <c r="G183" s="949"/>
      <c r="H183" s="949"/>
      <c r="I183" s="949"/>
      <c r="J183" s="950"/>
      <c r="K183" s="767"/>
    </row>
    <row r="184" spans="1:11" ht="11.25" customHeight="1">
      <c r="A184" s="579"/>
      <c r="B184" s="1046" t="s">
        <v>548</v>
      </c>
      <c r="C184" s="949"/>
      <c r="D184" s="949"/>
      <c r="E184" s="949"/>
      <c r="F184" s="949"/>
      <c r="G184" s="949"/>
      <c r="H184" s="949"/>
      <c r="I184" s="949"/>
      <c r="J184" s="950"/>
      <c r="K184" s="596"/>
    </row>
    <row r="185" spans="1:11" ht="9" customHeight="1">
      <c r="A185" s="579"/>
      <c r="B185" s="1112"/>
      <c r="C185" s="949"/>
      <c r="D185" s="949"/>
      <c r="E185" s="949"/>
      <c r="F185" s="949"/>
      <c r="G185" s="949"/>
      <c r="H185" s="949"/>
      <c r="I185" s="949"/>
      <c r="J185" s="950"/>
      <c r="K185" s="715"/>
    </row>
    <row r="186" spans="1:11" ht="11.25" customHeight="1">
      <c r="A186" s="579"/>
      <c r="B186" s="1113" t="s">
        <v>796</v>
      </c>
      <c r="C186" s="949"/>
      <c r="D186" s="949"/>
      <c r="E186" s="949"/>
      <c r="F186" s="949"/>
      <c r="G186" s="949"/>
      <c r="H186" s="949"/>
      <c r="I186" s="949"/>
      <c r="J186" s="950"/>
      <c r="K186" s="716"/>
    </row>
    <row r="187" spans="1:11" ht="11.25" customHeight="1">
      <c r="A187" s="579"/>
      <c r="B187" s="1050" t="s">
        <v>550</v>
      </c>
      <c r="C187" s="949"/>
      <c r="D187" s="949"/>
      <c r="E187" s="949"/>
      <c r="F187" s="949"/>
      <c r="G187" s="949"/>
      <c r="H187" s="949"/>
      <c r="I187" s="950"/>
      <c r="J187" s="749" t="s">
        <v>447</v>
      </c>
      <c r="K187" s="593"/>
    </row>
    <row r="188" spans="1:11" ht="11.25" customHeight="1">
      <c r="A188" s="579"/>
      <c r="B188" s="768" t="s">
        <v>369</v>
      </c>
      <c r="C188" s="1123" t="s">
        <v>551</v>
      </c>
      <c r="D188" s="949"/>
      <c r="E188" s="949"/>
      <c r="F188" s="949"/>
      <c r="G188" s="949"/>
      <c r="H188" s="949"/>
      <c r="I188" s="949"/>
      <c r="J188" s="742">
        <f>J63</f>
        <v>2193.3999999999996</v>
      </c>
      <c r="K188" s="704"/>
    </row>
    <row r="189" spans="1:11" ht="11.25" customHeight="1">
      <c r="A189" s="579"/>
      <c r="B189" s="768" t="s">
        <v>371</v>
      </c>
      <c r="C189" s="1123" t="s">
        <v>552</v>
      </c>
      <c r="D189" s="949"/>
      <c r="E189" s="949"/>
      <c r="F189" s="949"/>
      <c r="G189" s="949"/>
      <c r="H189" s="949"/>
      <c r="I189" s="949"/>
      <c r="J189" s="742">
        <f>J115</f>
        <v>1524.8</v>
      </c>
      <c r="K189" s="704"/>
    </row>
    <row r="190" spans="1:11" ht="11.25" customHeight="1">
      <c r="A190" s="579"/>
      <c r="B190" s="768" t="s">
        <v>373</v>
      </c>
      <c r="C190" s="1123" t="s">
        <v>553</v>
      </c>
      <c r="D190" s="949"/>
      <c r="E190" s="949"/>
      <c r="F190" s="949"/>
      <c r="G190" s="949"/>
      <c r="H190" s="949"/>
      <c r="I190" s="949"/>
      <c r="J190" s="742">
        <f>J124</f>
        <v>122.89999999999999</v>
      </c>
      <c r="K190" s="704"/>
    </row>
    <row r="191" spans="1:11" ht="11.25" customHeight="1">
      <c r="A191" s="579"/>
      <c r="B191" s="768" t="s">
        <v>375</v>
      </c>
      <c r="C191" s="1123" t="s">
        <v>554</v>
      </c>
      <c r="D191" s="949"/>
      <c r="E191" s="949"/>
      <c r="F191" s="949"/>
      <c r="G191" s="949"/>
      <c r="H191" s="949"/>
      <c r="I191" s="949"/>
      <c r="J191" s="742">
        <f>J150</f>
        <v>315.99520000000007</v>
      </c>
      <c r="K191" s="704"/>
    </row>
    <row r="192" spans="1:11" ht="11.25" customHeight="1">
      <c r="A192" s="579"/>
      <c r="B192" s="768" t="s">
        <v>417</v>
      </c>
      <c r="C192" s="1123" t="s">
        <v>555</v>
      </c>
      <c r="D192" s="949"/>
      <c r="E192" s="949"/>
      <c r="F192" s="949"/>
      <c r="G192" s="949"/>
      <c r="H192" s="949"/>
      <c r="I192" s="949"/>
      <c r="J192" s="742" t="e">
        <f>J157</f>
        <v>#REF!</v>
      </c>
      <c r="K192" s="704"/>
    </row>
    <row r="193" spans="1:11" ht="11.25" customHeight="1">
      <c r="A193" s="579"/>
      <c r="B193" s="1124" t="s">
        <v>556</v>
      </c>
      <c r="C193" s="949"/>
      <c r="D193" s="949"/>
      <c r="E193" s="949"/>
      <c r="F193" s="949"/>
      <c r="G193" s="949"/>
      <c r="H193" s="949"/>
      <c r="I193" s="949"/>
      <c r="J193" s="743" t="e">
        <f>ROUND(SUM(J188:J192),2)</f>
        <v>#REF!</v>
      </c>
      <c r="K193" s="704"/>
    </row>
    <row r="194" spans="1:11" ht="11.25" customHeight="1">
      <c r="A194" s="579"/>
      <c r="B194" s="769" t="s">
        <v>421</v>
      </c>
      <c r="C194" s="1123" t="s">
        <v>528</v>
      </c>
      <c r="D194" s="949"/>
      <c r="E194" s="949"/>
      <c r="F194" s="949"/>
      <c r="G194" s="949"/>
      <c r="H194" s="949"/>
      <c r="I194" s="949"/>
      <c r="J194" s="742" t="e">
        <f>J177</f>
        <v>#REF!</v>
      </c>
      <c r="K194" s="704"/>
    </row>
    <row r="195" spans="1:11" ht="11.25" customHeight="1">
      <c r="A195" s="579"/>
      <c r="B195" s="1124" t="s">
        <v>666</v>
      </c>
      <c r="C195" s="949"/>
      <c r="D195" s="949"/>
      <c r="E195" s="949"/>
      <c r="F195" s="949"/>
      <c r="G195" s="949"/>
      <c r="H195" s="949"/>
      <c r="I195" s="949"/>
      <c r="J195" s="743" t="e">
        <f>J193+J194</f>
        <v>#REF!</v>
      </c>
      <c r="K195" s="704"/>
    </row>
    <row r="196" spans="1:11" ht="15.75" customHeight="1">
      <c r="A196" s="579"/>
      <c r="B196" s="1169" t="s">
        <v>558</v>
      </c>
      <c r="C196" s="949"/>
      <c r="D196" s="949"/>
      <c r="E196" s="949"/>
      <c r="F196" s="949"/>
      <c r="G196" s="949"/>
      <c r="H196" s="949"/>
      <c r="I196" s="949"/>
      <c r="J196" s="950"/>
      <c r="K196" s="874"/>
    </row>
    <row r="197" spans="1:11" ht="6.75" customHeight="1">
      <c r="A197" s="579"/>
      <c r="B197" s="1170"/>
      <c r="C197" s="949"/>
      <c r="D197" s="949"/>
      <c r="E197" s="949"/>
      <c r="F197" s="949"/>
      <c r="G197" s="949"/>
      <c r="H197" s="949"/>
      <c r="I197" s="949"/>
      <c r="J197" s="950"/>
      <c r="K197" s="771"/>
    </row>
    <row r="198" spans="1:11" ht="11.25" customHeight="1">
      <c r="A198" s="579"/>
      <c r="B198" s="772"/>
      <c r="C198" s="587"/>
      <c r="D198" s="587"/>
      <c r="E198" s="587"/>
      <c r="F198" s="587"/>
      <c r="G198" s="587"/>
      <c r="H198" s="587"/>
      <c r="I198" s="773"/>
      <c r="J198" s="774"/>
      <c r="K198" s="773"/>
    </row>
    <row r="199" spans="1:11" ht="11.25" customHeight="1">
      <c r="A199" s="579"/>
      <c r="B199" s="1129" t="s">
        <v>559</v>
      </c>
      <c r="C199" s="947"/>
      <c r="D199" s="947"/>
      <c r="E199" s="947"/>
      <c r="F199" s="947"/>
      <c r="G199" s="947"/>
      <c r="H199" s="947"/>
      <c r="I199" s="947"/>
      <c r="J199" s="1020"/>
      <c r="K199" s="588"/>
    </row>
    <row r="200" spans="1:11" ht="11.25" customHeight="1">
      <c r="A200" s="579"/>
      <c r="B200" s="1075" t="s">
        <v>560</v>
      </c>
      <c r="C200" s="949"/>
      <c r="D200" s="949"/>
      <c r="E200" s="950"/>
      <c r="F200" s="1075" t="s">
        <v>667</v>
      </c>
      <c r="G200" s="950"/>
      <c r="H200" s="749" t="s">
        <v>563</v>
      </c>
      <c r="I200" s="1075" t="s">
        <v>564</v>
      </c>
      <c r="J200" s="950"/>
      <c r="K200" s="593"/>
    </row>
    <row r="201" spans="1:11" ht="24.75" hidden="1" customHeight="1" outlineLevel="1">
      <c r="A201" s="579"/>
      <c r="B201" s="1051" t="s">
        <v>565</v>
      </c>
      <c r="C201" s="949"/>
      <c r="D201" s="949"/>
      <c r="E201" s="950"/>
      <c r="F201" s="1140">
        <v>0</v>
      </c>
      <c r="G201" s="950"/>
      <c r="H201" s="875">
        <f t="shared" ref="H201:H202" si="6">E201*F201</f>
        <v>0</v>
      </c>
      <c r="I201" s="1140">
        <f t="shared" ref="I201:I203" si="7">F201*H201</f>
        <v>0</v>
      </c>
      <c r="J201" s="950"/>
      <c r="K201" s="779"/>
    </row>
    <row r="202" spans="1:11" ht="24.75" hidden="1" customHeight="1" outlineLevel="1">
      <c r="A202" s="579"/>
      <c r="B202" s="1051" t="s">
        <v>566</v>
      </c>
      <c r="C202" s="949"/>
      <c r="D202" s="949"/>
      <c r="E202" s="950"/>
      <c r="F202" s="1140">
        <v>0</v>
      </c>
      <c r="G202" s="950"/>
      <c r="H202" s="875">
        <f t="shared" si="6"/>
        <v>0</v>
      </c>
      <c r="I202" s="1140">
        <f t="shared" si="7"/>
        <v>0</v>
      </c>
      <c r="J202" s="950"/>
      <c r="K202" s="779"/>
    </row>
    <row r="203" spans="1:11" ht="24.75" customHeight="1" collapsed="1">
      <c r="A203" s="579"/>
      <c r="B203" s="1141" t="str">
        <f>B3</f>
        <v>A NÃO TEM MAIS POSTOS-11</v>
      </c>
      <c r="C203" s="949"/>
      <c r="D203" s="949"/>
      <c r="E203" s="950"/>
      <c r="F203" s="1131" t="e">
        <f>J195</f>
        <v>#REF!</v>
      </c>
      <c r="G203" s="950"/>
      <c r="H203" s="875">
        <f>I17</f>
        <v>0</v>
      </c>
      <c r="I203" s="1140" t="e">
        <f t="shared" si="7"/>
        <v>#REF!</v>
      </c>
      <c r="J203" s="950"/>
      <c r="K203" s="779"/>
    </row>
    <row r="204" spans="1:11" ht="24.75" hidden="1" customHeight="1" outlineLevel="1">
      <c r="A204" s="579"/>
      <c r="B204" s="1051" t="s">
        <v>567</v>
      </c>
      <c r="C204" s="949"/>
      <c r="D204" s="949"/>
      <c r="E204" s="950"/>
      <c r="F204" s="1131">
        <v>0</v>
      </c>
      <c r="G204" s="950"/>
      <c r="H204" s="875">
        <f t="shared" ref="H204:I204" si="8">E204*G204</f>
        <v>0</v>
      </c>
      <c r="I204" s="1140">
        <f t="shared" si="8"/>
        <v>0</v>
      </c>
      <c r="J204" s="950"/>
      <c r="K204" s="779"/>
    </row>
    <row r="205" spans="1:11" ht="24.75" hidden="1" customHeight="1" outlineLevel="1">
      <c r="A205" s="579"/>
      <c r="B205" s="1051" t="s">
        <v>568</v>
      </c>
      <c r="C205" s="949"/>
      <c r="D205" s="949"/>
      <c r="E205" s="950"/>
      <c r="F205" s="1131">
        <v>0</v>
      </c>
      <c r="G205" s="950"/>
      <c r="H205" s="875">
        <f t="shared" ref="H205:I205" si="9">E205*G205</f>
        <v>0</v>
      </c>
      <c r="I205" s="1140">
        <f t="shared" si="9"/>
        <v>0</v>
      </c>
      <c r="J205" s="950"/>
      <c r="K205" s="779"/>
    </row>
    <row r="206" spans="1:11" ht="11.25" hidden="1" customHeight="1" outlineLevel="1">
      <c r="A206" s="579"/>
      <c r="B206" s="1142" t="s">
        <v>797</v>
      </c>
      <c r="C206" s="949"/>
      <c r="D206" s="949"/>
      <c r="E206" s="950"/>
      <c r="F206" s="1140">
        <v>0</v>
      </c>
      <c r="G206" s="950"/>
      <c r="H206" s="875">
        <f t="shared" ref="H206:I206" si="10">E206*G206</f>
        <v>0</v>
      </c>
      <c r="I206" s="1140">
        <f t="shared" si="10"/>
        <v>0</v>
      </c>
      <c r="J206" s="950"/>
      <c r="K206" s="779"/>
    </row>
    <row r="207" spans="1:11" ht="19.5" customHeight="1" collapsed="1">
      <c r="A207" s="579"/>
      <c r="B207" s="1143" t="s">
        <v>570</v>
      </c>
      <c r="C207" s="949"/>
      <c r="D207" s="949"/>
      <c r="E207" s="949"/>
      <c r="F207" s="949"/>
      <c r="G207" s="950"/>
      <c r="H207" s="906">
        <f>SUM(H201:H206)</f>
        <v>0</v>
      </c>
      <c r="I207" s="1176" t="e">
        <f>SUM(I201:J206)</f>
        <v>#REF!</v>
      </c>
      <c r="J207" s="950"/>
      <c r="K207" s="786"/>
    </row>
    <row r="208" spans="1:11" ht="9" customHeight="1">
      <c r="A208" s="579"/>
      <c r="B208" s="1144"/>
      <c r="C208" s="1145"/>
      <c r="D208" s="1145"/>
      <c r="E208" s="1145"/>
      <c r="F208" s="1145"/>
      <c r="G208" s="1145"/>
      <c r="H208" s="1145"/>
      <c r="I208" s="1145"/>
      <c r="J208" s="1146"/>
      <c r="K208" s="715"/>
    </row>
    <row r="209" spans="1:11" ht="15" customHeight="1">
      <c r="A209" s="579"/>
      <c r="B209" s="1147" t="s">
        <v>571</v>
      </c>
      <c r="C209" s="1037"/>
      <c r="D209" s="1037"/>
      <c r="E209" s="1037"/>
      <c r="F209" s="1037"/>
      <c r="G209" s="1037"/>
      <c r="H209" s="1037"/>
      <c r="I209" s="1037"/>
      <c r="J209" s="1038"/>
      <c r="K209" s="596"/>
    </row>
    <row r="210" spans="1:11" ht="6" customHeight="1">
      <c r="A210" s="579"/>
      <c r="B210" s="1148"/>
      <c r="C210" s="949"/>
      <c r="D210" s="949"/>
      <c r="E210" s="949"/>
      <c r="F210" s="949"/>
      <c r="G210" s="949"/>
      <c r="H210" s="949"/>
      <c r="I210" s="949"/>
      <c r="J210" s="950"/>
      <c r="K210" s="787"/>
    </row>
    <row r="211" spans="1:11" ht="26.25" customHeight="1">
      <c r="A211" s="579"/>
      <c r="B211" s="1072" t="s">
        <v>572</v>
      </c>
      <c r="C211" s="949"/>
      <c r="D211" s="949"/>
      <c r="E211" s="949"/>
      <c r="F211" s="949"/>
      <c r="G211" s="950"/>
      <c r="H211" s="1149" t="e">
        <f>$I$207</f>
        <v>#REF!</v>
      </c>
      <c r="I211" s="949"/>
      <c r="J211" s="950"/>
      <c r="K211" s="788"/>
    </row>
    <row r="212" spans="1:11" ht="10.5" customHeight="1">
      <c r="A212" s="579"/>
      <c r="B212" s="1135"/>
      <c r="C212" s="954"/>
      <c r="D212" s="954"/>
      <c r="E212" s="954"/>
      <c r="F212" s="954"/>
      <c r="G212" s="954"/>
      <c r="H212" s="954"/>
      <c r="I212" s="954"/>
      <c r="J212" s="1136"/>
      <c r="K212" s="789"/>
    </row>
    <row r="213" spans="1:11" ht="25.5" customHeight="1">
      <c r="A213" s="579"/>
      <c r="B213" s="1072" t="s">
        <v>573</v>
      </c>
      <c r="C213" s="949"/>
      <c r="D213" s="949"/>
      <c r="E213" s="949"/>
      <c r="F213" s="949"/>
      <c r="G213" s="950"/>
      <c r="H213" s="1073">
        <f>$I$11</f>
        <v>30</v>
      </c>
      <c r="I213" s="949"/>
      <c r="J213" s="950"/>
      <c r="K213" s="790"/>
    </row>
    <row r="214" spans="1:11" ht="10.5" customHeight="1">
      <c r="A214" s="579"/>
      <c r="B214" s="1137"/>
      <c r="C214" s="949"/>
      <c r="D214" s="949"/>
      <c r="E214" s="949"/>
      <c r="F214" s="949"/>
      <c r="G214" s="949"/>
      <c r="H214" s="949"/>
      <c r="I214" s="949"/>
      <c r="J214" s="950"/>
      <c r="K214" s="791"/>
    </row>
    <row r="215" spans="1:11" ht="38.25" customHeight="1">
      <c r="A215" s="579"/>
      <c r="B215" s="1072" t="s">
        <v>798</v>
      </c>
      <c r="C215" s="949"/>
      <c r="D215" s="949"/>
      <c r="E215" s="949"/>
      <c r="F215" s="949"/>
      <c r="G215" s="950"/>
      <c r="H215" s="1138" t="e">
        <f>ROUND(H211*H213,2)</f>
        <v>#REF!</v>
      </c>
      <c r="I215" s="949"/>
      <c r="J215" s="950"/>
      <c r="K215" s="792"/>
    </row>
    <row r="216" spans="1:11" ht="9" customHeight="1">
      <c r="A216" s="579"/>
      <c r="B216" s="1139"/>
      <c r="C216" s="949"/>
      <c r="D216" s="949"/>
      <c r="E216" s="949"/>
      <c r="F216" s="949"/>
      <c r="G216" s="949"/>
      <c r="H216" s="949"/>
      <c r="I216" s="949"/>
      <c r="J216" s="950"/>
      <c r="K216" s="587"/>
    </row>
    <row r="217" spans="1:11" ht="11.25" customHeight="1">
      <c r="A217" s="579"/>
      <c r="B217" s="579"/>
      <c r="C217" s="579"/>
      <c r="D217" s="579"/>
      <c r="E217" s="579"/>
      <c r="F217" s="579"/>
      <c r="G217" s="579"/>
      <c r="H217" s="579"/>
      <c r="I217" s="579"/>
      <c r="J217" s="579"/>
      <c r="K217" s="579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1">
    <mergeCell ref="I206:J206"/>
    <mergeCell ref="I207:J207"/>
    <mergeCell ref="B202:E202"/>
    <mergeCell ref="F202:G202"/>
    <mergeCell ref="I202:J202"/>
    <mergeCell ref="B203:E203"/>
    <mergeCell ref="F203:G203"/>
    <mergeCell ref="B204:E204"/>
    <mergeCell ref="F204:G204"/>
    <mergeCell ref="B207:G207"/>
    <mergeCell ref="B200:E200"/>
    <mergeCell ref="F200:G200"/>
    <mergeCell ref="I200:J200"/>
    <mergeCell ref="B201:E201"/>
    <mergeCell ref="F201:G201"/>
    <mergeCell ref="I201:J201"/>
    <mergeCell ref="I203:J203"/>
    <mergeCell ref="I204:J204"/>
    <mergeCell ref="I205:J205"/>
    <mergeCell ref="C190:I190"/>
    <mergeCell ref="C191:I191"/>
    <mergeCell ref="C192:I192"/>
    <mergeCell ref="B193:I193"/>
    <mergeCell ref="C194:I194"/>
    <mergeCell ref="B195:I195"/>
    <mergeCell ref="B196:J196"/>
    <mergeCell ref="B197:J197"/>
    <mergeCell ref="B199:J199"/>
    <mergeCell ref="B208:J208"/>
    <mergeCell ref="B209:J209"/>
    <mergeCell ref="B215:G215"/>
    <mergeCell ref="H215:J215"/>
    <mergeCell ref="B216:J216"/>
    <mergeCell ref="B210:J210"/>
    <mergeCell ref="B211:G211"/>
    <mergeCell ref="H211:J211"/>
    <mergeCell ref="B212:J212"/>
    <mergeCell ref="B213:G213"/>
    <mergeCell ref="H213:J213"/>
    <mergeCell ref="B214:J214"/>
    <mergeCell ref="B205:E205"/>
    <mergeCell ref="F205:G205"/>
    <mergeCell ref="B206:E206"/>
    <mergeCell ref="F206:G206"/>
    <mergeCell ref="C171:H171"/>
    <mergeCell ref="C172:H172"/>
    <mergeCell ref="C173:H173"/>
    <mergeCell ref="C174:H174"/>
    <mergeCell ref="C175:H175"/>
    <mergeCell ref="C176:H176"/>
    <mergeCell ref="B177:I177"/>
    <mergeCell ref="B178:J178"/>
    <mergeCell ref="B179:H179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88:I188"/>
    <mergeCell ref="C189:I189"/>
    <mergeCell ref="B76:J76"/>
    <mergeCell ref="C120:I120"/>
    <mergeCell ref="C121:I121"/>
    <mergeCell ref="C122:I122"/>
    <mergeCell ref="C123:H123"/>
    <mergeCell ref="B124:I124"/>
    <mergeCell ref="B125:J125"/>
    <mergeCell ref="B126:J126"/>
    <mergeCell ref="B127:J127"/>
    <mergeCell ref="B115:I115"/>
    <mergeCell ref="B116:J116"/>
    <mergeCell ref="B117:J117"/>
    <mergeCell ref="C118:I118"/>
    <mergeCell ref="C119:I119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C114:I114"/>
    <mergeCell ref="C97:I97"/>
    <mergeCell ref="B67:J67"/>
    <mergeCell ref="B68:J68"/>
    <mergeCell ref="C69:I69"/>
    <mergeCell ref="C70:H70"/>
    <mergeCell ref="C71:H71"/>
    <mergeCell ref="B72:I72"/>
    <mergeCell ref="B73:J73"/>
    <mergeCell ref="B74:J74"/>
    <mergeCell ref="B75:J75"/>
    <mergeCell ref="B58:I58"/>
    <mergeCell ref="C59:I59"/>
    <mergeCell ref="C60:I60"/>
    <mergeCell ref="B61:I61"/>
    <mergeCell ref="B62:J62"/>
    <mergeCell ref="B63:I63"/>
    <mergeCell ref="B64:J64"/>
    <mergeCell ref="B65:J65"/>
    <mergeCell ref="B66:J66"/>
    <mergeCell ref="C50:F50"/>
    <mergeCell ref="G50:H50"/>
    <mergeCell ref="C51:E51"/>
    <mergeCell ref="C52:I52"/>
    <mergeCell ref="C53:I53"/>
    <mergeCell ref="C54:E54"/>
    <mergeCell ref="C55:E55"/>
    <mergeCell ref="C56:I56"/>
    <mergeCell ref="C57:I57"/>
    <mergeCell ref="B42:J42"/>
    <mergeCell ref="B43:J43"/>
    <mergeCell ref="B44:J44"/>
    <mergeCell ref="B45:J45"/>
    <mergeCell ref="C46:H46"/>
    <mergeCell ref="C47:F47"/>
    <mergeCell ref="C48:E48"/>
    <mergeCell ref="F48:H48"/>
    <mergeCell ref="C49:H49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C33:F33"/>
    <mergeCell ref="C34:F34"/>
    <mergeCell ref="G34:H34"/>
    <mergeCell ref="I34:J34"/>
    <mergeCell ref="C35:F35"/>
    <mergeCell ref="G35:H35"/>
    <mergeCell ref="I35:J35"/>
    <mergeCell ref="C36:H36"/>
    <mergeCell ref="I36:J36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B163:H163"/>
    <mergeCell ref="C168:H168"/>
    <mergeCell ref="C169:H169"/>
    <mergeCell ref="C170:H170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B158:J158"/>
    <mergeCell ref="B157:I157"/>
    <mergeCell ref="C164:H164"/>
    <mergeCell ref="B165:H165"/>
    <mergeCell ref="C166:H166"/>
    <mergeCell ref="B167:H167"/>
    <mergeCell ref="B128:J128"/>
    <mergeCell ref="B130:J130"/>
    <mergeCell ref="B131:J131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B141:J141"/>
    <mergeCell ref="C142:I142"/>
    <mergeCell ref="C143:I143"/>
    <mergeCell ref="B159:J159"/>
    <mergeCell ref="B161:J161"/>
    <mergeCell ref="C162:H162"/>
    <mergeCell ref="C77:H77"/>
    <mergeCell ref="C78:H78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B89:J89"/>
    <mergeCell ref="B90:J90"/>
    <mergeCell ref="C91:I91"/>
    <mergeCell ref="C92:H92"/>
    <mergeCell ref="C93:H93"/>
    <mergeCell ref="C94:H94"/>
    <mergeCell ref="C95:H95"/>
    <mergeCell ref="C96:H96"/>
    <mergeCell ref="C149:I149"/>
    <mergeCell ref="B150:I150"/>
    <mergeCell ref="B151:J151"/>
    <mergeCell ref="B152:J152"/>
    <mergeCell ref="C153:I153"/>
    <mergeCell ref="C154:I154"/>
    <mergeCell ref="C155:I155"/>
    <mergeCell ref="C156:I156"/>
    <mergeCell ref="C98:H98"/>
    <mergeCell ref="C99:H99"/>
    <mergeCell ref="C100:H100"/>
    <mergeCell ref="C101:I101"/>
    <mergeCell ref="C102:I102"/>
    <mergeCell ref="C103:I103"/>
    <mergeCell ref="C104:I104"/>
    <mergeCell ref="C105:I105"/>
    <mergeCell ref="B144:I144"/>
    <mergeCell ref="B145:J145"/>
    <mergeCell ref="B146:J146"/>
    <mergeCell ref="C147:I147"/>
    <mergeCell ref="C148:I148"/>
  </mergeCells>
  <conditionalFormatting sqref="I49:I50">
    <cfRule type="cellIs" dxfId="17" priority="1" operator="equal">
      <formula>0</formula>
    </cfRule>
  </conditionalFormatting>
  <conditionalFormatting sqref="I48">
    <cfRule type="cellIs" dxfId="16" priority="2" operator="equal">
      <formula>0</formula>
    </cfRule>
  </conditionalFormatting>
  <pageMargins left="0.511811024" right="0.511811024" top="0.78740157499999996" bottom="0.78740157499999996" header="0" footer="0"/>
  <pageSetup orientation="landscape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K1000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7" width="13.7109375" customWidth="1"/>
    <col min="8" max="8" width="14.42578125" customWidth="1"/>
    <col min="9" max="9" width="11.28515625" customWidth="1"/>
    <col min="10" max="10" width="17.28515625" customWidth="1"/>
    <col min="11" max="11" width="1.42578125" customWidth="1"/>
  </cols>
  <sheetData>
    <row r="1" spans="1:11" ht="11.25" customHeight="1">
      <c r="A1" s="579"/>
      <c r="B1" s="579"/>
      <c r="C1" s="579"/>
      <c r="D1" s="579"/>
      <c r="E1" s="579"/>
      <c r="F1" s="579"/>
      <c r="G1" s="579"/>
      <c r="H1" s="579"/>
      <c r="I1" s="579"/>
      <c r="J1" s="904"/>
      <c r="K1" s="579"/>
    </row>
    <row r="2" spans="1:11" ht="18" customHeight="1">
      <c r="A2" s="579"/>
      <c r="B2" s="1066" t="str">
        <f>'1-ABA-DE-CARREGAMENTO'!C11</f>
        <v xml:space="preserve"> S E R V I Ç O S     -    INTERPRETE DE LIBRAS e SINAIS </v>
      </c>
      <c r="C2" s="1054"/>
      <c r="D2" s="1054"/>
      <c r="E2" s="1054"/>
      <c r="F2" s="1054"/>
      <c r="G2" s="1054"/>
      <c r="H2" s="1054"/>
      <c r="I2" s="1054"/>
      <c r="J2" s="1055"/>
      <c r="K2" s="583"/>
    </row>
    <row r="3" spans="1:11" ht="27" customHeight="1">
      <c r="A3" s="579"/>
      <c r="B3" s="1067" t="str">
        <f>'1-ABA-DE-CARREGAMENTO'!G33</f>
        <v>A NÃO TEM MAIS POSTOS-22</v>
      </c>
      <c r="C3" s="1037"/>
      <c r="D3" s="1037"/>
      <c r="E3" s="1037"/>
      <c r="F3" s="1037"/>
      <c r="G3" s="1037"/>
      <c r="H3" s="1037"/>
      <c r="I3" s="1037"/>
      <c r="J3" s="1038"/>
      <c r="K3" s="584"/>
    </row>
    <row r="4" spans="1:11" ht="11.25" customHeight="1">
      <c r="A4" s="579"/>
      <c r="B4" s="1060" t="s">
        <v>366</v>
      </c>
      <c r="C4" s="1037"/>
      <c r="D4" s="1037"/>
      <c r="E4" s="1037"/>
      <c r="F4" s="1038"/>
      <c r="G4" s="1068">
        <f>'1-ABA-DE-CARREGAMENTO'!C12</f>
        <v>0</v>
      </c>
      <c r="H4" s="1037"/>
      <c r="I4" s="1037"/>
      <c r="J4" s="1038"/>
      <c r="K4" s="585"/>
    </row>
    <row r="5" spans="1:11" ht="11.25" customHeight="1">
      <c r="A5" s="579"/>
      <c r="B5" s="1051" t="s">
        <v>367</v>
      </c>
      <c r="C5" s="949"/>
      <c r="D5" s="949"/>
      <c r="E5" s="949"/>
      <c r="F5" s="950"/>
      <c r="G5" s="1069">
        <f>'1-ABA-DE-CARREGAMENTO'!C13</f>
        <v>0</v>
      </c>
      <c r="H5" s="949"/>
      <c r="I5" s="949"/>
      <c r="J5" s="950"/>
      <c r="K5" s="585"/>
    </row>
    <row r="6" spans="1:11" ht="11.25" customHeight="1">
      <c r="A6" s="579"/>
      <c r="B6" s="1070">
        <f>'1-ABA-DE-CARREGAMENTO'!C16</f>
        <v>0</v>
      </c>
      <c r="C6" s="949"/>
      <c r="D6" s="949"/>
      <c r="E6" s="949"/>
      <c r="F6" s="949"/>
      <c r="G6" s="949"/>
      <c r="H6" s="949"/>
      <c r="I6" s="949"/>
      <c r="J6" s="950"/>
      <c r="K6" s="587"/>
    </row>
    <row r="7" spans="1:11" ht="15.75" customHeight="1">
      <c r="A7" s="579"/>
      <c r="B7" s="1050" t="s">
        <v>368</v>
      </c>
      <c r="C7" s="949"/>
      <c r="D7" s="949"/>
      <c r="E7" s="949"/>
      <c r="F7" s="949"/>
      <c r="G7" s="949"/>
      <c r="H7" s="949"/>
      <c r="I7" s="949"/>
      <c r="J7" s="950"/>
      <c r="K7" s="588"/>
    </row>
    <row r="8" spans="1:11" ht="15.75" customHeight="1">
      <c r="A8" s="579"/>
      <c r="B8" s="589" t="s">
        <v>369</v>
      </c>
      <c r="C8" s="1051" t="s">
        <v>370</v>
      </c>
      <c r="D8" s="949"/>
      <c r="E8" s="949"/>
      <c r="F8" s="949"/>
      <c r="G8" s="949"/>
      <c r="H8" s="950"/>
      <c r="I8" s="1071">
        <f>'1-ABA-DE-CARREGAMENTO'!C16</f>
        <v>0</v>
      </c>
      <c r="J8" s="950"/>
      <c r="K8" s="590"/>
    </row>
    <row r="9" spans="1:11" ht="15.75" customHeight="1">
      <c r="A9" s="579"/>
      <c r="B9" s="589" t="s">
        <v>371</v>
      </c>
      <c r="C9" s="1051" t="s">
        <v>372</v>
      </c>
      <c r="D9" s="949"/>
      <c r="E9" s="949"/>
      <c r="F9" s="949"/>
      <c r="G9" s="949"/>
      <c r="H9" s="950"/>
      <c r="I9" s="1069" t="str">
        <f>'1-ABA-DE-CARREGAMENTO'!C14</f>
        <v xml:space="preserve">SANTO-AUGUSTO </v>
      </c>
      <c r="J9" s="950"/>
      <c r="K9" s="585"/>
    </row>
    <row r="10" spans="1:11" ht="15.75" customHeight="1">
      <c r="A10" s="579"/>
      <c r="B10" s="589" t="s">
        <v>373</v>
      </c>
      <c r="C10" s="1051" t="s">
        <v>374</v>
      </c>
      <c r="D10" s="949"/>
      <c r="E10" s="949"/>
      <c r="F10" s="949"/>
      <c r="G10" s="949"/>
      <c r="H10" s="950"/>
      <c r="I10" s="1069" t="str">
        <f>'1-ABA-DE-CARREGAMENTO'!G35</f>
        <v>RS005021/2021</v>
      </c>
      <c r="J10" s="950"/>
      <c r="K10" s="585"/>
    </row>
    <row r="11" spans="1:11" ht="15.75" customHeight="1">
      <c r="A11" s="579"/>
      <c r="B11" s="589" t="s">
        <v>375</v>
      </c>
      <c r="C11" s="1051" t="s">
        <v>376</v>
      </c>
      <c r="D11" s="949"/>
      <c r="E11" s="949"/>
      <c r="F11" s="949"/>
      <c r="G11" s="949"/>
      <c r="H11" s="950"/>
      <c r="I11" s="1175">
        <f>'1-ABA-DE-CARREGAMENTO'!G94</f>
        <v>30</v>
      </c>
      <c r="J11" s="950"/>
      <c r="K11" s="585"/>
    </row>
    <row r="12" spans="1:11" ht="15.75" customHeight="1">
      <c r="A12" s="579"/>
      <c r="B12" s="1074" t="s">
        <v>377</v>
      </c>
      <c r="C12" s="949"/>
      <c r="D12" s="949"/>
      <c r="E12" s="949"/>
      <c r="F12" s="949"/>
      <c r="G12" s="949"/>
      <c r="H12" s="949"/>
      <c r="I12" s="949"/>
      <c r="J12" s="950"/>
      <c r="K12" s="592"/>
    </row>
    <row r="13" spans="1:11" ht="24.75" customHeight="1">
      <c r="A13" s="579"/>
      <c r="B13" s="1075" t="str">
        <f>'1-ABA-DE-CARREGAMENTO'!C11</f>
        <v xml:space="preserve"> S E R V I Ç O S     -    INTERPRETE DE LIBRAS e SINAIS </v>
      </c>
      <c r="C13" s="949"/>
      <c r="D13" s="949"/>
      <c r="E13" s="949"/>
      <c r="F13" s="949"/>
      <c r="G13" s="1075" t="s">
        <v>378</v>
      </c>
      <c r="H13" s="950"/>
      <c r="I13" s="1075" t="s">
        <v>379</v>
      </c>
      <c r="J13" s="950"/>
      <c r="K13" s="593"/>
    </row>
    <row r="14" spans="1:11" ht="11.25" hidden="1" customHeight="1" outlineLevel="1">
      <c r="A14" s="579"/>
      <c r="B14" s="1040" t="s">
        <v>380</v>
      </c>
      <c r="C14" s="949"/>
      <c r="D14" s="949"/>
      <c r="E14" s="949"/>
      <c r="F14" s="950"/>
      <c r="G14" s="1041" t="s">
        <v>381</v>
      </c>
      <c r="H14" s="950"/>
      <c r="I14" s="1042" t="s">
        <v>382</v>
      </c>
      <c r="J14" s="950"/>
      <c r="K14" s="594"/>
    </row>
    <row r="15" spans="1:11" ht="11.25" hidden="1" customHeight="1" outlineLevel="1">
      <c r="A15" s="579"/>
      <c r="B15" s="1040" t="s">
        <v>383</v>
      </c>
      <c r="C15" s="949"/>
      <c r="D15" s="949"/>
      <c r="E15" s="949"/>
      <c r="F15" s="950"/>
      <c r="G15" s="1041" t="s">
        <v>381</v>
      </c>
      <c r="H15" s="950"/>
      <c r="I15" s="1042" t="s">
        <v>382</v>
      </c>
      <c r="J15" s="950"/>
      <c r="K15" s="594"/>
    </row>
    <row r="16" spans="1:11" ht="11.25" hidden="1" customHeight="1" outlineLevel="1">
      <c r="A16" s="579"/>
      <c r="B16" s="1040" t="s">
        <v>384</v>
      </c>
      <c r="C16" s="949"/>
      <c r="D16" s="949"/>
      <c r="E16" s="949"/>
      <c r="F16" s="950"/>
      <c r="G16" s="1041" t="s">
        <v>381</v>
      </c>
      <c r="H16" s="950"/>
      <c r="I16" s="1042" t="s">
        <v>382</v>
      </c>
      <c r="J16" s="950"/>
      <c r="K16" s="594"/>
    </row>
    <row r="17" spans="1:11" ht="20.25" customHeight="1" collapsed="1">
      <c r="A17" s="579"/>
      <c r="B17" s="1040" t="str">
        <f>B3</f>
        <v>A NÃO TEM MAIS POSTOS-22</v>
      </c>
      <c r="C17" s="949"/>
      <c r="D17" s="949"/>
      <c r="E17" s="949"/>
      <c r="F17" s="950"/>
      <c r="G17" s="1041" t="s">
        <v>381</v>
      </c>
      <c r="H17" s="950"/>
      <c r="I17" s="1042">
        <f>'1-ABA-DE-CARREGAMENTO'!G92</f>
        <v>0</v>
      </c>
      <c r="J17" s="950"/>
      <c r="K17" s="594"/>
    </row>
    <row r="18" spans="1:11" ht="11.25" hidden="1" customHeight="1" outlineLevel="1">
      <c r="A18" s="579"/>
      <c r="B18" s="1040" t="s">
        <v>385</v>
      </c>
      <c r="C18" s="949"/>
      <c r="D18" s="949"/>
      <c r="E18" s="949"/>
      <c r="F18" s="950"/>
      <c r="G18" s="1041" t="s">
        <v>381</v>
      </c>
      <c r="H18" s="950"/>
      <c r="I18" s="1042" t="s">
        <v>382</v>
      </c>
      <c r="J18" s="950"/>
      <c r="K18" s="594"/>
    </row>
    <row r="19" spans="1:11" ht="11.25" hidden="1" customHeight="1" outlineLevel="1">
      <c r="A19" s="579"/>
      <c r="B19" s="1040" t="s">
        <v>799</v>
      </c>
      <c r="C19" s="949"/>
      <c r="D19" s="949"/>
      <c r="E19" s="949"/>
      <c r="F19" s="950"/>
      <c r="G19" s="1041" t="s">
        <v>381</v>
      </c>
      <c r="H19" s="950"/>
      <c r="I19" s="1042" t="s">
        <v>382</v>
      </c>
      <c r="J19" s="950"/>
      <c r="K19" s="594"/>
    </row>
    <row r="20" spans="1:11" ht="11.25" customHeight="1" collapsed="1">
      <c r="A20" s="579"/>
      <c r="B20" s="1044" t="s">
        <v>387</v>
      </c>
      <c r="C20" s="949"/>
      <c r="D20" s="949"/>
      <c r="E20" s="949"/>
      <c r="F20" s="949"/>
      <c r="G20" s="949"/>
      <c r="H20" s="950"/>
      <c r="I20" s="1043">
        <f>SUM(I14:I19)</f>
        <v>0</v>
      </c>
      <c r="J20" s="950"/>
      <c r="K20" s="595"/>
    </row>
    <row r="21" spans="1:11" ht="11.25" customHeight="1">
      <c r="A21" s="579"/>
      <c r="B21" s="1045"/>
      <c r="C21" s="949"/>
      <c r="D21" s="949"/>
      <c r="E21" s="949"/>
      <c r="F21" s="949"/>
      <c r="G21" s="949"/>
      <c r="H21" s="949"/>
      <c r="I21" s="949"/>
      <c r="J21" s="950"/>
      <c r="K21" s="593"/>
    </row>
    <row r="22" spans="1:11" ht="45.75" customHeight="1">
      <c r="A22" s="579"/>
      <c r="B22" s="1046" t="s">
        <v>388</v>
      </c>
      <c r="C22" s="949"/>
      <c r="D22" s="949"/>
      <c r="E22" s="949"/>
      <c r="F22" s="949"/>
      <c r="G22" s="949"/>
      <c r="H22" s="949"/>
      <c r="I22" s="949"/>
      <c r="J22" s="950"/>
      <c r="K22" s="596"/>
    </row>
    <row r="23" spans="1:11" ht="11.25" customHeight="1">
      <c r="A23" s="579"/>
      <c r="B23" s="1047"/>
      <c r="C23" s="949"/>
      <c r="D23" s="949"/>
      <c r="E23" s="949"/>
      <c r="F23" s="949"/>
      <c r="G23" s="949"/>
      <c r="H23" s="949"/>
      <c r="I23" s="949"/>
      <c r="J23" s="950"/>
      <c r="K23" s="362"/>
    </row>
    <row r="24" spans="1:11" ht="51.75" customHeight="1">
      <c r="A24" s="579"/>
      <c r="B24" s="1048" t="s">
        <v>800</v>
      </c>
      <c r="C24" s="949"/>
      <c r="D24" s="949"/>
      <c r="E24" s="949"/>
      <c r="F24" s="949"/>
      <c r="G24" s="949"/>
      <c r="H24" s="949"/>
      <c r="I24" s="949"/>
      <c r="J24" s="950"/>
      <c r="K24" s="597"/>
    </row>
    <row r="25" spans="1:11" ht="15" customHeight="1">
      <c r="A25" s="579"/>
      <c r="B25" s="1049"/>
      <c r="C25" s="949"/>
      <c r="D25" s="949"/>
      <c r="E25" s="949"/>
      <c r="F25" s="949"/>
      <c r="G25" s="949"/>
      <c r="H25" s="949"/>
      <c r="I25" s="949"/>
      <c r="J25" s="950"/>
      <c r="K25" s="598"/>
    </row>
    <row r="26" spans="1:11" ht="18.75" customHeight="1">
      <c r="A26" s="593"/>
      <c r="B26" s="1050" t="s">
        <v>390</v>
      </c>
      <c r="C26" s="949"/>
      <c r="D26" s="949"/>
      <c r="E26" s="949"/>
      <c r="F26" s="949"/>
      <c r="G26" s="949"/>
      <c r="H26" s="949"/>
      <c r="I26" s="949"/>
      <c r="J26" s="950"/>
      <c r="K26" s="588"/>
    </row>
    <row r="27" spans="1:11" ht="26.25" customHeight="1">
      <c r="A27" s="579"/>
      <c r="B27" s="589">
        <v>1</v>
      </c>
      <c r="C27" s="1051" t="s">
        <v>391</v>
      </c>
      <c r="D27" s="949"/>
      <c r="E27" s="949"/>
      <c r="F27" s="949"/>
      <c r="G27" s="949"/>
      <c r="H27" s="950"/>
      <c r="I27" s="1052" t="str">
        <f>'1-ABA-DE-CARREGAMENTO'!G33</f>
        <v>A NÃO TEM MAIS POSTOS-22</v>
      </c>
      <c r="J27" s="950"/>
      <c r="K27" s="599"/>
    </row>
    <row r="28" spans="1:11" ht="21" customHeight="1">
      <c r="A28" s="579"/>
      <c r="B28" s="600">
        <v>2</v>
      </c>
      <c r="C28" s="1092" t="s">
        <v>392</v>
      </c>
      <c r="D28" s="949"/>
      <c r="E28" s="949"/>
      <c r="F28" s="949"/>
      <c r="G28" s="949"/>
      <c r="H28" s="950"/>
      <c r="I28" s="1056"/>
      <c r="J28" s="950"/>
      <c r="K28" s="601"/>
    </row>
    <row r="29" spans="1:11" ht="54" customHeight="1">
      <c r="A29" s="579"/>
      <c r="B29" s="589">
        <v>3</v>
      </c>
      <c r="C29" s="1057" t="s">
        <v>801</v>
      </c>
      <c r="D29" s="929"/>
      <c r="E29" s="907">
        <v>220</v>
      </c>
      <c r="F29" s="604">
        <f>'1-ABA-DE-CARREGAMENTO'!G37</f>
        <v>2461.8000000000002</v>
      </c>
      <c r="G29" s="586" t="s">
        <v>394</v>
      </c>
      <c r="H29" s="864">
        <f>'1-ABA-DE-CARREGAMENTO'!G52/I40</f>
        <v>220</v>
      </c>
      <c r="I29" s="1058">
        <f>F29/E29*H29</f>
        <v>2461.8000000000002</v>
      </c>
      <c r="J29" s="950"/>
      <c r="K29" s="606"/>
    </row>
    <row r="30" spans="1:11" ht="11.25" customHeight="1">
      <c r="A30" s="579"/>
      <c r="B30" s="589">
        <v>4</v>
      </c>
      <c r="C30" s="1051" t="s">
        <v>395</v>
      </c>
      <c r="D30" s="949"/>
      <c r="E30" s="949"/>
      <c r="F30" s="949"/>
      <c r="G30" s="949"/>
      <c r="H30" s="950"/>
      <c r="I30" s="1059"/>
      <c r="J30" s="950"/>
      <c r="K30" s="607"/>
    </row>
    <row r="31" spans="1:11" ht="11.25" customHeight="1">
      <c r="A31" s="579"/>
      <c r="B31" s="589">
        <v>5</v>
      </c>
      <c r="C31" s="1051" t="s">
        <v>396</v>
      </c>
      <c r="D31" s="949"/>
      <c r="E31" s="949"/>
      <c r="F31" s="949"/>
      <c r="G31" s="949"/>
      <c r="H31" s="950"/>
      <c r="I31" s="1061" t="str">
        <f>'1-ABA-DE-CARREGAMENTO'!G36</f>
        <v>01 de JANEIRO</v>
      </c>
      <c r="J31" s="950"/>
      <c r="K31" s="608"/>
    </row>
    <row r="32" spans="1:11" ht="12.75" customHeight="1">
      <c r="A32" s="579"/>
      <c r="B32" s="609">
        <v>6</v>
      </c>
      <c r="C32" s="1062" t="s">
        <v>802</v>
      </c>
      <c r="D32" s="949"/>
      <c r="E32" s="949"/>
      <c r="F32" s="949"/>
      <c r="G32" s="949"/>
      <c r="H32" s="950"/>
      <c r="I32" s="1063">
        <f>I29/H29</f>
        <v>11.190000000000001</v>
      </c>
      <c r="J32" s="950"/>
      <c r="K32" s="610"/>
    </row>
    <row r="33" spans="1:11" ht="42.75" customHeight="1">
      <c r="A33" s="579"/>
      <c r="B33" s="609">
        <v>7</v>
      </c>
      <c r="C33" s="1062" t="s">
        <v>803</v>
      </c>
      <c r="D33" s="949"/>
      <c r="E33" s="949"/>
      <c r="F33" s="950"/>
      <c r="G33" s="1064"/>
      <c r="H33" s="950"/>
      <c r="I33" s="1076">
        <f>(SUM(J47:J50)/H29)</f>
        <v>12.39</v>
      </c>
      <c r="J33" s="950"/>
      <c r="K33" s="610"/>
    </row>
    <row r="34" spans="1:11" ht="24.75" customHeight="1">
      <c r="A34" s="579"/>
      <c r="B34" s="609">
        <v>8</v>
      </c>
      <c r="C34" s="1062" t="s">
        <v>804</v>
      </c>
      <c r="D34" s="949"/>
      <c r="E34" s="949"/>
      <c r="F34" s="950"/>
      <c r="G34" s="1064"/>
      <c r="H34" s="950"/>
      <c r="I34" s="1063">
        <f t="shared" ref="I34:I35" si="0">I32*1.5</f>
        <v>16.785000000000004</v>
      </c>
      <c r="J34" s="950"/>
      <c r="K34" s="610"/>
    </row>
    <row r="35" spans="1:11" ht="24.75" customHeight="1">
      <c r="A35" s="579"/>
      <c r="B35" s="609">
        <v>9</v>
      </c>
      <c r="C35" s="1062" t="s">
        <v>805</v>
      </c>
      <c r="D35" s="949"/>
      <c r="E35" s="949"/>
      <c r="F35" s="950"/>
      <c r="G35" s="1064" t="s">
        <v>401</v>
      </c>
      <c r="H35" s="950"/>
      <c r="I35" s="1076">
        <f t="shared" si="0"/>
        <v>18.585000000000001</v>
      </c>
      <c r="J35" s="950"/>
      <c r="K35" s="611"/>
    </row>
    <row r="36" spans="1:11" ht="24.75" customHeight="1">
      <c r="A36" s="579"/>
      <c r="B36" s="609">
        <v>10</v>
      </c>
      <c r="C36" s="1062" t="s">
        <v>806</v>
      </c>
      <c r="D36" s="949"/>
      <c r="E36" s="949"/>
      <c r="F36" s="949"/>
      <c r="G36" s="949"/>
      <c r="H36" s="950"/>
      <c r="I36" s="1063">
        <f>I35*1.2</f>
        <v>22.302</v>
      </c>
      <c r="J36" s="950"/>
      <c r="K36" s="610"/>
    </row>
    <row r="37" spans="1:11" ht="24.75" customHeight="1">
      <c r="A37" s="579"/>
      <c r="B37" s="609">
        <v>11</v>
      </c>
      <c r="C37" s="1062" t="s">
        <v>807</v>
      </c>
      <c r="D37" s="949"/>
      <c r="E37" s="949"/>
      <c r="F37" s="949"/>
      <c r="G37" s="949"/>
      <c r="H37" s="950"/>
      <c r="I37" s="1076">
        <f>I35*2</f>
        <v>37.17</v>
      </c>
      <c r="J37" s="950"/>
      <c r="K37" s="610"/>
    </row>
    <row r="38" spans="1:11" ht="14.25" customHeight="1">
      <c r="A38" s="579"/>
      <c r="B38" s="609">
        <v>12</v>
      </c>
      <c r="C38" s="1062" t="s">
        <v>808</v>
      </c>
      <c r="D38" s="949"/>
      <c r="E38" s="949"/>
      <c r="F38" s="949"/>
      <c r="G38" s="949"/>
      <c r="H38" s="950"/>
      <c r="I38" s="1063">
        <f>I32*2.5</f>
        <v>27.975000000000001</v>
      </c>
      <c r="J38" s="950"/>
      <c r="K38" s="610"/>
    </row>
    <row r="39" spans="1:11" ht="14.25" customHeight="1">
      <c r="A39" s="579"/>
      <c r="B39" s="609">
        <v>13</v>
      </c>
      <c r="C39" s="1062" t="s">
        <v>405</v>
      </c>
      <c r="D39" s="949"/>
      <c r="E39" s="949"/>
      <c r="F39" s="949"/>
      <c r="G39" s="949"/>
      <c r="H39" s="950"/>
      <c r="I39" s="1077">
        <f>ROUND(I32/6,2)*1.3*0</f>
        <v>0</v>
      </c>
      <c r="J39" s="1055"/>
      <c r="K39" s="610"/>
    </row>
    <row r="40" spans="1:11" ht="13.5" customHeight="1">
      <c r="A40" s="579"/>
      <c r="B40" s="609">
        <v>14</v>
      </c>
      <c r="C40" s="1177" t="s">
        <v>406</v>
      </c>
      <c r="D40" s="929"/>
      <c r="E40" s="929"/>
      <c r="F40" s="929"/>
      <c r="G40" s="929"/>
      <c r="H40" s="1178"/>
      <c r="I40" s="1179">
        <f>'1-ABA-DE-CARREGAMENTO'!G93</f>
        <v>1</v>
      </c>
      <c r="J40" s="930"/>
      <c r="K40" s="614"/>
    </row>
    <row r="41" spans="1:11" ht="11.25" customHeight="1">
      <c r="A41" s="579"/>
      <c r="B41" s="609">
        <v>15</v>
      </c>
      <c r="C41" s="1164" t="s">
        <v>687</v>
      </c>
      <c r="D41" s="949"/>
      <c r="E41" s="949"/>
      <c r="F41" s="949"/>
      <c r="G41" s="949"/>
      <c r="H41" s="950"/>
      <c r="I41" s="1165">
        <f>'1-ABA-DE-CARREGAMENTO'!E42</f>
        <v>1320</v>
      </c>
      <c r="J41" s="950"/>
      <c r="K41" s="616"/>
    </row>
    <row r="42" spans="1:11" ht="11.25" customHeight="1">
      <c r="A42" s="579"/>
      <c r="B42" s="1047"/>
      <c r="C42" s="949"/>
      <c r="D42" s="949"/>
      <c r="E42" s="949"/>
      <c r="F42" s="949"/>
      <c r="G42" s="949"/>
      <c r="H42" s="949"/>
      <c r="I42" s="949"/>
      <c r="J42" s="950"/>
      <c r="K42" s="362"/>
    </row>
    <row r="43" spans="1:11" ht="24.75" customHeight="1">
      <c r="A43" s="579"/>
      <c r="B43" s="1086" t="s">
        <v>408</v>
      </c>
      <c r="C43" s="949"/>
      <c r="D43" s="949"/>
      <c r="E43" s="949"/>
      <c r="F43" s="949"/>
      <c r="G43" s="949"/>
      <c r="H43" s="949"/>
      <c r="I43" s="949"/>
      <c r="J43" s="950"/>
      <c r="K43" s="617"/>
    </row>
    <row r="44" spans="1:11" ht="14.25" customHeight="1">
      <c r="A44" s="579"/>
      <c r="B44" s="1087"/>
      <c r="C44" s="949"/>
      <c r="D44" s="949"/>
      <c r="E44" s="949"/>
      <c r="F44" s="949"/>
      <c r="G44" s="949"/>
      <c r="H44" s="949"/>
      <c r="I44" s="949"/>
      <c r="J44" s="950"/>
      <c r="K44" s="618"/>
    </row>
    <row r="45" spans="1:11" ht="18" customHeight="1">
      <c r="A45" s="579"/>
      <c r="B45" s="1088" t="s">
        <v>409</v>
      </c>
      <c r="C45" s="949"/>
      <c r="D45" s="949"/>
      <c r="E45" s="949"/>
      <c r="F45" s="949"/>
      <c r="G45" s="949"/>
      <c r="H45" s="949"/>
      <c r="I45" s="949"/>
      <c r="J45" s="950"/>
      <c r="K45" s="620"/>
    </row>
    <row r="46" spans="1:11" ht="15" customHeight="1">
      <c r="A46" s="621"/>
      <c r="B46" s="622">
        <v>1</v>
      </c>
      <c r="C46" s="1089" t="s">
        <v>410</v>
      </c>
      <c r="D46" s="949"/>
      <c r="E46" s="949"/>
      <c r="F46" s="949"/>
      <c r="G46" s="949"/>
      <c r="H46" s="950"/>
      <c r="I46" s="623" t="s">
        <v>411</v>
      </c>
      <c r="J46" s="622" t="s">
        <v>412</v>
      </c>
      <c r="K46" s="592"/>
    </row>
    <row r="47" spans="1:11" ht="12.75" customHeight="1">
      <c r="A47" s="579"/>
      <c r="B47" s="589" t="s">
        <v>369</v>
      </c>
      <c r="C47" s="1051" t="s">
        <v>413</v>
      </c>
      <c r="D47" s="949"/>
      <c r="E47" s="949"/>
      <c r="F47" s="950"/>
      <c r="G47" s="624" t="s">
        <v>184</v>
      </c>
      <c r="H47" s="625">
        <f>'1-ABA-DE-CARREGAMENTO'!G52</f>
        <v>220</v>
      </c>
      <c r="I47" s="624"/>
      <c r="J47" s="627">
        <f>I29*I40</f>
        <v>2461.8000000000002</v>
      </c>
      <c r="K47" s="628"/>
    </row>
    <row r="48" spans="1:11" ht="11.25" customHeight="1">
      <c r="A48" s="579"/>
      <c r="B48" s="589" t="s">
        <v>371</v>
      </c>
      <c r="C48" s="1051" t="s">
        <v>688</v>
      </c>
      <c r="D48" s="949"/>
      <c r="E48" s="949"/>
      <c r="F48" s="1090" t="str">
        <f>'1-ABA-DE-CARREGAMENTO'!G38</f>
        <v>SEM ADICIONAL DE FUNÇÃO</v>
      </c>
      <c r="G48" s="949"/>
      <c r="H48" s="950"/>
      <c r="I48" s="867">
        <f>'1-ABA-DE-CARREGAMENTO'!G39</f>
        <v>0</v>
      </c>
      <c r="J48" s="627">
        <f>J47*I48</f>
        <v>0</v>
      </c>
      <c r="K48" s="628"/>
    </row>
    <row r="49" spans="1:11" ht="30" customHeight="1">
      <c r="A49" s="579"/>
      <c r="B49" s="589" t="s">
        <v>373</v>
      </c>
      <c r="C49" s="1051" t="s">
        <v>809</v>
      </c>
      <c r="D49" s="949"/>
      <c r="E49" s="949"/>
      <c r="F49" s="949"/>
      <c r="G49" s="949"/>
      <c r="H49" s="950"/>
      <c r="I49" s="756">
        <f>'1-ABA-DE-CARREGAMENTO'!G44</f>
        <v>0</v>
      </c>
      <c r="J49" s="627">
        <f>ROUND(J47*I49,2)</f>
        <v>0</v>
      </c>
      <c r="K49" s="628"/>
    </row>
    <row r="50" spans="1:11" ht="14.25" customHeight="1">
      <c r="A50" s="579"/>
      <c r="B50" s="589" t="s">
        <v>375</v>
      </c>
      <c r="C50" s="1051" t="s">
        <v>810</v>
      </c>
      <c r="D50" s="949"/>
      <c r="E50" s="949"/>
      <c r="F50" s="949"/>
      <c r="G50" s="1090" t="str">
        <f>'1-ABA-DE-CARREGAMENTO'!G40</f>
        <v>INSALUB S/MIN. NACION.</v>
      </c>
      <c r="H50" s="950"/>
      <c r="I50" s="869">
        <f>'1-ABA-DE-CARREGAMENTO'!G41</f>
        <v>0.2</v>
      </c>
      <c r="J50" s="627">
        <f>ROUND(I50*I41,2)</f>
        <v>264</v>
      </c>
      <c r="K50" s="628"/>
    </row>
    <row r="51" spans="1:11" ht="33.75" customHeight="1">
      <c r="A51" s="579"/>
      <c r="B51" s="589" t="s">
        <v>417</v>
      </c>
      <c r="C51" s="1181" t="s">
        <v>811</v>
      </c>
      <c r="D51" s="949"/>
      <c r="E51" s="949"/>
      <c r="F51" s="683" t="s">
        <v>419</v>
      </c>
      <c r="G51" s="909">
        <v>0</v>
      </c>
      <c r="H51" s="683" t="s">
        <v>420</v>
      </c>
      <c r="I51" s="910">
        <f>I36</f>
        <v>22.302</v>
      </c>
      <c r="J51" s="911">
        <f>G51*I51</f>
        <v>0</v>
      </c>
      <c r="K51" s="628"/>
    </row>
    <row r="52" spans="1:11" ht="45" hidden="1" customHeight="1" outlineLevel="1">
      <c r="A52" s="579"/>
      <c r="B52" s="589" t="s">
        <v>421</v>
      </c>
      <c r="C52" s="1092" t="s">
        <v>812</v>
      </c>
      <c r="D52" s="949"/>
      <c r="E52" s="949"/>
      <c r="F52" s="949"/>
      <c r="G52" s="949"/>
      <c r="H52" s="949"/>
      <c r="I52" s="950"/>
      <c r="J52" s="627">
        <f>ROUND(I38*(((12*15)+15)-((44/6)*26))*I35,2)*0+ROUND(2*4.33*I35,2)*0</f>
        <v>0</v>
      </c>
      <c r="K52" s="628"/>
    </row>
    <row r="53" spans="1:11" ht="30" hidden="1" customHeight="1" outlineLevel="1">
      <c r="A53" s="579"/>
      <c r="B53" s="589" t="s">
        <v>423</v>
      </c>
      <c r="C53" s="1092" t="s">
        <v>813</v>
      </c>
      <c r="D53" s="949"/>
      <c r="E53" s="949"/>
      <c r="F53" s="949"/>
      <c r="G53" s="949"/>
      <c r="H53" s="949"/>
      <c r="I53" s="950"/>
      <c r="J53" s="627">
        <f>ROUND(I39*I40*15,2)*0</f>
        <v>0</v>
      </c>
      <c r="K53" s="628"/>
    </row>
    <row r="54" spans="1:11" ht="24.75" customHeight="1" collapsed="1">
      <c r="A54" s="579"/>
      <c r="B54" s="589" t="s">
        <v>425</v>
      </c>
      <c r="C54" s="1092" t="s">
        <v>814</v>
      </c>
      <c r="D54" s="949"/>
      <c r="E54" s="949"/>
      <c r="F54" s="683" t="s">
        <v>427</v>
      </c>
      <c r="G54" s="909">
        <v>0</v>
      </c>
      <c r="H54" s="683" t="s">
        <v>815</v>
      </c>
      <c r="I54" s="910">
        <f t="shared" ref="I54:I55" si="1">I37</f>
        <v>37.17</v>
      </c>
      <c r="J54" s="627">
        <f t="shared" ref="J54:J55" si="2">G54*I54</f>
        <v>0</v>
      </c>
      <c r="K54" s="628"/>
    </row>
    <row r="55" spans="1:11" ht="24.75" customHeight="1">
      <c r="A55" s="579"/>
      <c r="B55" s="589" t="s">
        <v>429</v>
      </c>
      <c r="C55" s="1092" t="s">
        <v>816</v>
      </c>
      <c r="D55" s="949"/>
      <c r="E55" s="949"/>
      <c r="F55" s="683" t="s">
        <v>431</v>
      </c>
      <c r="G55" s="909">
        <v>0</v>
      </c>
      <c r="H55" s="683" t="s">
        <v>817</v>
      </c>
      <c r="I55" s="910">
        <f t="shared" si="1"/>
        <v>27.975000000000001</v>
      </c>
      <c r="J55" s="627">
        <f t="shared" si="2"/>
        <v>0</v>
      </c>
      <c r="K55" s="628"/>
    </row>
    <row r="56" spans="1:11" ht="38.25" customHeight="1">
      <c r="A56" s="579"/>
      <c r="B56" s="589" t="s">
        <v>433</v>
      </c>
      <c r="C56" s="1051" t="s">
        <v>818</v>
      </c>
      <c r="D56" s="949"/>
      <c r="E56" s="949"/>
      <c r="F56" s="949"/>
      <c r="G56" s="949"/>
      <c r="H56" s="949"/>
      <c r="I56" s="950"/>
      <c r="J56" s="627">
        <f>ROUND(((J54+J55)/25)*5,2)</f>
        <v>0</v>
      </c>
      <c r="K56" s="628"/>
    </row>
    <row r="57" spans="1:11" ht="15.75" customHeight="1">
      <c r="A57" s="579"/>
      <c r="B57" s="589" t="s">
        <v>436</v>
      </c>
      <c r="C57" s="1051" t="s">
        <v>437</v>
      </c>
      <c r="D57" s="949"/>
      <c r="E57" s="949"/>
      <c r="F57" s="949"/>
      <c r="G57" s="949"/>
      <c r="H57" s="949"/>
      <c r="I57" s="950"/>
      <c r="J57" s="643" t="s">
        <v>382</v>
      </c>
      <c r="K57" s="644"/>
    </row>
    <row r="58" spans="1:11" ht="30" customHeight="1">
      <c r="A58" s="579"/>
      <c r="B58" s="1050" t="s">
        <v>438</v>
      </c>
      <c r="C58" s="949"/>
      <c r="D58" s="949"/>
      <c r="E58" s="949"/>
      <c r="F58" s="949"/>
      <c r="G58" s="949"/>
      <c r="H58" s="949"/>
      <c r="I58" s="950"/>
      <c r="J58" s="645">
        <f>SUM(J47:J57)</f>
        <v>2725.8</v>
      </c>
      <c r="K58" s="646"/>
    </row>
    <row r="59" spans="1:11" ht="14.25" customHeight="1">
      <c r="A59" s="579"/>
      <c r="B59" s="647"/>
      <c r="C59" s="1095"/>
      <c r="D59" s="949"/>
      <c r="E59" s="949"/>
      <c r="F59" s="949"/>
      <c r="G59" s="949"/>
      <c r="H59" s="949"/>
      <c r="I59" s="950"/>
      <c r="J59" s="648"/>
      <c r="K59" s="646"/>
    </row>
    <row r="60" spans="1:11" ht="30" customHeight="1">
      <c r="A60" s="579"/>
      <c r="B60" s="589" t="s">
        <v>425</v>
      </c>
      <c r="C60" s="1051" t="s">
        <v>819</v>
      </c>
      <c r="D60" s="949"/>
      <c r="E60" s="949"/>
      <c r="F60" s="949"/>
      <c r="G60" s="949"/>
      <c r="H60" s="949"/>
      <c r="I60" s="950"/>
      <c r="J60" s="627">
        <f>ROUND(I34*15*I40*0.5,2)*0</f>
        <v>0</v>
      </c>
      <c r="K60" s="628"/>
    </row>
    <row r="61" spans="1:11" ht="34.5" customHeight="1">
      <c r="A61" s="579"/>
      <c r="B61" s="1050" t="s">
        <v>820</v>
      </c>
      <c r="C61" s="949"/>
      <c r="D61" s="949"/>
      <c r="E61" s="949"/>
      <c r="F61" s="949"/>
      <c r="G61" s="949"/>
      <c r="H61" s="949"/>
      <c r="I61" s="950"/>
      <c r="J61" s="645">
        <f>J60</f>
        <v>0</v>
      </c>
      <c r="K61" s="646"/>
    </row>
    <row r="62" spans="1:11" ht="11.25" customHeight="1">
      <c r="A62" s="579"/>
      <c r="B62" s="1045"/>
      <c r="C62" s="949"/>
      <c r="D62" s="949"/>
      <c r="E62" s="949"/>
      <c r="F62" s="949"/>
      <c r="G62" s="949"/>
      <c r="H62" s="949"/>
      <c r="I62" s="949"/>
      <c r="J62" s="950"/>
      <c r="K62" s="593"/>
    </row>
    <row r="63" spans="1:11" ht="19.5" customHeight="1">
      <c r="A63" s="579"/>
      <c r="B63" s="1096" t="s">
        <v>821</v>
      </c>
      <c r="C63" s="949"/>
      <c r="D63" s="949"/>
      <c r="E63" s="949"/>
      <c r="F63" s="949"/>
      <c r="G63" s="949"/>
      <c r="H63" s="949"/>
      <c r="I63" s="950"/>
      <c r="J63" s="649">
        <f>J58+J61</f>
        <v>2725.8</v>
      </c>
      <c r="K63" s="650"/>
    </row>
    <row r="64" spans="1:11" ht="11.25" customHeight="1">
      <c r="A64" s="579"/>
      <c r="B64" s="1095"/>
      <c r="C64" s="949"/>
      <c r="D64" s="949"/>
      <c r="E64" s="949"/>
      <c r="F64" s="949"/>
      <c r="G64" s="949"/>
      <c r="H64" s="949"/>
      <c r="I64" s="949"/>
      <c r="J64" s="950"/>
      <c r="K64" s="651"/>
    </row>
    <row r="65" spans="1:11" ht="23.25" customHeight="1">
      <c r="A65" s="579"/>
      <c r="B65" s="1097" t="s">
        <v>442</v>
      </c>
      <c r="C65" s="949"/>
      <c r="D65" s="949"/>
      <c r="E65" s="949"/>
      <c r="F65" s="949"/>
      <c r="G65" s="949"/>
      <c r="H65" s="949"/>
      <c r="I65" s="949"/>
      <c r="J65" s="950"/>
      <c r="K65" s="652"/>
    </row>
    <row r="66" spans="1:11" ht="11.25" customHeight="1">
      <c r="A66" s="579"/>
      <c r="B66" s="1095"/>
      <c r="C66" s="949"/>
      <c r="D66" s="949"/>
      <c r="E66" s="949"/>
      <c r="F66" s="949"/>
      <c r="G66" s="949"/>
      <c r="H66" s="949"/>
      <c r="I66" s="949"/>
      <c r="J66" s="950"/>
      <c r="K66" s="651"/>
    </row>
    <row r="67" spans="1:11" ht="21" customHeight="1">
      <c r="A67" s="579"/>
      <c r="B67" s="1098" t="s">
        <v>443</v>
      </c>
      <c r="C67" s="949"/>
      <c r="D67" s="949"/>
      <c r="E67" s="949"/>
      <c r="F67" s="949"/>
      <c r="G67" s="949"/>
      <c r="H67" s="949"/>
      <c r="I67" s="949"/>
      <c r="J67" s="950"/>
      <c r="K67" s="653"/>
    </row>
    <row r="68" spans="1:11" ht="24" customHeight="1">
      <c r="A68" s="579"/>
      <c r="B68" s="1099" t="s">
        <v>822</v>
      </c>
      <c r="C68" s="949"/>
      <c r="D68" s="949"/>
      <c r="E68" s="949"/>
      <c r="F68" s="949"/>
      <c r="G68" s="949"/>
      <c r="H68" s="949"/>
      <c r="I68" s="949"/>
      <c r="J68" s="950"/>
      <c r="K68" s="654"/>
    </row>
    <row r="69" spans="1:11" ht="24.75" customHeight="1">
      <c r="A69" s="579"/>
      <c r="B69" s="655" t="s">
        <v>445</v>
      </c>
      <c r="C69" s="1100" t="s">
        <v>823</v>
      </c>
      <c r="D69" s="949"/>
      <c r="E69" s="949"/>
      <c r="F69" s="949"/>
      <c r="G69" s="949"/>
      <c r="H69" s="949"/>
      <c r="I69" s="950"/>
      <c r="J69" s="656" t="s">
        <v>447</v>
      </c>
      <c r="K69" s="657"/>
    </row>
    <row r="70" spans="1:11" ht="24.75" customHeight="1">
      <c r="A70" s="579"/>
      <c r="B70" s="655" t="s">
        <v>369</v>
      </c>
      <c r="C70" s="1092" t="s">
        <v>824</v>
      </c>
      <c r="D70" s="949"/>
      <c r="E70" s="949"/>
      <c r="F70" s="949"/>
      <c r="G70" s="949"/>
      <c r="H70" s="950"/>
      <c r="I70" s="658">
        <v>8.3299999999999999E-2</v>
      </c>
      <c r="J70" s="659">
        <f>ROUND(J58*I70,2)</f>
        <v>227.06</v>
      </c>
      <c r="K70" s="660"/>
    </row>
    <row r="71" spans="1:11" ht="93.75" customHeight="1">
      <c r="A71" s="579"/>
      <c r="B71" s="655" t="s">
        <v>371</v>
      </c>
      <c r="C71" s="1101" t="s">
        <v>825</v>
      </c>
      <c r="D71" s="949"/>
      <c r="E71" s="949"/>
      <c r="F71" s="949"/>
      <c r="G71" s="949"/>
      <c r="H71" s="950"/>
      <c r="I71" s="661">
        <v>3.0249999999999999E-2</v>
      </c>
      <c r="J71" s="659">
        <f>ROUND(J58*I71,2)</f>
        <v>82.46</v>
      </c>
      <c r="K71" s="660"/>
    </row>
    <row r="72" spans="1:11" ht="11.25" customHeight="1">
      <c r="A72" s="579"/>
      <c r="B72" s="1102" t="s">
        <v>450</v>
      </c>
      <c r="C72" s="949"/>
      <c r="D72" s="949"/>
      <c r="E72" s="949"/>
      <c r="F72" s="949"/>
      <c r="G72" s="949"/>
      <c r="H72" s="949"/>
      <c r="I72" s="950"/>
      <c r="J72" s="662">
        <f>SUM(J70+J71)</f>
        <v>309.52</v>
      </c>
      <c r="K72" s="663"/>
    </row>
    <row r="73" spans="1:11" ht="14.25" customHeight="1">
      <c r="A73" s="579"/>
      <c r="B73" s="1103"/>
      <c r="C73" s="949"/>
      <c r="D73" s="949"/>
      <c r="E73" s="949"/>
      <c r="F73" s="949"/>
      <c r="G73" s="949"/>
      <c r="H73" s="949"/>
      <c r="I73" s="949"/>
      <c r="J73" s="950"/>
      <c r="K73" s="664"/>
    </row>
    <row r="74" spans="1:11" ht="40.5" customHeight="1">
      <c r="A74" s="579"/>
      <c r="B74" s="1086" t="s">
        <v>826</v>
      </c>
      <c r="C74" s="949"/>
      <c r="D74" s="949"/>
      <c r="E74" s="949"/>
      <c r="F74" s="949"/>
      <c r="G74" s="949"/>
      <c r="H74" s="949"/>
      <c r="I74" s="949"/>
      <c r="J74" s="950"/>
      <c r="K74" s="617"/>
    </row>
    <row r="75" spans="1:11" ht="14.25" customHeight="1">
      <c r="A75" s="579"/>
      <c r="B75" s="1104"/>
      <c r="C75" s="949"/>
      <c r="D75" s="949"/>
      <c r="E75" s="949"/>
      <c r="F75" s="949"/>
      <c r="G75" s="949"/>
      <c r="H75" s="949"/>
      <c r="I75" s="949"/>
      <c r="J75" s="950"/>
      <c r="K75" s="617"/>
    </row>
    <row r="76" spans="1:11" ht="32.25" customHeight="1">
      <c r="A76" s="579"/>
      <c r="B76" s="1105" t="s">
        <v>827</v>
      </c>
      <c r="C76" s="949"/>
      <c r="D76" s="949"/>
      <c r="E76" s="949"/>
      <c r="F76" s="949"/>
      <c r="G76" s="949"/>
      <c r="H76" s="949"/>
      <c r="I76" s="949"/>
      <c r="J76" s="950"/>
      <c r="K76" s="665"/>
    </row>
    <row r="77" spans="1:11" ht="16.5" customHeight="1">
      <c r="A77" s="579"/>
      <c r="B77" s="666" t="s">
        <v>453</v>
      </c>
      <c r="C77" s="1110" t="s">
        <v>454</v>
      </c>
      <c r="D77" s="949"/>
      <c r="E77" s="949"/>
      <c r="F77" s="949"/>
      <c r="G77" s="949"/>
      <c r="H77" s="950"/>
      <c r="I77" s="667" t="s">
        <v>411</v>
      </c>
      <c r="J77" s="668" t="s">
        <v>455</v>
      </c>
      <c r="K77" s="657"/>
    </row>
    <row r="78" spans="1:11" ht="11.25" customHeight="1">
      <c r="A78" s="579"/>
      <c r="B78" s="669" t="s">
        <v>369</v>
      </c>
      <c r="C78" s="1051" t="s">
        <v>456</v>
      </c>
      <c r="D78" s="949"/>
      <c r="E78" s="949"/>
      <c r="F78" s="949"/>
      <c r="G78" s="949"/>
      <c r="H78" s="950"/>
      <c r="I78" s="670">
        <v>0.2</v>
      </c>
      <c r="J78" s="671">
        <f>ROUND((J58+J72)*I78,2)</f>
        <v>607.05999999999995</v>
      </c>
      <c r="K78" s="663"/>
    </row>
    <row r="79" spans="1:11" ht="11.25" customHeight="1">
      <c r="A79" s="579"/>
      <c r="B79" s="669" t="s">
        <v>371</v>
      </c>
      <c r="C79" s="1051" t="s">
        <v>457</v>
      </c>
      <c r="D79" s="949"/>
      <c r="E79" s="949"/>
      <c r="F79" s="949"/>
      <c r="G79" s="949"/>
      <c r="H79" s="950"/>
      <c r="I79" s="670">
        <v>2.5000000000000001E-2</v>
      </c>
      <c r="J79" s="671">
        <f>ROUND((J58+J72)*I79,2)</f>
        <v>75.88</v>
      </c>
      <c r="K79" s="663"/>
    </row>
    <row r="80" spans="1:11" ht="35.25" customHeight="1">
      <c r="A80" s="579"/>
      <c r="B80" s="669" t="s">
        <v>373</v>
      </c>
      <c r="C80" s="1051" t="s">
        <v>828</v>
      </c>
      <c r="D80" s="950"/>
      <c r="E80" s="912" t="s">
        <v>459</v>
      </c>
      <c r="F80" s="913">
        <f>'1-ABA-DE-CARREGAMENTO'!G57</f>
        <v>0.03</v>
      </c>
      <c r="G80" s="912" t="s">
        <v>460</v>
      </c>
      <c r="H80" s="914">
        <f>'1-ABA-DE-CARREGAMENTO'!G58</f>
        <v>1</v>
      </c>
      <c r="I80" s="674">
        <f>ROUND((F80*H80),6)</f>
        <v>0.03</v>
      </c>
      <c r="J80" s="671">
        <f>ROUND((J58+J72)*I80,2)</f>
        <v>91.06</v>
      </c>
      <c r="K80" s="663"/>
    </row>
    <row r="81" spans="1:11" ht="16.5" customHeight="1">
      <c r="A81" s="579"/>
      <c r="B81" s="669" t="s">
        <v>375</v>
      </c>
      <c r="C81" s="1051" t="s">
        <v>461</v>
      </c>
      <c r="D81" s="949"/>
      <c r="E81" s="949"/>
      <c r="F81" s="949"/>
      <c r="G81" s="949"/>
      <c r="H81" s="950"/>
      <c r="I81" s="670">
        <v>1.4999999999999999E-2</v>
      </c>
      <c r="J81" s="671">
        <f>ROUND((J58+J72)*I81,2)</f>
        <v>45.53</v>
      </c>
      <c r="K81" s="663"/>
    </row>
    <row r="82" spans="1:11" ht="16.5" customHeight="1">
      <c r="A82" s="579"/>
      <c r="B82" s="669" t="s">
        <v>417</v>
      </c>
      <c r="C82" s="1051" t="s">
        <v>462</v>
      </c>
      <c r="D82" s="949"/>
      <c r="E82" s="949"/>
      <c r="F82" s="949"/>
      <c r="G82" s="949"/>
      <c r="H82" s="950"/>
      <c r="I82" s="670">
        <v>0.01</v>
      </c>
      <c r="J82" s="671">
        <f>ROUND((J58+J72)*I82,2)</f>
        <v>30.35</v>
      </c>
      <c r="K82" s="663"/>
    </row>
    <row r="83" spans="1:11" ht="16.5" customHeight="1">
      <c r="A83" s="579"/>
      <c r="B83" s="669" t="s">
        <v>421</v>
      </c>
      <c r="C83" s="1051" t="s">
        <v>463</v>
      </c>
      <c r="D83" s="949"/>
      <c r="E83" s="949"/>
      <c r="F83" s="949"/>
      <c r="G83" s="949"/>
      <c r="H83" s="950"/>
      <c r="I83" s="670">
        <v>6.0000000000000001E-3</v>
      </c>
      <c r="J83" s="671">
        <f>ROUND((J58+J72)*I83,2)</f>
        <v>18.21</v>
      </c>
      <c r="K83" s="663"/>
    </row>
    <row r="84" spans="1:11" ht="16.5" customHeight="1">
      <c r="A84" s="579"/>
      <c r="B84" s="669" t="s">
        <v>423</v>
      </c>
      <c r="C84" s="1051" t="s">
        <v>464</v>
      </c>
      <c r="D84" s="949"/>
      <c r="E84" s="949"/>
      <c r="F84" s="949"/>
      <c r="G84" s="949"/>
      <c r="H84" s="950"/>
      <c r="I84" s="670">
        <v>2E-3</v>
      </c>
      <c r="J84" s="671">
        <f>ROUND((J58+J72)*I84,2)</f>
        <v>6.07</v>
      </c>
      <c r="K84" s="663"/>
    </row>
    <row r="85" spans="1:11" ht="28.5" customHeight="1">
      <c r="A85" s="579"/>
      <c r="B85" s="669" t="s">
        <v>425</v>
      </c>
      <c r="C85" s="1051" t="s">
        <v>465</v>
      </c>
      <c r="D85" s="949"/>
      <c r="E85" s="949"/>
      <c r="F85" s="949"/>
      <c r="G85" s="949"/>
      <c r="H85" s="950"/>
      <c r="I85" s="670">
        <v>0.08</v>
      </c>
      <c r="J85" s="671">
        <f>ROUND((J58+J72)*I85,2)</f>
        <v>242.83</v>
      </c>
      <c r="K85" s="663"/>
    </row>
    <row r="86" spans="1:11" ht="12" customHeight="1">
      <c r="A86" s="579"/>
      <c r="B86" s="1108" t="s">
        <v>450</v>
      </c>
      <c r="C86" s="949"/>
      <c r="D86" s="949"/>
      <c r="E86" s="949"/>
      <c r="F86" s="949"/>
      <c r="G86" s="949"/>
      <c r="H86" s="950"/>
      <c r="I86" s="675">
        <f t="shared" ref="I86:J86" si="3">SUM(I78:I85)</f>
        <v>0.36800000000000005</v>
      </c>
      <c r="J86" s="662">
        <f t="shared" si="3"/>
        <v>1116.99</v>
      </c>
      <c r="K86" s="663"/>
    </row>
    <row r="87" spans="1:11" ht="12" customHeight="1">
      <c r="A87" s="579"/>
      <c r="B87" s="676"/>
      <c r="C87" s="677"/>
      <c r="D87" s="677"/>
      <c r="E87" s="677"/>
      <c r="F87" s="677"/>
      <c r="G87" s="677"/>
      <c r="H87" s="677"/>
      <c r="I87" s="678"/>
      <c r="J87" s="679"/>
      <c r="K87" s="663"/>
    </row>
    <row r="88" spans="1:11" ht="45" customHeight="1">
      <c r="A88" s="579"/>
      <c r="B88" s="1086" t="s">
        <v>466</v>
      </c>
      <c r="C88" s="949"/>
      <c r="D88" s="949"/>
      <c r="E88" s="949"/>
      <c r="F88" s="949"/>
      <c r="G88" s="949"/>
      <c r="H88" s="949"/>
      <c r="I88" s="949"/>
      <c r="J88" s="950"/>
      <c r="K88" s="617"/>
    </row>
    <row r="89" spans="1:11" ht="18.75" customHeight="1">
      <c r="A89" s="579"/>
      <c r="B89" s="1047"/>
      <c r="C89" s="949"/>
      <c r="D89" s="949"/>
      <c r="E89" s="949"/>
      <c r="F89" s="949"/>
      <c r="G89" s="949"/>
      <c r="H89" s="949"/>
      <c r="I89" s="949"/>
      <c r="J89" s="950"/>
      <c r="K89" s="362"/>
    </row>
    <row r="90" spans="1:11" ht="15" customHeight="1">
      <c r="A90" s="579"/>
      <c r="B90" s="1114" t="s">
        <v>467</v>
      </c>
      <c r="C90" s="949"/>
      <c r="D90" s="949"/>
      <c r="E90" s="949"/>
      <c r="F90" s="949"/>
      <c r="G90" s="949"/>
      <c r="H90" s="949"/>
      <c r="I90" s="949"/>
      <c r="J90" s="950"/>
      <c r="K90" s="654"/>
    </row>
    <row r="91" spans="1:11" ht="15" customHeight="1">
      <c r="A91" s="579"/>
      <c r="B91" s="680" t="s">
        <v>468</v>
      </c>
      <c r="C91" s="1089" t="s">
        <v>469</v>
      </c>
      <c r="D91" s="949"/>
      <c r="E91" s="949"/>
      <c r="F91" s="949"/>
      <c r="G91" s="949"/>
      <c r="H91" s="949"/>
      <c r="I91" s="950"/>
      <c r="J91" s="681" t="s">
        <v>447</v>
      </c>
      <c r="K91" s="592"/>
    </row>
    <row r="92" spans="1:11" ht="23.25" customHeight="1">
      <c r="A92" s="579"/>
      <c r="B92" s="682" t="s">
        <v>369</v>
      </c>
      <c r="C92" s="1051" t="s">
        <v>829</v>
      </c>
      <c r="D92" s="949"/>
      <c r="E92" s="949"/>
      <c r="F92" s="949"/>
      <c r="G92" s="949"/>
      <c r="H92" s="950"/>
      <c r="I92" s="683">
        <f>J47</f>
        <v>2461.8000000000002</v>
      </c>
      <c r="J92" s="684">
        <f>IF(ROUND((I93*I95*I94)-(J47*I96),2)&lt;0,0,ROUND((I93*I95*I94)-(J47*I96),2))</f>
        <v>0</v>
      </c>
      <c r="K92" s="663"/>
    </row>
    <row r="93" spans="1:11" ht="28.5" customHeight="1">
      <c r="A93" s="579"/>
      <c r="B93" s="682" t="s">
        <v>371</v>
      </c>
      <c r="C93" s="1051" t="s">
        <v>830</v>
      </c>
      <c r="D93" s="949"/>
      <c r="E93" s="949"/>
      <c r="F93" s="949"/>
      <c r="G93" s="949"/>
      <c r="H93" s="949"/>
      <c r="I93" s="685">
        <f>'1-ABA-DE-CARREGAMENTO'!G72</f>
        <v>0</v>
      </c>
      <c r="J93" s="686" t="s">
        <v>382</v>
      </c>
      <c r="K93" s="644"/>
    </row>
    <row r="94" spans="1:11" ht="21" customHeight="1">
      <c r="A94" s="579"/>
      <c r="B94" s="682" t="s">
        <v>373</v>
      </c>
      <c r="C94" s="1051" t="s">
        <v>831</v>
      </c>
      <c r="D94" s="949"/>
      <c r="E94" s="949"/>
      <c r="F94" s="949"/>
      <c r="G94" s="949"/>
      <c r="H94" s="950"/>
      <c r="I94" s="687">
        <f>'1-ABA-DE-CARREGAMENTO'!G73</f>
        <v>2</v>
      </c>
      <c r="J94" s="686" t="s">
        <v>382</v>
      </c>
      <c r="K94" s="644"/>
    </row>
    <row r="95" spans="1:11" ht="19.5" customHeight="1">
      <c r="A95" s="579"/>
      <c r="B95" s="682" t="s">
        <v>375</v>
      </c>
      <c r="C95" s="1062" t="s">
        <v>473</v>
      </c>
      <c r="D95" s="949"/>
      <c r="E95" s="949"/>
      <c r="F95" s="949"/>
      <c r="G95" s="949"/>
      <c r="H95" s="950"/>
      <c r="I95" s="687">
        <f>'1-ABA-DE-CARREGAMENTO'!G74</f>
        <v>22</v>
      </c>
      <c r="J95" s="686" t="s">
        <v>382</v>
      </c>
      <c r="K95" s="644"/>
    </row>
    <row r="96" spans="1:11" ht="27" customHeight="1">
      <c r="A96" s="579"/>
      <c r="B96" s="682" t="s">
        <v>417</v>
      </c>
      <c r="C96" s="1062" t="s">
        <v>832</v>
      </c>
      <c r="D96" s="949"/>
      <c r="E96" s="949"/>
      <c r="F96" s="949"/>
      <c r="G96" s="949"/>
      <c r="H96" s="950"/>
      <c r="I96" s="688">
        <f>'1-ABA-DE-CARREGAMENTO'!G75</f>
        <v>0.06</v>
      </c>
      <c r="J96" s="689" t="s">
        <v>382</v>
      </c>
      <c r="K96" s="644"/>
    </row>
    <row r="97" spans="1:11" ht="15" customHeight="1">
      <c r="A97" s="579"/>
      <c r="B97" s="682" t="s">
        <v>421</v>
      </c>
      <c r="C97" s="1051" t="s">
        <v>833</v>
      </c>
      <c r="D97" s="949"/>
      <c r="E97" s="949"/>
      <c r="F97" s="949"/>
      <c r="G97" s="949"/>
      <c r="H97" s="949"/>
      <c r="I97" s="949"/>
      <c r="J97" s="684">
        <f>ROUND(I98*I99,2)-ROUND((I98*I99)*I100,2)</f>
        <v>359.61</v>
      </c>
      <c r="K97" s="663"/>
    </row>
    <row r="98" spans="1:11" ht="22.5" customHeight="1">
      <c r="A98" s="579"/>
      <c r="B98" s="682" t="s">
        <v>423</v>
      </c>
      <c r="C98" s="1051" t="s">
        <v>834</v>
      </c>
      <c r="D98" s="949"/>
      <c r="E98" s="949"/>
      <c r="F98" s="949"/>
      <c r="G98" s="949"/>
      <c r="H98" s="949"/>
      <c r="I98" s="685">
        <f>IF('1-ABA-DE-CARREGAMENTO'!G60&gt;0,'1-ABA-DE-CARREGAMENTO'!G60,'1-ABA-DE-CARREGAMENTO'!G63)</f>
        <v>20.18</v>
      </c>
      <c r="J98" s="691"/>
      <c r="K98" s="644"/>
    </row>
    <row r="99" spans="1:11" ht="24" customHeight="1">
      <c r="A99" s="579"/>
      <c r="B99" s="682" t="s">
        <v>425</v>
      </c>
      <c r="C99" s="1051" t="s">
        <v>835</v>
      </c>
      <c r="D99" s="949"/>
      <c r="E99" s="949"/>
      <c r="F99" s="949"/>
      <c r="G99" s="949"/>
      <c r="H99" s="949"/>
      <c r="I99" s="687">
        <f>'1-ABA-DE-CARREGAMENTO'!G62</f>
        <v>22</v>
      </c>
      <c r="J99" s="691"/>
      <c r="K99" s="644"/>
    </row>
    <row r="100" spans="1:11" ht="24" customHeight="1">
      <c r="A100" s="579"/>
      <c r="B100" s="682" t="s">
        <v>429</v>
      </c>
      <c r="C100" s="1107" t="s">
        <v>836</v>
      </c>
      <c r="D100" s="949"/>
      <c r="E100" s="949"/>
      <c r="F100" s="949"/>
      <c r="G100" s="949"/>
      <c r="H100" s="950"/>
      <c r="I100" s="688">
        <f>'1-ABA-DE-CARREGAMENTO'!G61</f>
        <v>0.19</v>
      </c>
      <c r="J100" s="693"/>
      <c r="K100" s="644"/>
    </row>
    <row r="101" spans="1:11" ht="15" customHeight="1" outlineLevel="1">
      <c r="A101" s="579"/>
      <c r="B101" s="682" t="s">
        <v>433</v>
      </c>
      <c r="C101" s="1051" t="s">
        <v>479</v>
      </c>
      <c r="D101" s="949"/>
      <c r="E101" s="949"/>
      <c r="F101" s="949"/>
      <c r="G101" s="949"/>
      <c r="H101" s="949"/>
      <c r="I101" s="949"/>
      <c r="J101" s="671">
        <f>'1-ABA-DE-CARREGAMENTO'!G79/12</f>
        <v>0</v>
      </c>
      <c r="K101" s="663"/>
    </row>
    <row r="102" spans="1:11" ht="33.75" customHeight="1" outlineLevel="1">
      <c r="A102" s="579"/>
      <c r="B102" s="682" t="s">
        <v>436</v>
      </c>
      <c r="C102" s="1051" t="s">
        <v>837</v>
      </c>
      <c r="D102" s="949"/>
      <c r="E102" s="949"/>
      <c r="F102" s="949"/>
      <c r="G102" s="949"/>
      <c r="H102" s="949"/>
      <c r="I102" s="949"/>
      <c r="J102" s="671">
        <f>'1-ABA-DE-CARREGAMENTO'!G77</f>
        <v>0</v>
      </c>
      <c r="K102" s="663"/>
    </row>
    <row r="103" spans="1:11" ht="36" customHeight="1" outlineLevel="1">
      <c r="A103" s="579"/>
      <c r="B103" s="682" t="s">
        <v>481</v>
      </c>
      <c r="C103" s="1051" t="s">
        <v>838</v>
      </c>
      <c r="D103" s="949"/>
      <c r="E103" s="949"/>
      <c r="F103" s="949"/>
      <c r="G103" s="949"/>
      <c r="H103" s="949"/>
      <c r="I103" s="950"/>
      <c r="J103" s="671">
        <v>0</v>
      </c>
      <c r="K103" s="663"/>
    </row>
    <row r="104" spans="1:11" ht="16.5" customHeight="1" outlineLevel="1">
      <c r="A104" s="579"/>
      <c r="B104" s="682" t="s">
        <v>483</v>
      </c>
      <c r="C104" s="1051" t="s">
        <v>718</v>
      </c>
      <c r="D104" s="949"/>
      <c r="E104" s="949"/>
      <c r="F104" s="949"/>
      <c r="G104" s="949"/>
      <c r="H104" s="949"/>
      <c r="I104" s="950"/>
      <c r="J104" s="671">
        <f>'1-ABA-DE-CARREGAMENTO'!G76</f>
        <v>17.32</v>
      </c>
      <c r="K104" s="663"/>
    </row>
    <row r="105" spans="1:11" ht="17.25" customHeight="1">
      <c r="A105" s="579"/>
      <c r="B105" s="682" t="s">
        <v>129</v>
      </c>
      <c r="C105" s="1111" t="s">
        <v>839</v>
      </c>
      <c r="D105" s="949"/>
      <c r="E105" s="949"/>
      <c r="F105" s="949"/>
      <c r="G105" s="949"/>
      <c r="H105" s="949"/>
      <c r="I105" s="949"/>
      <c r="J105" s="742">
        <f>'1-ABA-DE-CARREGAMENTO'!G80/12</f>
        <v>0</v>
      </c>
      <c r="K105" s="704"/>
    </row>
    <row r="106" spans="1:11" ht="33.75" customHeight="1">
      <c r="A106" s="579"/>
      <c r="B106" s="705"/>
      <c r="C106" s="1108" t="s">
        <v>450</v>
      </c>
      <c r="D106" s="949"/>
      <c r="E106" s="949"/>
      <c r="F106" s="949"/>
      <c r="G106" s="949"/>
      <c r="H106" s="949"/>
      <c r="I106" s="949"/>
      <c r="J106" s="662">
        <f>SUM(J92:J105)</f>
        <v>376.93</v>
      </c>
      <c r="K106" s="663"/>
    </row>
    <row r="107" spans="1:11" ht="17.25" customHeight="1">
      <c r="A107" s="579"/>
      <c r="B107" s="1047"/>
      <c r="C107" s="949"/>
      <c r="D107" s="949"/>
      <c r="E107" s="949"/>
      <c r="F107" s="949"/>
      <c r="G107" s="949"/>
      <c r="H107" s="949"/>
      <c r="I107" s="949"/>
      <c r="J107" s="950"/>
      <c r="K107" s="362"/>
    </row>
    <row r="108" spans="1:11" ht="22.5" customHeight="1">
      <c r="A108" s="579"/>
      <c r="B108" s="1086" t="s">
        <v>486</v>
      </c>
      <c r="C108" s="949"/>
      <c r="D108" s="949"/>
      <c r="E108" s="949"/>
      <c r="F108" s="949"/>
      <c r="G108" s="949"/>
      <c r="H108" s="949"/>
      <c r="I108" s="949"/>
      <c r="J108" s="950"/>
      <c r="K108" s="617"/>
    </row>
    <row r="109" spans="1:11" ht="19.5" customHeight="1">
      <c r="A109" s="579"/>
      <c r="B109" s="1045"/>
      <c r="C109" s="949"/>
      <c r="D109" s="949"/>
      <c r="E109" s="949"/>
      <c r="F109" s="949"/>
      <c r="G109" s="949"/>
      <c r="H109" s="949"/>
      <c r="I109" s="949"/>
      <c r="J109" s="950"/>
      <c r="K109" s="593"/>
    </row>
    <row r="110" spans="1:11" ht="19.5" customHeight="1">
      <c r="A110" s="579"/>
      <c r="B110" s="1109" t="s">
        <v>487</v>
      </c>
      <c r="C110" s="949"/>
      <c r="D110" s="949"/>
      <c r="E110" s="949"/>
      <c r="F110" s="949"/>
      <c r="G110" s="949"/>
      <c r="H110" s="949"/>
      <c r="I110" s="949"/>
      <c r="J110" s="950"/>
      <c r="K110" s="706"/>
    </row>
    <row r="111" spans="1:11" ht="19.5" customHeight="1">
      <c r="A111" s="579"/>
      <c r="B111" s="668">
        <v>2</v>
      </c>
      <c r="C111" s="1110" t="s">
        <v>488</v>
      </c>
      <c r="D111" s="949"/>
      <c r="E111" s="949"/>
      <c r="F111" s="949"/>
      <c r="G111" s="949"/>
      <c r="H111" s="949"/>
      <c r="I111" s="950"/>
      <c r="J111" s="668" t="s">
        <v>447</v>
      </c>
      <c r="K111" s="657"/>
    </row>
    <row r="112" spans="1:11" ht="19.5" customHeight="1">
      <c r="A112" s="579"/>
      <c r="B112" s="600" t="s">
        <v>445</v>
      </c>
      <c r="C112" s="1092" t="s">
        <v>840</v>
      </c>
      <c r="D112" s="949"/>
      <c r="E112" s="949"/>
      <c r="F112" s="949"/>
      <c r="G112" s="949"/>
      <c r="H112" s="949"/>
      <c r="I112" s="950"/>
      <c r="J112" s="707">
        <f>J72</f>
        <v>309.52</v>
      </c>
      <c r="K112" s="708"/>
    </row>
    <row r="113" spans="1:11" ht="19.5" customHeight="1">
      <c r="A113" s="579"/>
      <c r="B113" s="600" t="s">
        <v>453</v>
      </c>
      <c r="C113" s="1092" t="s">
        <v>454</v>
      </c>
      <c r="D113" s="949"/>
      <c r="E113" s="949"/>
      <c r="F113" s="949"/>
      <c r="G113" s="949"/>
      <c r="H113" s="949"/>
      <c r="I113" s="950"/>
      <c r="J113" s="707">
        <f>J86</f>
        <v>1116.99</v>
      </c>
      <c r="K113" s="708"/>
    </row>
    <row r="114" spans="1:11" ht="19.5" customHeight="1">
      <c r="A114" s="579"/>
      <c r="B114" s="600" t="s">
        <v>468</v>
      </c>
      <c r="C114" s="1092" t="s">
        <v>469</v>
      </c>
      <c r="D114" s="949"/>
      <c r="E114" s="949"/>
      <c r="F114" s="949"/>
      <c r="G114" s="949"/>
      <c r="H114" s="949"/>
      <c r="I114" s="950"/>
      <c r="J114" s="707">
        <f>J106</f>
        <v>376.93</v>
      </c>
      <c r="K114" s="708"/>
    </row>
    <row r="115" spans="1:11" ht="14.25" customHeight="1">
      <c r="A115" s="579"/>
      <c r="B115" s="1115" t="s">
        <v>450</v>
      </c>
      <c r="C115" s="949"/>
      <c r="D115" s="949"/>
      <c r="E115" s="949"/>
      <c r="F115" s="949"/>
      <c r="G115" s="949"/>
      <c r="H115" s="949"/>
      <c r="I115" s="950"/>
      <c r="J115" s="709">
        <f>SUM(J112+J113+J114)</f>
        <v>1803.44</v>
      </c>
      <c r="K115" s="708"/>
    </row>
    <row r="116" spans="1:11" ht="14.25" customHeight="1">
      <c r="A116" s="579"/>
      <c r="B116" s="1116"/>
      <c r="C116" s="949"/>
      <c r="D116" s="949"/>
      <c r="E116" s="949"/>
      <c r="F116" s="949"/>
      <c r="G116" s="949"/>
      <c r="H116" s="949"/>
      <c r="I116" s="949"/>
      <c r="J116" s="950"/>
      <c r="K116" s="710"/>
    </row>
    <row r="117" spans="1:11" ht="18.75" customHeight="1">
      <c r="A117" s="579"/>
      <c r="B117" s="1117" t="s">
        <v>490</v>
      </c>
      <c r="C117" s="949"/>
      <c r="D117" s="949"/>
      <c r="E117" s="949"/>
      <c r="F117" s="949"/>
      <c r="G117" s="949"/>
      <c r="H117" s="949"/>
      <c r="I117" s="949"/>
      <c r="J117" s="950"/>
      <c r="K117" s="711"/>
    </row>
    <row r="118" spans="1:11" ht="15.75" customHeight="1">
      <c r="A118" s="579"/>
      <c r="B118" s="680">
        <v>3</v>
      </c>
      <c r="C118" s="1118" t="s">
        <v>491</v>
      </c>
      <c r="D118" s="949"/>
      <c r="E118" s="949"/>
      <c r="F118" s="949"/>
      <c r="G118" s="949"/>
      <c r="H118" s="949"/>
      <c r="I118" s="950"/>
      <c r="J118" s="680" t="s">
        <v>447</v>
      </c>
      <c r="K118" s="712"/>
    </row>
    <row r="119" spans="1:11" ht="41.25" customHeight="1">
      <c r="A119" s="579"/>
      <c r="B119" s="682" t="s">
        <v>369</v>
      </c>
      <c r="C119" s="1051" t="s">
        <v>841</v>
      </c>
      <c r="D119" s="949"/>
      <c r="E119" s="949"/>
      <c r="F119" s="949"/>
      <c r="G119" s="949"/>
      <c r="H119" s="949"/>
      <c r="I119" s="950"/>
      <c r="J119" s="671">
        <f>ROUND((($J$58/12)+($J$70/12)+(J58/12/12)+($J$71/12))*(30/30)*0.05,2)</f>
        <v>13.59</v>
      </c>
      <c r="K119" s="663"/>
    </row>
    <row r="120" spans="1:11" ht="15.75" customHeight="1">
      <c r="A120" s="579"/>
      <c r="B120" s="682" t="s">
        <v>371</v>
      </c>
      <c r="C120" s="1111" t="s">
        <v>493</v>
      </c>
      <c r="D120" s="949"/>
      <c r="E120" s="949"/>
      <c r="F120" s="949"/>
      <c r="G120" s="949"/>
      <c r="H120" s="949"/>
      <c r="I120" s="950"/>
      <c r="J120" s="671">
        <f>ROUND($I$85*J119,2)</f>
        <v>1.0900000000000001</v>
      </c>
      <c r="K120" s="663"/>
    </row>
    <row r="121" spans="1:11" ht="112.5" customHeight="1">
      <c r="A121" s="579"/>
      <c r="B121" s="682" t="s">
        <v>373</v>
      </c>
      <c r="C121" s="1106" t="s">
        <v>842</v>
      </c>
      <c r="D121" s="949"/>
      <c r="E121" s="949"/>
      <c r="F121" s="949"/>
      <c r="G121" s="949"/>
      <c r="H121" s="949"/>
      <c r="I121" s="950"/>
      <c r="J121" s="671">
        <f>ROUND(((7/30)/$I$11)*$J$58*1,2)</f>
        <v>21.2</v>
      </c>
      <c r="K121" s="663"/>
    </row>
    <row r="122" spans="1:11" ht="18.75" customHeight="1">
      <c r="A122" s="579"/>
      <c r="B122" s="682" t="s">
        <v>375</v>
      </c>
      <c r="C122" s="1111" t="s">
        <v>495</v>
      </c>
      <c r="D122" s="949"/>
      <c r="E122" s="949"/>
      <c r="F122" s="949"/>
      <c r="G122" s="949"/>
      <c r="H122" s="949"/>
      <c r="I122" s="950"/>
      <c r="J122" s="671">
        <f>ROUND($I$86*J121,2)</f>
        <v>7.8</v>
      </c>
      <c r="K122" s="663"/>
    </row>
    <row r="123" spans="1:11" ht="36" customHeight="1">
      <c r="A123" s="579"/>
      <c r="B123" s="682" t="s">
        <v>417</v>
      </c>
      <c r="C123" s="1051" t="s">
        <v>843</v>
      </c>
      <c r="D123" s="949"/>
      <c r="E123" s="949"/>
      <c r="F123" s="949"/>
      <c r="G123" s="949"/>
      <c r="H123" s="950"/>
      <c r="I123" s="714">
        <v>0.04</v>
      </c>
      <c r="J123" s="671">
        <f>ROUND(J58*I123,2)</f>
        <v>109.03</v>
      </c>
      <c r="K123" s="663"/>
    </row>
    <row r="124" spans="1:11" ht="19.5" customHeight="1">
      <c r="A124" s="579"/>
      <c r="B124" s="1108" t="s">
        <v>497</v>
      </c>
      <c r="C124" s="949"/>
      <c r="D124" s="949"/>
      <c r="E124" s="949"/>
      <c r="F124" s="949"/>
      <c r="G124" s="949"/>
      <c r="H124" s="949"/>
      <c r="I124" s="950"/>
      <c r="J124" s="662">
        <f>SUM(J119:J123)</f>
        <v>152.70999999999998</v>
      </c>
      <c r="K124" s="663"/>
    </row>
    <row r="125" spans="1:11" ht="15.75" customHeight="1">
      <c r="A125" s="579"/>
      <c r="B125" s="1112"/>
      <c r="C125" s="949"/>
      <c r="D125" s="949"/>
      <c r="E125" s="949"/>
      <c r="F125" s="949"/>
      <c r="G125" s="949"/>
      <c r="H125" s="949"/>
      <c r="I125" s="949"/>
      <c r="J125" s="950"/>
      <c r="K125" s="715"/>
    </row>
    <row r="126" spans="1:11" ht="17.25" customHeight="1">
      <c r="A126" s="579"/>
      <c r="B126" s="1113" t="s">
        <v>498</v>
      </c>
      <c r="C126" s="949"/>
      <c r="D126" s="949"/>
      <c r="E126" s="949"/>
      <c r="F126" s="949"/>
      <c r="G126" s="949"/>
      <c r="H126" s="949"/>
      <c r="I126" s="949"/>
      <c r="J126" s="950"/>
      <c r="K126" s="716"/>
    </row>
    <row r="127" spans="1:11" ht="36" customHeight="1">
      <c r="A127" s="579"/>
      <c r="B127" s="1086" t="s">
        <v>499</v>
      </c>
      <c r="C127" s="949"/>
      <c r="D127" s="949"/>
      <c r="E127" s="949"/>
      <c r="F127" s="949"/>
      <c r="G127" s="949"/>
      <c r="H127" s="949"/>
      <c r="I127" s="949"/>
      <c r="J127" s="950"/>
      <c r="K127" s="617"/>
    </row>
    <row r="128" spans="1:11" ht="55.5" customHeight="1">
      <c r="A128" s="579"/>
      <c r="B128" s="1105" t="s">
        <v>844</v>
      </c>
      <c r="C128" s="949"/>
      <c r="D128" s="949"/>
      <c r="E128" s="949"/>
      <c r="F128" s="949"/>
      <c r="G128" s="949"/>
      <c r="H128" s="949"/>
      <c r="I128" s="949"/>
      <c r="J128" s="950"/>
      <c r="K128" s="665"/>
    </row>
    <row r="129" spans="1:11" ht="40.5" customHeight="1">
      <c r="A129" s="579"/>
      <c r="B129" s="717" t="s">
        <v>501</v>
      </c>
      <c r="C129" s="718">
        <f>J58</f>
        <v>2725.8</v>
      </c>
      <c r="D129" s="719" t="s">
        <v>502</v>
      </c>
      <c r="E129" s="717" t="s">
        <v>845</v>
      </c>
      <c r="F129" s="718">
        <f>J115-J92-J97</f>
        <v>1443.83</v>
      </c>
      <c r="G129" s="719" t="s">
        <v>502</v>
      </c>
      <c r="H129" s="717" t="s">
        <v>504</v>
      </c>
      <c r="I129" s="718">
        <f>J124</f>
        <v>152.70999999999998</v>
      </c>
      <c r="J129" s="720">
        <f>C129+F129+I129</f>
        <v>4322.34</v>
      </c>
      <c r="K129" s="721"/>
    </row>
    <row r="130" spans="1:11" ht="30.75" customHeight="1">
      <c r="A130" s="579"/>
      <c r="B130" s="1120"/>
      <c r="C130" s="949"/>
      <c r="D130" s="949"/>
      <c r="E130" s="949"/>
      <c r="F130" s="949"/>
      <c r="G130" s="949"/>
      <c r="H130" s="949"/>
      <c r="I130" s="949"/>
      <c r="J130" s="950"/>
      <c r="K130" s="722"/>
    </row>
    <row r="131" spans="1:11" ht="15.75" customHeight="1">
      <c r="A131" s="579"/>
      <c r="B131" s="1121" t="s">
        <v>505</v>
      </c>
      <c r="C131" s="949"/>
      <c r="D131" s="949"/>
      <c r="E131" s="949"/>
      <c r="F131" s="949"/>
      <c r="G131" s="949"/>
      <c r="H131" s="949"/>
      <c r="I131" s="949"/>
      <c r="J131" s="950"/>
      <c r="K131" s="723"/>
    </row>
    <row r="132" spans="1:11" ht="17.25" customHeight="1">
      <c r="A132" s="579"/>
      <c r="B132" s="724" t="s">
        <v>506</v>
      </c>
      <c r="C132" s="1118" t="s">
        <v>507</v>
      </c>
      <c r="D132" s="949"/>
      <c r="E132" s="949"/>
      <c r="F132" s="949"/>
      <c r="G132" s="949"/>
      <c r="H132" s="949"/>
      <c r="I132" s="950"/>
      <c r="J132" s="724" t="s">
        <v>447</v>
      </c>
      <c r="K132" s="726"/>
    </row>
    <row r="133" spans="1:11" ht="48" customHeight="1">
      <c r="A133" s="579"/>
      <c r="B133" s="682" t="s">
        <v>369</v>
      </c>
      <c r="C133" s="1092" t="s">
        <v>846</v>
      </c>
      <c r="D133" s="949"/>
      <c r="E133" s="949"/>
      <c r="F133" s="949"/>
      <c r="G133" s="949"/>
      <c r="H133" s="727">
        <v>9.0749999999999997E-2</v>
      </c>
      <c r="I133" s="873">
        <f>I86</f>
        <v>0.36800000000000005</v>
      </c>
      <c r="J133" s="671">
        <f>ROUND(H133*J58,2)*(1+I133)</f>
        <v>338.40216000000004</v>
      </c>
      <c r="K133" s="663"/>
    </row>
    <row r="134" spans="1:11" ht="21" customHeight="1">
      <c r="A134" s="579"/>
      <c r="B134" s="682" t="s">
        <v>371</v>
      </c>
      <c r="C134" s="1051" t="s">
        <v>847</v>
      </c>
      <c r="D134" s="949"/>
      <c r="E134" s="949"/>
      <c r="F134" s="949"/>
      <c r="G134" s="949"/>
      <c r="H134" s="949"/>
      <c r="I134" s="950"/>
      <c r="J134" s="671">
        <f>ROUND((1/30)/12*(J129),2)</f>
        <v>12.01</v>
      </c>
      <c r="K134" s="663"/>
    </row>
    <row r="135" spans="1:11" ht="31.5" customHeight="1">
      <c r="A135" s="579"/>
      <c r="B135" s="682" t="s">
        <v>373</v>
      </c>
      <c r="C135" s="1051" t="s">
        <v>848</v>
      </c>
      <c r="D135" s="949"/>
      <c r="E135" s="949"/>
      <c r="F135" s="949"/>
      <c r="G135" s="949"/>
      <c r="H135" s="949"/>
      <c r="I135" s="950"/>
      <c r="J135" s="671">
        <f>ROUND((5/30)/12*0.015*(J129),2)</f>
        <v>0.9</v>
      </c>
      <c r="K135" s="663"/>
    </row>
    <row r="136" spans="1:11" ht="27" customHeight="1">
      <c r="A136" s="579"/>
      <c r="B136" s="682" t="s">
        <v>375</v>
      </c>
      <c r="C136" s="1051" t="s">
        <v>849</v>
      </c>
      <c r="D136" s="949"/>
      <c r="E136" s="949"/>
      <c r="F136" s="949"/>
      <c r="G136" s="949"/>
      <c r="H136" s="949"/>
      <c r="I136" s="950"/>
      <c r="J136" s="671">
        <f>ROUND(((15/30)/12)*0.0078*(J129),2)</f>
        <v>1.4</v>
      </c>
      <c r="K136" s="663"/>
    </row>
    <row r="137" spans="1:11" ht="27" customHeight="1">
      <c r="A137" s="579"/>
      <c r="B137" s="730" t="s">
        <v>417</v>
      </c>
      <c r="C137" s="1119" t="s">
        <v>850</v>
      </c>
      <c r="D137" s="949"/>
      <c r="E137" s="949"/>
      <c r="F137" s="949"/>
      <c r="G137" s="949"/>
      <c r="H137" s="949"/>
      <c r="I137" s="950"/>
      <c r="J137" s="731">
        <f>ROUND(((((C129+C129/3)+(I86)*(C129+C129/3))*(4/12))/12)*0.02,2) + ((J106 -J92-J97+ J124)*4/12)*0.02</f>
        <v>3.8935333333333331</v>
      </c>
      <c r="K137" s="732"/>
    </row>
    <row r="138" spans="1:11" ht="24.75" customHeight="1">
      <c r="A138" s="579"/>
      <c r="B138" s="682" t="s">
        <v>421</v>
      </c>
      <c r="C138" s="1051" t="s">
        <v>851</v>
      </c>
      <c r="D138" s="949"/>
      <c r="E138" s="949"/>
      <c r="F138" s="949"/>
      <c r="G138" s="949"/>
      <c r="H138" s="949"/>
      <c r="I138" s="950"/>
      <c r="J138" s="671">
        <f>ROUND(((3/30)/12)*(J129),2)</f>
        <v>36.020000000000003</v>
      </c>
      <c r="K138" s="663"/>
    </row>
    <row r="139" spans="1:11" ht="19.5" customHeight="1">
      <c r="A139" s="579"/>
      <c r="B139" s="1108" t="s">
        <v>450</v>
      </c>
      <c r="C139" s="949"/>
      <c r="D139" s="949"/>
      <c r="E139" s="949"/>
      <c r="F139" s="949"/>
      <c r="G139" s="949"/>
      <c r="H139" s="949"/>
      <c r="I139" s="950"/>
      <c r="J139" s="662">
        <f>SUM(J133:J138)</f>
        <v>392.62569333333329</v>
      </c>
      <c r="K139" s="663"/>
    </row>
    <row r="140" spans="1:11" ht="19.5" customHeight="1">
      <c r="A140" s="579"/>
      <c r="B140" s="1112"/>
      <c r="C140" s="949"/>
      <c r="D140" s="949"/>
      <c r="E140" s="949"/>
      <c r="F140" s="949"/>
      <c r="G140" s="949"/>
      <c r="H140" s="949"/>
      <c r="I140" s="949"/>
      <c r="J140" s="950"/>
      <c r="K140" s="715"/>
    </row>
    <row r="141" spans="1:11" ht="19.5" customHeight="1">
      <c r="A141" s="579"/>
      <c r="B141" s="1114" t="s">
        <v>514</v>
      </c>
      <c r="C141" s="949"/>
      <c r="D141" s="949"/>
      <c r="E141" s="949"/>
      <c r="F141" s="949"/>
      <c r="G141" s="949"/>
      <c r="H141" s="949"/>
      <c r="I141" s="949"/>
      <c r="J141" s="950"/>
      <c r="K141" s="654"/>
    </row>
    <row r="142" spans="1:11" ht="19.5" customHeight="1">
      <c r="A142" s="579"/>
      <c r="B142" s="733" t="s">
        <v>515</v>
      </c>
      <c r="C142" s="1122" t="s">
        <v>516</v>
      </c>
      <c r="D142" s="949"/>
      <c r="E142" s="949"/>
      <c r="F142" s="949"/>
      <c r="G142" s="949"/>
      <c r="H142" s="949"/>
      <c r="I142" s="950"/>
      <c r="J142" s="734" t="s">
        <v>447</v>
      </c>
      <c r="K142" s="735"/>
    </row>
    <row r="143" spans="1:11" ht="19.5" customHeight="1">
      <c r="A143" s="579"/>
      <c r="B143" s="736" t="s">
        <v>369</v>
      </c>
      <c r="C143" s="1125" t="s">
        <v>517</v>
      </c>
      <c r="D143" s="949"/>
      <c r="E143" s="949"/>
      <c r="F143" s="949"/>
      <c r="G143" s="949"/>
      <c r="H143" s="949"/>
      <c r="I143" s="950"/>
      <c r="J143" s="737">
        <v>0</v>
      </c>
      <c r="K143" s="738"/>
    </row>
    <row r="144" spans="1:11" ht="19.5" customHeight="1">
      <c r="A144" s="579"/>
      <c r="B144" s="1102" t="s">
        <v>450</v>
      </c>
      <c r="C144" s="949"/>
      <c r="D144" s="949"/>
      <c r="E144" s="949"/>
      <c r="F144" s="949"/>
      <c r="G144" s="949"/>
      <c r="H144" s="949"/>
      <c r="I144" s="950"/>
      <c r="J144" s="739">
        <v>0</v>
      </c>
      <c r="K144" s="738"/>
    </row>
    <row r="145" spans="1:11" ht="19.5" customHeight="1">
      <c r="A145" s="579"/>
      <c r="B145" s="1126"/>
      <c r="C145" s="949"/>
      <c r="D145" s="949"/>
      <c r="E145" s="949"/>
      <c r="F145" s="949"/>
      <c r="G145" s="949"/>
      <c r="H145" s="949"/>
      <c r="I145" s="949"/>
      <c r="J145" s="950"/>
      <c r="K145" s="740"/>
    </row>
    <row r="146" spans="1:11" ht="19.5" customHeight="1">
      <c r="A146" s="579"/>
      <c r="B146" s="1098" t="s">
        <v>518</v>
      </c>
      <c r="C146" s="949"/>
      <c r="D146" s="949"/>
      <c r="E146" s="949"/>
      <c r="F146" s="949"/>
      <c r="G146" s="949"/>
      <c r="H146" s="949"/>
      <c r="I146" s="949"/>
      <c r="J146" s="950"/>
      <c r="K146" s="653"/>
    </row>
    <row r="147" spans="1:11" ht="19.5" customHeight="1">
      <c r="A147" s="579"/>
      <c r="B147" s="668">
        <v>4</v>
      </c>
      <c r="C147" s="1122" t="s">
        <v>519</v>
      </c>
      <c r="D147" s="949"/>
      <c r="E147" s="949"/>
      <c r="F147" s="949"/>
      <c r="G147" s="949"/>
      <c r="H147" s="949"/>
      <c r="I147" s="950"/>
      <c r="J147" s="734" t="s">
        <v>447</v>
      </c>
      <c r="K147" s="735"/>
    </row>
    <row r="148" spans="1:11" ht="28.5" customHeight="1">
      <c r="A148" s="579"/>
      <c r="B148" s="600" t="s">
        <v>506</v>
      </c>
      <c r="C148" s="1125" t="s">
        <v>507</v>
      </c>
      <c r="D148" s="949"/>
      <c r="E148" s="949"/>
      <c r="F148" s="949"/>
      <c r="G148" s="949"/>
      <c r="H148" s="949"/>
      <c r="I148" s="950"/>
      <c r="J148" s="737">
        <f>J139</f>
        <v>392.62569333333329</v>
      </c>
      <c r="K148" s="738"/>
    </row>
    <row r="149" spans="1:11" ht="24" customHeight="1">
      <c r="A149" s="579"/>
      <c r="B149" s="600" t="s">
        <v>520</v>
      </c>
      <c r="C149" s="1125" t="s">
        <v>516</v>
      </c>
      <c r="D149" s="949"/>
      <c r="E149" s="949"/>
      <c r="F149" s="949"/>
      <c r="G149" s="949"/>
      <c r="H149" s="949"/>
      <c r="I149" s="950"/>
      <c r="J149" s="737">
        <f>J144</f>
        <v>0</v>
      </c>
      <c r="K149" s="738"/>
    </row>
    <row r="150" spans="1:11" ht="14.25" customHeight="1">
      <c r="A150" s="579"/>
      <c r="B150" s="1115" t="s">
        <v>450</v>
      </c>
      <c r="C150" s="949"/>
      <c r="D150" s="949"/>
      <c r="E150" s="949"/>
      <c r="F150" s="949"/>
      <c r="G150" s="949"/>
      <c r="H150" s="949"/>
      <c r="I150" s="950"/>
      <c r="J150" s="739">
        <f>SUM(J148+J149)</f>
        <v>392.62569333333329</v>
      </c>
      <c r="K150" s="738"/>
    </row>
    <row r="151" spans="1:11" ht="15.75" customHeight="1">
      <c r="A151" s="579"/>
      <c r="B151" s="1126"/>
      <c r="C151" s="949"/>
      <c r="D151" s="949"/>
      <c r="E151" s="949"/>
      <c r="F151" s="949"/>
      <c r="G151" s="949"/>
      <c r="H151" s="949"/>
      <c r="I151" s="949"/>
      <c r="J151" s="950"/>
      <c r="K151" s="740"/>
    </row>
    <row r="152" spans="1:11" ht="15.75" customHeight="1">
      <c r="A152" s="579"/>
      <c r="B152" s="1113" t="s">
        <v>521</v>
      </c>
      <c r="C152" s="949"/>
      <c r="D152" s="949"/>
      <c r="E152" s="949"/>
      <c r="F152" s="949"/>
      <c r="G152" s="949"/>
      <c r="H152" s="949"/>
      <c r="I152" s="949"/>
      <c r="J152" s="950"/>
      <c r="K152" s="716"/>
    </row>
    <row r="153" spans="1:11" ht="15.75" customHeight="1">
      <c r="A153" s="579"/>
      <c r="B153" s="680">
        <v>3</v>
      </c>
      <c r="C153" s="1089" t="s">
        <v>522</v>
      </c>
      <c r="D153" s="949"/>
      <c r="E153" s="949"/>
      <c r="F153" s="949"/>
      <c r="G153" s="949"/>
      <c r="H153" s="949"/>
      <c r="I153" s="950"/>
      <c r="J153" s="680" t="s">
        <v>447</v>
      </c>
      <c r="K153" s="712"/>
    </row>
    <row r="154" spans="1:11" ht="15.75" customHeight="1">
      <c r="A154" s="579"/>
      <c r="B154" s="682" t="s">
        <v>369</v>
      </c>
      <c r="C154" s="1051" t="s">
        <v>658</v>
      </c>
      <c r="D154" s="949"/>
      <c r="E154" s="949"/>
      <c r="F154" s="949"/>
      <c r="G154" s="949"/>
      <c r="H154" s="949"/>
      <c r="I154" s="950"/>
      <c r="J154" s="741" t="e">
        <f>#REF!+#REF!</f>
        <v>#REF!</v>
      </c>
      <c r="K154" s="663"/>
    </row>
    <row r="155" spans="1:11" ht="15.75" customHeight="1">
      <c r="A155" s="579"/>
      <c r="B155" s="682" t="s">
        <v>371</v>
      </c>
      <c r="C155" s="1051" t="s">
        <v>659</v>
      </c>
      <c r="D155" s="949"/>
      <c r="E155" s="949"/>
      <c r="F155" s="949"/>
      <c r="G155" s="949"/>
      <c r="H155" s="949"/>
      <c r="I155" s="950"/>
      <c r="J155" s="742">
        <v>0</v>
      </c>
      <c r="K155" s="704"/>
    </row>
    <row r="156" spans="1:11" ht="15.75" customHeight="1">
      <c r="A156" s="579"/>
      <c r="B156" s="682" t="s">
        <v>373</v>
      </c>
      <c r="C156" s="1051" t="s">
        <v>524</v>
      </c>
      <c r="D156" s="949"/>
      <c r="E156" s="949"/>
      <c r="F156" s="949"/>
      <c r="G156" s="949"/>
      <c r="H156" s="949"/>
      <c r="I156" s="950"/>
      <c r="J156" s="742" t="s">
        <v>525</v>
      </c>
      <c r="K156" s="704"/>
    </row>
    <row r="157" spans="1:11" ht="19.5" customHeight="1">
      <c r="A157" s="579"/>
      <c r="B157" s="1108" t="s">
        <v>526</v>
      </c>
      <c r="C157" s="949"/>
      <c r="D157" s="949"/>
      <c r="E157" s="949"/>
      <c r="F157" s="949"/>
      <c r="G157" s="949"/>
      <c r="H157" s="949"/>
      <c r="I157" s="950"/>
      <c r="J157" s="743" t="e">
        <f>ROUND(SUM(J154:J156),2)</f>
        <v>#REF!</v>
      </c>
      <c r="K157" s="704"/>
    </row>
    <row r="158" spans="1:11" ht="15.75" customHeight="1">
      <c r="A158" s="579"/>
      <c r="B158" s="1153"/>
      <c r="C158" s="949"/>
      <c r="D158" s="949"/>
      <c r="E158" s="949"/>
      <c r="F158" s="949"/>
      <c r="G158" s="949"/>
      <c r="H158" s="949"/>
      <c r="I158" s="949"/>
      <c r="J158" s="950"/>
      <c r="K158" s="744"/>
    </row>
    <row r="159" spans="1:11" ht="27.75" customHeight="1">
      <c r="A159" s="579"/>
      <c r="B159" s="1154" t="s">
        <v>527</v>
      </c>
      <c r="C159" s="949"/>
      <c r="D159" s="949"/>
      <c r="E159" s="949"/>
      <c r="F159" s="949"/>
      <c r="G159" s="949"/>
      <c r="H159" s="949"/>
      <c r="I159" s="949"/>
      <c r="J159" s="950"/>
      <c r="K159" s="745"/>
    </row>
    <row r="160" spans="1:11" ht="19.5" customHeight="1">
      <c r="A160" s="579"/>
      <c r="B160" s="746"/>
      <c r="C160" s="747"/>
      <c r="D160" s="747"/>
      <c r="E160" s="747"/>
      <c r="F160" s="747"/>
      <c r="G160" s="747"/>
      <c r="H160" s="747"/>
      <c r="I160" s="747"/>
      <c r="J160" s="748"/>
      <c r="K160" s="314"/>
    </row>
    <row r="161" spans="1:11" ht="24" customHeight="1">
      <c r="A161" s="579"/>
      <c r="B161" s="1117" t="s">
        <v>528</v>
      </c>
      <c r="C161" s="949"/>
      <c r="D161" s="949"/>
      <c r="E161" s="949"/>
      <c r="F161" s="949"/>
      <c r="G161" s="949"/>
      <c r="H161" s="949"/>
      <c r="I161" s="949"/>
      <c r="J161" s="950"/>
      <c r="K161" s="711"/>
    </row>
    <row r="162" spans="1:11" ht="30" customHeight="1">
      <c r="A162" s="579"/>
      <c r="B162" s="680">
        <v>6</v>
      </c>
      <c r="C162" s="1118" t="s">
        <v>529</v>
      </c>
      <c r="D162" s="949"/>
      <c r="E162" s="949"/>
      <c r="F162" s="949"/>
      <c r="G162" s="949"/>
      <c r="H162" s="950"/>
      <c r="I162" s="749" t="s">
        <v>411</v>
      </c>
      <c r="J162" s="750" t="s">
        <v>455</v>
      </c>
      <c r="K162" s="751"/>
    </row>
    <row r="163" spans="1:11" ht="54" customHeight="1">
      <c r="A163" s="579"/>
      <c r="B163" s="1062" t="s">
        <v>530</v>
      </c>
      <c r="C163" s="949"/>
      <c r="D163" s="949"/>
      <c r="E163" s="949"/>
      <c r="F163" s="949"/>
      <c r="G163" s="949"/>
      <c r="H163" s="950"/>
      <c r="I163" s="341" t="s">
        <v>382</v>
      </c>
      <c r="J163" s="752" t="e">
        <f>SUM(J63+J115+J124+J150+J157)</f>
        <v>#REF!</v>
      </c>
      <c r="K163" s="753"/>
    </row>
    <row r="164" spans="1:11" ht="23.25" customHeight="1">
      <c r="A164" s="579"/>
      <c r="B164" s="682" t="s">
        <v>369</v>
      </c>
      <c r="C164" s="1155" t="s">
        <v>531</v>
      </c>
      <c r="D164" s="949"/>
      <c r="E164" s="949"/>
      <c r="F164" s="949"/>
      <c r="G164" s="949"/>
      <c r="H164" s="950"/>
      <c r="I164" s="670">
        <f>'1-ABA-DE-CARREGAMENTO'!G85</f>
        <v>0.06</v>
      </c>
      <c r="J164" s="671" t="e">
        <f>ROUND(I164*J163,2)</f>
        <v>#REF!</v>
      </c>
      <c r="K164" s="663"/>
    </row>
    <row r="165" spans="1:11" ht="51" customHeight="1">
      <c r="A165" s="579"/>
      <c r="B165" s="1062" t="s">
        <v>532</v>
      </c>
      <c r="C165" s="949"/>
      <c r="D165" s="949"/>
      <c r="E165" s="949"/>
      <c r="F165" s="949"/>
      <c r="G165" s="949"/>
      <c r="H165" s="950"/>
      <c r="I165" s="754" t="s">
        <v>382</v>
      </c>
      <c r="J165" s="752" t="e">
        <f>SUM(J63+J115+J124+J150+J157+J164)</f>
        <v>#REF!</v>
      </c>
      <c r="K165" s="753"/>
    </row>
    <row r="166" spans="1:11" ht="19.5" customHeight="1">
      <c r="A166" s="579"/>
      <c r="B166" s="682" t="s">
        <v>371</v>
      </c>
      <c r="C166" s="1155" t="s">
        <v>312</v>
      </c>
      <c r="D166" s="949"/>
      <c r="E166" s="949"/>
      <c r="F166" s="949"/>
      <c r="G166" s="949"/>
      <c r="H166" s="950"/>
      <c r="I166" s="670">
        <f>'1-ABA-DE-CARREGAMENTO'!G86</f>
        <v>0.06</v>
      </c>
      <c r="J166" s="671" t="e">
        <f>ROUND(I166*J165,2)</f>
        <v>#REF!</v>
      </c>
      <c r="K166" s="663"/>
    </row>
    <row r="167" spans="1:11" ht="54" customHeight="1">
      <c r="A167" s="579"/>
      <c r="B167" s="1062" t="s">
        <v>533</v>
      </c>
      <c r="C167" s="949"/>
      <c r="D167" s="949"/>
      <c r="E167" s="949"/>
      <c r="F167" s="949"/>
      <c r="G167" s="949"/>
      <c r="H167" s="950"/>
      <c r="I167" s="754" t="s">
        <v>382</v>
      </c>
      <c r="J167" s="752" t="e">
        <f>SUM(J163+J164+J166)</f>
        <v>#REF!</v>
      </c>
      <c r="K167" s="753"/>
    </row>
    <row r="168" spans="1:11" ht="18.75" customHeight="1">
      <c r="A168" s="579"/>
      <c r="B168" s="755" t="s">
        <v>373</v>
      </c>
      <c r="C168" s="1117" t="s">
        <v>534</v>
      </c>
      <c r="D168" s="949"/>
      <c r="E168" s="949"/>
      <c r="F168" s="949"/>
      <c r="G168" s="949"/>
      <c r="H168" s="950"/>
      <c r="I168" s="756" t="s">
        <v>382</v>
      </c>
      <c r="J168" s="643" t="s">
        <v>382</v>
      </c>
      <c r="K168" s="644"/>
    </row>
    <row r="169" spans="1:11" ht="30" customHeight="1">
      <c r="A169" s="579"/>
      <c r="B169" s="682"/>
      <c r="C169" s="1111" t="s">
        <v>535</v>
      </c>
      <c r="D169" s="949"/>
      <c r="E169" s="949"/>
      <c r="F169" s="949"/>
      <c r="G169" s="949"/>
      <c r="H169" s="950"/>
      <c r="I169" s="756" t="s">
        <v>382</v>
      </c>
      <c r="J169" s="643" t="s">
        <v>382</v>
      </c>
      <c r="K169" s="644"/>
    </row>
    <row r="170" spans="1:11" ht="30" customHeight="1">
      <c r="A170" s="579"/>
      <c r="B170" s="682"/>
      <c r="C170" s="1156" t="s">
        <v>852</v>
      </c>
      <c r="D170" s="949"/>
      <c r="E170" s="949"/>
      <c r="F170" s="949"/>
      <c r="G170" s="949"/>
      <c r="H170" s="950"/>
      <c r="I170" s="629">
        <f>'1-ABA-DE-CARREGAMENTO'!E28</f>
        <v>1.6500000000000001E-2</v>
      </c>
      <c r="J170" s="757" t="e">
        <f t="shared" ref="J170:J171" si="4">ROUND(($J$167/(1-$I$179))*I170,2)</f>
        <v>#REF!</v>
      </c>
      <c r="K170" s="758"/>
    </row>
    <row r="171" spans="1:11" ht="25.5" customHeight="1">
      <c r="A171" s="579"/>
      <c r="B171" s="682"/>
      <c r="C171" s="1156" t="s">
        <v>853</v>
      </c>
      <c r="D171" s="949"/>
      <c r="E171" s="949"/>
      <c r="F171" s="949"/>
      <c r="G171" s="949"/>
      <c r="H171" s="950"/>
      <c r="I171" s="629">
        <f>'1-ABA-DE-CARREGAMENTO'!F28</f>
        <v>7.5999999999999998E-2</v>
      </c>
      <c r="J171" s="757" t="e">
        <f t="shared" si="4"/>
        <v>#REF!</v>
      </c>
      <c r="K171" s="758"/>
    </row>
    <row r="172" spans="1:11" ht="23.25" customHeight="1">
      <c r="A172" s="579"/>
      <c r="B172" s="682"/>
      <c r="C172" s="1051" t="s">
        <v>854</v>
      </c>
      <c r="D172" s="949"/>
      <c r="E172" s="949"/>
      <c r="F172" s="949"/>
      <c r="G172" s="949"/>
      <c r="H172" s="950"/>
      <c r="I172" s="759" t="s">
        <v>382</v>
      </c>
      <c r="J172" s="643" t="s">
        <v>382</v>
      </c>
      <c r="K172" s="644"/>
    </row>
    <row r="173" spans="1:11" ht="23.25" customHeight="1">
      <c r="A173" s="579"/>
      <c r="B173" s="682"/>
      <c r="C173" s="1051" t="s">
        <v>855</v>
      </c>
      <c r="D173" s="949"/>
      <c r="E173" s="949"/>
      <c r="F173" s="949"/>
      <c r="G173" s="949"/>
      <c r="H173" s="950"/>
      <c r="I173" s="759" t="s">
        <v>382</v>
      </c>
      <c r="J173" s="643" t="s">
        <v>382</v>
      </c>
      <c r="K173" s="644"/>
    </row>
    <row r="174" spans="1:11" ht="15.75" customHeight="1">
      <c r="A174" s="579"/>
      <c r="B174" s="682"/>
      <c r="C174" s="1051" t="s">
        <v>540</v>
      </c>
      <c r="D174" s="949"/>
      <c r="E174" s="949"/>
      <c r="F174" s="949"/>
      <c r="G174" s="949"/>
      <c r="H174" s="949"/>
      <c r="I174" s="760" t="s">
        <v>382</v>
      </c>
      <c r="J174" s="761" t="s">
        <v>382</v>
      </c>
      <c r="K174" s="762"/>
    </row>
    <row r="175" spans="1:11" ht="15.75" customHeight="1">
      <c r="A175" s="579"/>
      <c r="B175" s="682"/>
      <c r="C175" s="1051" t="s">
        <v>541</v>
      </c>
      <c r="D175" s="949"/>
      <c r="E175" s="949"/>
      <c r="F175" s="949"/>
      <c r="G175" s="949"/>
      <c r="H175" s="949"/>
      <c r="I175" s="760" t="s">
        <v>382</v>
      </c>
      <c r="J175" s="761" t="s">
        <v>382</v>
      </c>
      <c r="K175" s="762"/>
    </row>
    <row r="176" spans="1:11" ht="15.75" customHeight="1">
      <c r="A176" s="579"/>
      <c r="B176" s="682"/>
      <c r="C176" s="1051" t="s">
        <v>856</v>
      </c>
      <c r="D176" s="949"/>
      <c r="E176" s="949"/>
      <c r="F176" s="949"/>
      <c r="G176" s="949"/>
      <c r="H176" s="950"/>
      <c r="I176" s="763">
        <f>'1-ABA-DE-CARREGAMENTO'!D87</f>
        <v>0.03</v>
      </c>
      <c r="J176" s="757" t="e">
        <f>ROUND(($J$167/(1-$I$179))*I176,2)</f>
        <v>#REF!</v>
      </c>
      <c r="K176" s="758"/>
    </row>
    <row r="177" spans="1:11" ht="15.75" customHeight="1">
      <c r="A177" s="579"/>
      <c r="B177" s="1108" t="s">
        <v>497</v>
      </c>
      <c r="C177" s="949"/>
      <c r="D177" s="949"/>
      <c r="E177" s="949"/>
      <c r="F177" s="949"/>
      <c r="G177" s="949"/>
      <c r="H177" s="949"/>
      <c r="I177" s="950"/>
      <c r="J177" s="662" t="e">
        <f>SUM(J164+J166+J170+J171+J176)</f>
        <v>#REF!</v>
      </c>
      <c r="K177" s="663"/>
    </row>
    <row r="178" spans="1:11" ht="15.75" customHeight="1">
      <c r="A178" s="579"/>
      <c r="B178" s="1112"/>
      <c r="C178" s="949"/>
      <c r="D178" s="949"/>
      <c r="E178" s="949"/>
      <c r="F178" s="949"/>
      <c r="G178" s="949"/>
      <c r="H178" s="949"/>
      <c r="I178" s="949"/>
      <c r="J178" s="950"/>
      <c r="K178" s="715"/>
    </row>
    <row r="179" spans="1:11" ht="15.75" customHeight="1">
      <c r="A179" s="579"/>
      <c r="B179" s="1157" t="s">
        <v>543</v>
      </c>
      <c r="C179" s="949"/>
      <c r="D179" s="949"/>
      <c r="E179" s="949"/>
      <c r="F179" s="949"/>
      <c r="G179" s="949"/>
      <c r="H179" s="950"/>
      <c r="I179" s="764">
        <f t="shared" ref="I179:J179" si="5">SUM(I170:I176)</f>
        <v>0.1225</v>
      </c>
      <c r="J179" s="752" t="e">
        <f t="shared" si="5"/>
        <v>#REF!</v>
      </c>
      <c r="K179" s="753"/>
    </row>
    <row r="180" spans="1:11" ht="15.75" customHeight="1">
      <c r="A180" s="579"/>
      <c r="B180" s="1158" t="s">
        <v>544</v>
      </c>
      <c r="C180" s="947"/>
      <c r="D180" s="1159" t="s">
        <v>545</v>
      </c>
      <c r="E180" s="947"/>
      <c r="F180" s="947"/>
      <c r="G180" s="947"/>
      <c r="H180" s="947"/>
      <c r="I180" s="947"/>
      <c r="J180" s="1020"/>
      <c r="K180" s="765"/>
    </row>
    <row r="181" spans="1:11" ht="15.75" customHeight="1">
      <c r="A181" s="579"/>
      <c r="B181" s="1151"/>
      <c r="C181" s="947"/>
      <c r="D181" s="1160" t="s">
        <v>546</v>
      </c>
      <c r="E181" s="947"/>
      <c r="F181" s="947"/>
      <c r="G181" s="947"/>
      <c r="H181" s="947"/>
      <c r="I181" s="947"/>
      <c r="J181" s="1020"/>
      <c r="K181" s="766"/>
    </row>
    <row r="182" spans="1:11" ht="15.75" customHeight="1">
      <c r="A182" s="579"/>
      <c r="B182" s="1134"/>
      <c r="C182" s="1037"/>
      <c r="D182" s="1161" t="s">
        <v>547</v>
      </c>
      <c r="E182" s="1037"/>
      <c r="F182" s="1037"/>
      <c r="G182" s="1037"/>
      <c r="H182" s="1037"/>
      <c r="I182" s="1037"/>
      <c r="J182" s="1038"/>
      <c r="K182" s="765"/>
    </row>
    <row r="183" spans="1:11" ht="9" customHeight="1">
      <c r="A183" s="579"/>
      <c r="B183" s="1162"/>
      <c r="C183" s="949"/>
      <c r="D183" s="949"/>
      <c r="E183" s="949"/>
      <c r="F183" s="949"/>
      <c r="G183" s="949"/>
      <c r="H183" s="949"/>
      <c r="I183" s="949"/>
      <c r="J183" s="950"/>
      <c r="K183" s="767"/>
    </row>
    <row r="184" spans="1:11" ht="25.5" customHeight="1">
      <c r="A184" s="579"/>
      <c r="B184" s="1046" t="s">
        <v>548</v>
      </c>
      <c r="C184" s="949"/>
      <c r="D184" s="949"/>
      <c r="E184" s="949"/>
      <c r="F184" s="949"/>
      <c r="G184" s="949"/>
      <c r="H184" s="949"/>
      <c r="I184" s="949"/>
      <c r="J184" s="950"/>
      <c r="K184" s="596"/>
    </row>
    <row r="185" spans="1:11" ht="8.25" customHeight="1">
      <c r="A185" s="579"/>
      <c r="B185" s="1112"/>
      <c r="C185" s="949"/>
      <c r="D185" s="949"/>
      <c r="E185" s="949"/>
      <c r="F185" s="949"/>
      <c r="G185" s="949"/>
      <c r="H185" s="949"/>
      <c r="I185" s="949"/>
      <c r="J185" s="950"/>
      <c r="K185" s="715"/>
    </row>
    <row r="186" spans="1:11" ht="15.75" customHeight="1">
      <c r="A186" s="579"/>
      <c r="B186" s="1113" t="s">
        <v>857</v>
      </c>
      <c r="C186" s="949"/>
      <c r="D186" s="949"/>
      <c r="E186" s="949"/>
      <c r="F186" s="949"/>
      <c r="G186" s="949"/>
      <c r="H186" s="949"/>
      <c r="I186" s="949"/>
      <c r="J186" s="950"/>
      <c r="K186" s="716"/>
    </row>
    <row r="187" spans="1:11" ht="15.75" customHeight="1">
      <c r="A187" s="579"/>
      <c r="B187" s="1050" t="s">
        <v>550</v>
      </c>
      <c r="C187" s="949"/>
      <c r="D187" s="949"/>
      <c r="E187" s="949"/>
      <c r="F187" s="949"/>
      <c r="G187" s="949"/>
      <c r="H187" s="949"/>
      <c r="I187" s="950"/>
      <c r="J187" s="749" t="s">
        <v>447</v>
      </c>
      <c r="K187" s="593"/>
    </row>
    <row r="188" spans="1:11" ht="15.75" customHeight="1">
      <c r="A188" s="579"/>
      <c r="B188" s="768" t="s">
        <v>369</v>
      </c>
      <c r="C188" s="1123" t="s">
        <v>551</v>
      </c>
      <c r="D188" s="949"/>
      <c r="E188" s="949"/>
      <c r="F188" s="949"/>
      <c r="G188" s="949"/>
      <c r="H188" s="949"/>
      <c r="I188" s="949"/>
      <c r="J188" s="742">
        <f>J63</f>
        <v>2725.8</v>
      </c>
      <c r="K188" s="704"/>
    </row>
    <row r="189" spans="1:11" ht="15.75" customHeight="1">
      <c r="A189" s="579"/>
      <c r="B189" s="768" t="s">
        <v>371</v>
      </c>
      <c r="C189" s="1123" t="s">
        <v>552</v>
      </c>
      <c r="D189" s="949"/>
      <c r="E189" s="949"/>
      <c r="F189" s="949"/>
      <c r="G189" s="949"/>
      <c r="H189" s="949"/>
      <c r="I189" s="949"/>
      <c r="J189" s="742">
        <f>J115</f>
        <v>1803.44</v>
      </c>
      <c r="K189" s="704"/>
    </row>
    <row r="190" spans="1:11" ht="15.75" customHeight="1">
      <c r="A190" s="579"/>
      <c r="B190" s="768" t="s">
        <v>373</v>
      </c>
      <c r="C190" s="1123" t="s">
        <v>553</v>
      </c>
      <c r="D190" s="949"/>
      <c r="E190" s="949"/>
      <c r="F190" s="949"/>
      <c r="G190" s="949"/>
      <c r="H190" s="949"/>
      <c r="I190" s="949"/>
      <c r="J190" s="742">
        <f>J124</f>
        <v>152.70999999999998</v>
      </c>
      <c r="K190" s="704"/>
    </row>
    <row r="191" spans="1:11" ht="15.75" customHeight="1">
      <c r="A191" s="579"/>
      <c r="B191" s="768" t="s">
        <v>375</v>
      </c>
      <c r="C191" s="1123" t="s">
        <v>554</v>
      </c>
      <c r="D191" s="949"/>
      <c r="E191" s="949"/>
      <c r="F191" s="949"/>
      <c r="G191" s="949"/>
      <c r="H191" s="949"/>
      <c r="I191" s="949"/>
      <c r="J191" s="742">
        <f>J150</f>
        <v>392.62569333333329</v>
      </c>
      <c r="K191" s="704"/>
    </row>
    <row r="192" spans="1:11" ht="15.75" customHeight="1">
      <c r="A192" s="579"/>
      <c r="B192" s="768" t="s">
        <v>417</v>
      </c>
      <c r="C192" s="1123" t="s">
        <v>555</v>
      </c>
      <c r="D192" s="949"/>
      <c r="E192" s="949"/>
      <c r="F192" s="949"/>
      <c r="G192" s="949"/>
      <c r="H192" s="949"/>
      <c r="I192" s="949"/>
      <c r="J192" s="742" t="e">
        <f>J157</f>
        <v>#REF!</v>
      </c>
      <c r="K192" s="704"/>
    </row>
    <row r="193" spans="1:11" ht="15.75" customHeight="1">
      <c r="A193" s="579"/>
      <c r="B193" s="1124" t="s">
        <v>556</v>
      </c>
      <c r="C193" s="949"/>
      <c r="D193" s="949"/>
      <c r="E193" s="949"/>
      <c r="F193" s="949"/>
      <c r="G193" s="949"/>
      <c r="H193" s="949"/>
      <c r="I193" s="949"/>
      <c r="J193" s="743" t="e">
        <f>ROUND(SUM(J188:J192),2)</f>
        <v>#REF!</v>
      </c>
      <c r="K193" s="704"/>
    </row>
    <row r="194" spans="1:11" ht="15.75" customHeight="1">
      <c r="A194" s="579"/>
      <c r="B194" s="769" t="s">
        <v>421</v>
      </c>
      <c r="C194" s="1123" t="s">
        <v>528</v>
      </c>
      <c r="D194" s="949"/>
      <c r="E194" s="949"/>
      <c r="F194" s="949"/>
      <c r="G194" s="949"/>
      <c r="H194" s="949"/>
      <c r="I194" s="949"/>
      <c r="J194" s="742" t="e">
        <f>J177</f>
        <v>#REF!</v>
      </c>
      <c r="K194" s="704"/>
    </row>
    <row r="195" spans="1:11" ht="15.75" customHeight="1">
      <c r="A195" s="579"/>
      <c r="B195" s="1124" t="s">
        <v>666</v>
      </c>
      <c r="C195" s="949"/>
      <c r="D195" s="949"/>
      <c r="E195" s="949"/>
      <c r="F195" s="949"/>
      <c r="G195" s="949"/>
      <c r="H195" s="949"/>
      <c r="I195" s="949"/>
      <c r="J195" s="743" t="e">
        <f>J193+J194</f>
        <v>#REF!</v>
      </c>
      <c r="K195" s="704"/>
    </row>
    <row r="196" spans="1:11" ht="15.75" customHeight="1">
      <c r="A196" s="579"/>
      <c r="B196" s="1169" t="s">
        <v>558</v>
      </c>
      <c r="C196" s="949"/>
      <c r="D196" s="949"/>
      <c r="E196" s="949"/>
      <c r="F196" s="949"/>
      <c r="G196" s="949"/>
      <c r="H196" s="949"/>
      <c r="I196" s="949"/>
      <c r="J196" s="950"/>
      <c r="K196" s="874"/>
    </row>
    <row r="197" spans="1:11" ht="9" customHeight="1">
      <c r="A197" s="579"/>
      <c r="B197" s="1170"/>
      <c r="C197" s="949"/>
      <c r="D197" s="949"/>
      <c r="E197" s="949"/>
      <c r="F197" s="949"/>
      <c r="G197" s="949"/>
      <c r="H197" s="949"/>
      <c r="I197" s="949"/>
      <c r="J197" s="950"/>
      <c r="K197" s="771"/>
    </row>
    <row r="198" spans="1:11" ht="15.75" customHeight="1">
      <c r="A198" s="579"/>
      <c r="B198" s="772"/>
      <c r="C198" s="587"/>
      <c r="D198" s="587"/>
      <c r="E198" s="587"/>
      <c r="F198" s="587"/>
      <c r="G198" s="587"/>
      <c r="H198" s="587"/>
      <c r="I198" s="773"/>
      <c r="J198" s="774"/>
      <c r="K198" s="773"/>
    </row>
    <row r="199" spans="1:11" ht="15.75" customHeight="1">
      <c r="A199" s="579"/>
      <c r="B199" s="1129" t="s">
        <v>559</v>
      </c>
      <c r="C199" s="947"/>
      <c r="D199" s="947"/>
      <c r="E199" s="947"/>
      <c r="F199" s="947"/>
      <c r="G199" s="947"/>
      <c r="H199" s="947"/>
      <c r="I199" s="947"/>
      <c r="J199" s="1020"/>
      <c r="K199" s="588"/>
    </row>
    <row r="200" spans="1:11" ht="35.25" customHeight="1">
      <c r="A200" s="579"/>
      <c r="B200" s="1075" t="s">
        <v>560</v>
      </c>
      <c r="C200" s="949"/>
      <c r="D200" s="949"/>
      <c r="E200" s="950"/>
      <c r="F200" s="1075" t="s">
        <v>667</v>
      </c>
      <c r="G200" s="950"/>
      <c r="H200" s="749" t="s">
        <v>563</v>
      </c>
      <c r="I200" s="1075" t="s">
        <v>564</v>
      </c>
      <c r="J200" s="950"/>
      <c r="K200" s="593"/>
    </row>
    <row r="201" spans="1:11" ht="35.25" hidden="1" customHeight="1" outlineLevel="1">
      <c r="A201" s="579"/>
      <c r="B201" s="1051" t="s">
        <v>565</v>
      </c>
      <c r="C201" s="949"/>
      <c r="D201" s="949"/>
      <c r="E201" s="950"/>
      <c r="F201" s="1140">
        <v>0</v>
      </c>
      <c r="G201" s="950"/>
      <c r="H201" s="875">
        <f t="shared" ref="H201:H202" si="6">E201*F201</f>
        <v>0</v>
      </c>
      <c r="I201" s="1140">
        <f t="shared" ref="I201:I203" si="7">F201*H201</f>
        <v>0</v>
      </c>
      <c r="J201" s="950"/>
      <c r="K201" s="779"/>
    </row>
    <row r="202" spans="1:11" ht="35.25" hidden="1" customHeight="1" outlineLevel="1">
      <c r="A202" s="579"/>
      <c r="B202" s="1051" t="s">
        <v>566</v>
      </c>
      <c r="C202" s="949"/>
      <c r="D202" s="949"/>
      <c r="E202" s="950"/>
      <c r="F202" s="1140">
        <v>0</v>
      </c>
      <c r="G202" s="950"/>
      <c r="H202" s="875">
        <f t="shared" si="6"/>
        <v>0</v>
      </c>
      <c r="I202" s="1140">
        <f t="shared" si="7"/>
        <v>0</v>
      </c>
      <c r="J202" s="950"/>
      <c r="K202" s="779"/>
    </row>
    <row r="203" spans="1:11" ht="35.25" customHeight="1" collapsed="1">
      <c r="A203" s="579"/>
      <c r="B203" s="1141" t="str">
        <f>B3</f>
        <v>A NÃO TEM MAIS POSTOS-22</v>
      </c>
      <c r="C203" s="949"/>
      <c r="D203" s="949"/>
      <c r="E203" s="950"/>
      <c r="F203" s="1131" t="e">
        <f>J195</f>
        <v>#REF!</v>
      </c>
      <c r="G203" s="950"/>
      <c r="H203" s="875">
        <f>I17</f>
        <v>0</v>
      </c>
      <c r="I203" s="1140" t="e">
        <f t="shared" si="7"/>
        <v>#REF!</v>
      </c>
      <c r="J203" s="950"/>
      <c r="K203" s="779"/>
    </row>
    <row r="204" spans="1:11" ht="35.25" hidden="1" customHeight="1" outlineLevel="1">
      <c r="A204" s="579"/>
      <c r="B204" s="1051" t="s">
        <v>567</v>
      </c>
      <c r="C204" s="949"/>
      <c r="D204" s="949"/>
      <c r="E204" s="950"/>
      <c r="F204" s="1131">
        <v>0</v>
      </c>
      <c r="G204" s="950"/>
      <c r="H204" s="875">
        <f t="shared" ref="H204:I204" si="8">E204*G204</f>
        <v>0</v>
      </c>
      <c r="I204" s="1140">
        <f t="shared" si="8"/>
        <v>0</v>
      </c>
      <c r="J204" s="950"/>
      <c r="K204" s="779"/>
    </row>
    <row r="205" spans="1:11" ht="35.25" hidden="1" customHeight="1" outlineLevel="1">
      <c r="A205" s="579"/>
      <c r="B205" s="1051" t="s">
        <v>568</v>
      </c>
      <c r="C205" s="949"/>
      <c r="D205" s="949"/>
      <c r="E205" s="950"/>
      <c r="F205" s="1131">
        <v>0</v>
      </c>
      <c r="G205" s="950"/>
      <c r="H205" s="875">
        <f t="shared" ref="H205:I205" si="9">E205*G205</f>
        <v>0</v>
      </c>
      <c r="I205" s="1140">
        <f t="shared" si="9"/>
        <v>0</v>
      </c>
      <c r="J205" s="950"/>
      <c r="K205" s="779"/>
    </row>
    <row r="206" spans="1:11" ht="15.75" hidden="1" customHeight="1" outlineLevel="1">
      <c r="A206" s="579"/>
      <c r="B206" s="1142" t="s">
        <v>858</v>
      </c>
      <c r="C206" s="949"/>
      <c r="D206" s="949"/>
      <c r="E206" s="950"/>
      <c r="F206" s="1140">
        <v>0</v>
      </c>
      <c r="G206" s="950"/>
      <c r="H206" s="875">
        <f t="shared" ref="H206:I206" si="10">E206*G206</f>
        <v>0</v>
      </c>
      <c r="I206" s="1140">
        <f t="shared" si="10"/>
        <v>0</v>
      </c>
      <c r="J206" s="950"/>
      <c r="K206" s="779"/>
    </row>
    <row r="207" spans="1:11" ht="15.75" customHeight="1" collapsed="1">
      <c r="A207" s="579"/>
      <c r="B207" s="1143" t="s">
        <v>570</v>
      </c>
      <c r="C207" s="949"/>
      <c r="D207" s="949"/>
      <c r="E207" s="949"/>
      <c r="F207" s="949"/>
      <c r="G207" s="950"/>
      <c r="H207" s="906">
        <f>SUM(H201:H206)</f>
        <v>0</v>
      </c>
      <c r="I207" s="1176" t="e">
        <f>SUM(I201:J206)</f>
        <v>#REF!</v>
      </c>
      <c r="J207" s="950"/>
      <c r="K207" s="786"/>
    </row>
    <row r="208" spans="1:11" ht="15.75" customHeight="1">
      <c r="A208" s="579"/>
      <c r="B208" s="1144"/>
      <c r="C208" s="1145"/>
      <c r="D208" s="1145"/>
      <c r="E208" s="1145"/>
      <c r="F208" s="1145"/>
      <c r="G208" s="1145"/>
      <c r="H208" s="1145"/>
      <c r="I208" s="1145"/>
      <c r="J208" s="1146"/>
      <c r="K208" s="715"/>
    </row>
    <row r="209" spans="1:11" ht="15.75" customHeight="1">
      <c r="A209" s="579"/>
      <c r="B209" s="1147" t="s">
        <v>571</v>
      </c>
      <c r="C209" s="1037"/>
      <c r="D209" s="1037"/>
      <c r="E209" s="1037"/>
      <c r="F209" s="1037"/>
      <c r="G209" s="1037"/>
      <c r="H209" s="1037"/>
      <c r="I209" s="1037"/>
      <c r="J209" s="1038"/>
      <c r="K209" s="596"/>
    </row>
    <row r="210" spans="1:11" ht="6" customHeight="1">
      <c r="A210" s="579"/>
      <c r="B210" s="1148"/>
      <c r="C210" s="949"/>
      <c r="D210" s="949"/>
      <c r="E210" s="949"/>
      <c r="F210" s="949"/>
      <c r="G210" s="949"/>
      <c r="H210" s="949"/>
      <c r="I210" s="949"/>
      <c r="J210" s="950"/>
      <c r="K210" s="787"/>
    </row>
    <row r="211" spans="1:11" ht="21" customHeight="1">
      <c r="A211" s="579"/>
      <c r="B211" s="1072" t="s">
        <v>572</v>
      </c>
      <c r="C211" s="949"/>
      <c r="D211" s="949"/>
      <c r="E211" s="949"/>
      <c r="F211" s="949"/>
      <c r="G211" s="950"/>
      <c r="H211" s="1149" t="e">
        <f>$I$207</f>
        <v>#REF!</v>
      </c>
      <c r="I211" s="949"/>
      <c r="J211" s="950"/>
      <c r="K211" s="788"/>
    </row>
    <row r="212" spans="1:11" ht="6" customHeight="1">
      <c r="A212" s="579"/>
      <c r="B212" s="1135"/>
      <c r="C212" s="954"/>
      <c r="D212" s="954"/>
      <c r="E212" s="954"/>
      <c r="F212" s="954"/>
      <c r="G212" s="954"/>
      <c r="H212" s="954"/>
      <c r="I212" s="954"/>
      <c r="J212" s="1136"/>
      <c r="K212" s="789"/>
    </row>
    <row r="213" spans="1:11" ht="18.75" customHeight="1">
      <c r="A213" s="579"/>
      <c r="B213" s="1072" t="s">
        <v>573</v>
      </c>
      <c r="C213" s="949"/>
      <c r="D213" s="949"/>
      <c r="E213" s="949"/>
      <c r="F213" s="949"/>
      <c r="G213" s="950"/>
      <c r="H213" s="1073">
        <f>$I$11</f>
        <v>30</v>
      </c>
      <c r="I213" s="949"/>
      <c r="J213" s="950"/>
      <c r="K213" s="790"/>
    </row>
    <row r="214" spans="1:11" ht="6.75" customHeight="1">
      <c r="A214" s="579"/>
      <c r="B214" s="1137"/>
      <c r="C214" s="949"/>
      <c r="D214" s="949"/>
      <c r="E214" s="949"/>
      <c r="F214" s="949"/>
      <c r="G214" s="949"/>
      <c r="H214" s="949"/>
      <c r="I214" s="949"/>
      <c r="J214" s="950"/>
      <c r="K214" s="791"/>
    </row>
    <row r="215" spans="1:11" ht="18.75" customHeight="1">
      <c r="A215" s="579"/>
      <c r="B215" s="1072" t="s">
        <v>859</v>
      </c>
      <c r="C215" s="949"/>
      <c r="D215" s="949"/>
      <c r="E215" s="949"/>
      <c r="F215" s="949"/>
      <c r="G215" s="950"/>
      <c r="H215" s="1138" t="e">
        <f>ROUND(H211*H213,2)</f>
        <v>#REF!</v>
      </c>
      <c r="I215" s="949"/>
      <c r="J215" s="950"/>
      <c r="K215" s="792"/>
    </row>
    <row r="216" spans="1:11" ht="6" customHeight="1">
      <c r="A216" s="579"/>
      <c r="B216" s="1139"/>
      <c r="C216" s="949"/>
      <c r="D216" s="949"/>
      <c r="E216" s="949"/>
      <c r="F216" s="949"/>
      <c r="G216" s="949"/>
      <c r="H216" s="949"/>
      <c r="I216" s="949"/>
      <c r="J216" s="950"/>
      <c r="K216" s="587"/>
    </row>
    <row r="217" spans="1:11" ht="15.75" customHeight="1">
      <c r="A217" s="579"/>
      <c r="B217" s="579"/>
      <c r="C217" s="579"/>
      <c r="D217" s="579"/>
      <c r="E217" s="579"/>
      <c r="F217" s="579"/>
      <c r="G217" s="579"/>
      <c r="H217" s="579"/>
      <c r="I217" s="579"/>
      <c r="J217" s="579"/>
      <c r="K217" s="579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1">
    <mergeCell ref="I206:J206"/>
    <mergeCell ref="I207:J207"/>
    <mergeCell ref="B202:E202"/>
    <mergeCell ref="F202:G202"/>
    <mergeCell ref="I202:J202"/>
    <mergeCell ref="B203:E203"/>
    <mergeCell ref="F203:G203"/>
    <mergeCell ref="B204:E204"/>
    <mergeCell ref="F204:G204"/>
    <mergeCell ref="B207:G207"/>
    <mergeCell ref="B200:E200"/>
    <mergeCell ref="F200:G200"/>
    <mergeCell ref="I200:J200"/>
    <mergeCell ref="B201:E201"/>
    <mergeCell ref="F201:G201"/>
    <mergeCell ref="I201:J201"/>
    <mergeCell ref="I203:J203"/>
    <mergeCell ref="I204:J204"/>
    <mergeCell ref="I205:J205"/>
    <mergeCell ref="C190:I190"/>
    <mergeCell ref="C191:I191"/>
    <mergeCell ref="C192:I192"/>
    <mergeCell ref="B193:I193"/>
    <mergeCell ref="C194:I194"/>
    <mergeCell ref="B195:I195"/>
    <mergeCell ref="B196:J196"/>
    <mergeCell ref="B197:J197"/>
    <mergeCell ref="B199:J199"/>
    <mergeCell ref="B208:J208"/>
    <mergeCell ref="B209:J209"/>
    <mergeCell ref="B215:G215"/>
    <mergeCell ref="H215:J215"/>
    <mergeCell ref="B216:J216"/>
    <mergeCell ref="B210:J210"/>
    <mergeCell ref="B211:G211"/>
    <mergeCell ref="H211:J211"/>
    <mergeCell ref="B212:J212"/>
    <mergeCell ref="B213:G213"/>
    <mergeCell ref="H213:J213"/>
    <mergeCell ref="B214:J214"/>
    <mergeCell ref="B205:E205"/>
    <mergeCell ref="F205:G205"/>
    <mergeCell ref="B206:E206"/>
    <mergeCell ref="F206:G206"/>
    <mergeCell ref="C171:H171"/>
    <mergeCell ref="C172:H172"/>
    <mergeCell ref="C173:H173"/>
    <mergeCell ref="C174:H174"/>
    <mergeCell ref="C175:H175"/>
    <mergeCell ref="C176:H176"/>
    <mergeCell ref="B177:I177"/>
    <mergeCell ref="B178:J178"/>
    <mergeCell ref="B179:H179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88:I188"/>
    <mergeCell ref="C189:I189"/>
    <mergeCell ref="B76:J76"/>
    <mergeCell ref="C120:I120"/>
    <mergeCell ref="C121:I121"/>
    <mergeCell ref="C122:I122"/>
    <mergeCell ref="C123:H123"/>
    <mergeCell ref="B124:I124"/>
    <mergeCell ref="B125:J125"/>
    <mergeCell ref="B126:J126"/>
    <mergeCell ref="B127:J127"/>
    <mergeCell ref="B115:I115"/>
    <mergeCell ref="B116:J116"/>
    <mergeCell ref="B117:J117"/>
    <mergeCell ref="C118:I118"/>
    <mergeCell ref="C119:I119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C114:I114"/>
    <mergeCell ref="C97:I97"/>
    <mergeCell ref="B67:J67"/>
    <mergeCell ref="B68:J68"/>
    <mergeCell ref="C69:I69"/>
    <mergeCell ref="C70:H70"/>
    <mergeCell ref="C71:H71"/>
    <mergeCell ref="B72:I72"/>
    <mergeCell ref="B73:J73"/>
    <mergeCell ref="B74:J74"/>
    <mergeCell ref="B75:J75"/>
    <mergeCell ref="B58:I58"/>
    <mergeCell ref="C59:I59"/>
    <mergeCell ref="C60:I60"/>
    <mergeCell ref="B61:I61"/>
    <mergeCell ref="B62:J62"/>
    <mergeCell ref="B63:I63"/>
    <mergeCell ref="B64:J64"/>
    <mergeCell ref="B65:J65"/>
    <mergeCell ref="B66:J66"/>
    <mergeCell ref="C50:F50"/>
    <mergeCell ref="G50:H50"/>
    <mergeCell ref="C51:E51"/>
    <mergeCell ref="C52:I52"/>
    <mergeCell ref="C53:I53"/>
    <mergeCell ref="C54:E54"/>
    <mergeCell ref="C55:E55"/>
    <mergeCell ref="C56:I56"/>
    <mergeCell ref="C57:I57"/>
    <mergeCell ref="B42:J42"/>
    <mergeCell ref="B43:J43"/>
    <mergeCell ref="B44:J44"/>
    <mergeCell ref="B45:J45"/>
    <mergeCell ref="C46:H46"/>
    <mergeCell ref="C47:F47"/>
    <mergeCell ref="C48:E48"/>
    <mergeCell ref="F48:H48"/>
    <mergeCell ref="C49:H49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C33:F33"/>
    <mergeCell ref="C34:F34"/>
    <mergeCell ref="G34:H34"/>
    <mergeCell ref="I34:J34"/>
    <mergeCell ref="C35:F35"/>
    <mergeCell ref="G35:H35"/>
    <mergeCell ref="I35:J35"/>
    <mergeCell ref="C36:H36"/>
    <mergeCell ref="I36:J36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B163:H163"/>
    <mergeCell ref="C168:H168"/>
    <mergeCell ref="C169:H169"/>
    <mergeCell ref="C170:H170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B158:J158"/>
    <mergeCell ref="B157:I157"/>
    <mergeCell ref="C164:H164"/>
    <mergeCell ref="B165:H165"/>
    <mergeCell ref="C166:H166"/>
    <mergeCell ref="B167:H167"/>
    <mergeCell ref="B128:J128"/>
    <mergeCell ref="B130:J130"/>
    <mergeCell ref="B131:J131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B141:J141"/>
    <mergeCell ref="C142:I142"/>
    <mergeCell ref="C143:I143"/>
    <mergeCell ref="B159:J159"/>
    <mergeCell ref="B161:J161"/>
    <mergeCell ref="C162:H162"/>
    <mergeCell ref="C77:H77"/>
    <mergeCell ref="C78:H78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B89:J89"/>
    <mergeCell ref="B90:J90"/>
    <mergeCell ref="C91:I91"/>
    <mergeCell ref="C92:H92"/>
    <mergeCell ref="C93:H93"/>
    <mergeCell ref="C94:H94"/>
    <mergeCell ref="C95:H95"/>
    <mergeCell ref="C96:H96"/>
    <mergeCell ref="C149:I149"/>
    <mergeCell ref="B150:I150"/>
    <mergeCell ref="B151:J151"/>
    <mergeCell ref="B152:J152"/>
    <mergeCell ref="C153:I153"/>
    <mergeCell ref="C154:I154"/>
    <mergeCell ref="C155:I155"/>
    <mergeCell ref="C156:I156"/>
    <mergeCell ref="C98:H98"/>
    <mergeCell ref="C99:H99"/>
    <mergeCell ref="C100:H100"/>
    <mergeCell ref="C101:I101"/>
    <mergeCell ref="C102:I102"/>
    <mergeCell ref="C103:I103"/>
    <mergeCell ref="C104:I104"/>
    <mergeCell ref="C105:I105"/>
    <mergeCell ref="B144:I144"/>
    <mergeCell ref="B145:J145"/>
    <mergeCell ref="B146:J146"/>
    <mergeCell ref="C147:I147"/>
    <mergeCell ref="C148:I148"/>
  </mergeCells>
  <conditionalFormatting sqref="I49:I50">
    <cfRule type="cellIs" dxfId="15" priority="1" operator="equal">
      <formula>0</formula>
    </cfRule>
  </conditionalFormatting>
  <conditionalFormatting sqref="I48">
    <cfRule type="cellIs" dxfId="14" priority="2" operator="equal">
      <formula>0</formula>
    </cfRule>
  </conditionalFormatting>
  <pageMargins left="0.511811024" right="0.511811024" top="0.78740157499999996" bottom="0.78740157499999996" header="0" footer="0"/>
  <pageSetup orientation="landscape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B6DDE8"/>
  </sheetPr>
  <dimension ref="A1:K1000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3.140625" customWidth="1"/>
    <col min="7" max="8" width="14.28515625" customWidth="1"/>
    <col min="9" max="9" width="11.28515625" customWidth="1"/>
    <col min="10" max="10" width="15.85546875" customWidth="1"/>
    <col min="11" max="11" width="17" customWidth="1"/>
  </cols>
  <sheetData>
    <row r="1" spans="1:11" ht="11.25" customHeight="1">
      <c r="A1" s="579"/>
      <c r="B1" s="579"/>
      <c r="C1" s="579"/>
      <c r="D1" s="579"/>
      <c r="E1" s="579"/>
      <c r="F1" s="579"/>
      <c r="G1" s="579"/>
      <c r="H1" s="579"/>
      <c r="I1" s="579"/>
      <c r="J1" s="904"/>
      <c r="K1" s="579"/>
    </row>
    <row r="2" spans="1:11" ht="16.5" customHeight="1">
      <c r="A2" s="579"/>
      <c r="B2" s="1066" t="str">
        <f>'1-ABA-DE-CARREGAMENTO'!C11</f>
        <v xml:space="preserve"> S E R V I Ç O S     -    INTERPRETE DE LIBRAS e SINAIS </v>
      </c>
      <c r="C2" s="1054"/>
      <c r="D2" s="1054"/>
      <c r="E2" s="1054"/>
      <c r="F2" s="1054"/>
      <c r="G2" s="1054"/>
      <c r="H2" s="1054"/>
      <c r="I2" s="1054"/>
      <c r="J2" s="1055"/>
      <c r="K2" s="583"/>
    </row>
    <row r="3" spans="1:11" ht="16.5" customHeight="1">
      <c r="A3" s="579"/>
      <c r="B3" s="1067" t="str">
        <f>'1-ABA-DE-CARREGAMENTO'!H33</f>
        <v>A NÃO TEM MAIS POSTOS-33</v>
      </c>
      <c r="C3" s="1037"/>
      <c r="D3" s="1037"/>
      <c r="E3" s="1037"/>
      <c r="F3" s="1037"/>
      <c r="G3" s="1037"/>
      <c r="H3" s="1037"/>
      <c r="I3" s="1037"/>
      <c r="J3" s="1038"/>
      <c r="K3" s="584"/>
    </row>
    <row r="4" spans="1:11" ht="16.5" customHeight="1">
      <c r="A4" s="579"/>
      <c r="B4" s="1060" t="s">
        <v>366</v>
      </c>
      <c r="C4" s="1037"/>
      <c r="D4" s="1037"/>
      <c r="E4" s="1037"/>
      <c r="F4" s="1038"/>
      <c r="G4" s="1068">
        <f>'1-ABA-DE-CARREGAMENTO'!C12</f>
        <v>0</v>
      </c>
      <c r="H4" s="1037"/>
      <c r="I4" s="1037"/>
      <c r="J4" s="1038"/>
      <c r="K4" s="585"/>
    </row>
    <row r="5" spans="1:11" ht="16.5" customHeight="1">
      <c r="A5" s="579"/>
      <c r="B5" s="1051" t="s">
        <v>367</v>
      </c>
      <c r="C5" s="949"/>
      <c r="D5" s="949"/>
      <c r="E5" s="949"/>
      <c r="F5" s="950"/>
      <c r="G5" s="1069">
        <f>'1-ABA-DE-CARREGAMENTO'!C13</f>
        <v>0</v>
      </c>
      <c r="H5" s="949"/>
      <c r="I5" s="949"/>
      <c r="J5" s="950"/>
      <c r="K5" s="585"/>
    </row>
    <row r="6" spans="1:11" ht="16.5" customHeight="1">
      <c r="A6" s="579"/>
      <c r="B6" s="1070">
        <f>'1-ABA-DE-CARREGAMENTO'!C16</f>
        <v>0</v>
      </c>
      <c r="C6" s="949"/>
      <c r="D6" s="949"/>
      <c r="E6" s="949"/>
      <c r="F6" s="949"/>
      <c r="G6" s="949"/>
      <c r="H6" s="949"/>
      <c r="I6" s="949"/>
      <c r="J6" s="950"/>
      <c r="K6" s="587"/>
    </row>
    <row r="7" spans="1:11" ht="16.5" customHeight="1">
      <c r="A7" s="579"/>
      <c r="B7" s="1050" t="s">
        <v>368</v>
      </c>
      <c r="C7" s="949"/>
      <c r="D7" s="949"/>
      <c r="E7" s="949"/>
      <c r="F7" s="949"/>
      <c r="G7" s="949"/>
      <c r="H7" s="949"/>
      <c r="I7" s="949"/>
      <c r="J7" s="950"/>
      <c r="K7" s="588"/>
    </row>
    <row r="8" spans="1:11" ht="16.5" customHeight="1">
      <c r="A8" s="579"/>
      <c r="B8" s="589" t="s">
        <v>369</v>
      </c>
      <c r="C8" s="1051" t="s">
        <v>370</v>
      </c>
      <c r="D8" s="949"/>
      <c r="E8" s="949"/>
      <c r="F8" s="949"/>
      <c r="G8" s="949"/>
      <c r="H8" s="950"/>
      <c r="I8" s="1071">
        <f>'1-ABA-DE-CARREGAMENTO'!C16</f>
        <v>0</v>
      </c>
      <c r="J8" s="950"/>
      <c r="K8" s="590"/>
    </row>
    <row r="9" spans="1:11" ht="16.5" customHeight="1">
      <c r="A9" s="579"/>
      <c r="B9" s="589" t="s">
        <v>371</v>
      </c>
      <c r="C9" s="1051" t="s">
        <v>372</v>
      </c>
      <c r="D9" s="949"/>
      <c r="E9" s="949"/>
      <c r="F9" s="949"/>
      <c r="G9" s="949"/>
      <c r="H9" s="950"/>
      <c r="I9" s="1069" t="str">
        <f>'1-ABA-DE-CARREGAMENTO'!C14</f>
        <v xml:space="preserve">SANTO-AUGUSTO </v>
      </c>
      <c r="J9" s="950"/>
      <c r="K9" s="585"/>
    </row>
    <row r="10" spans="1:11" ht="16.5" customHeight="1">
      <c r="A10" s="579"/>
      <c r="B10" s="589" t="s">
        <v>373</v>
      </c>
      <c r="C10" s="1051" t="s">
        <v>374</v>
      </c>
      <c r="D10" s="949"/>
      <c r="E10" s="949"/>
      <c r="F10" s="949"/>
      <c r="G10" s="949"/>
      <c r="H10" s="950"/>
      <c r="I10" s="1069" t="str">
        <f>'1-ABA-DE-CARREGAMENTO'!H35</f>
        <v>RS005021/2021</v>
      </c>
      <c r="J10" s="950"/>
      <c r="K10" s="585"/>
    </row>
    <row r="11" spans="1:11" ht="16.5" customHeight="1">
      <c r="A11" s="579"/>
      <c r="B11" s="589" t="s">
        <v>375</v>
      </c>
      <c r="C11" s="1051" t="s">
        <v>376</v>
      </c>
      <c r="D11" s="949"/>
      <c r="E11" s="949"/>
      <c r="F11" s="949"/>
      <c r="G11" s="949"/>
      <c r="H11" s="950"/>
      <c r="I11" s="1175">
        <f>'1-ABA-DE-CARREGAMENTO'!H94</f>
        <v>30</v>
      </c>
      <c r="J11" s="950"/>
      <c r="K11" s="585"/>
    </row>
    <row r="12" spans="1:11" ht="16.5" customHeight="1">
      <c r="A12" s="579"/>
      <c r="B12" s="1074" t="s">
        <v>377</v>
      </c>
      <c r="C12" s="949"/>
      <c r="D12" s="949"/>
      <c r="E12" s="949"/>
      <c r="F12" s="949"/>
      <c r="G12" s="949"/>
      <c r="H12" s="949"/>
      <c r="I12" s="949"/>
      <c r="J12" s="950"/>
      <c r="K12" s="592"/>
    </row>
    <row r="13" spans="1:11" ht="16.5" customHeight="1">
      <c r="A13" s="579"/>
      <c r="B13" s="1075" t="str">
        <f>'1-ABA-DE-CARREGAMENTO'!C11</f>
        <v xml:space="preserve"> S E R V I Ç O S     -    INTERPRETE DE LIBRAS e SINAIS </v>
      </c>
      <c r="C13" s="949"/>
      <c r="D13" s="949"/>
      <c r="E13" s="949"/>
      <c r="F13" s="949"/>
      <c r="G13" s="1075" t="s">
        <v>378</v>
      </c>
      <c r="H13" s="950"/>
      <c r="I13" s="1075" t="s">
        <v>379</v>
      </c>
      <c r="J13" s="950"/>
      <c r="K13" s="593"/>
    </row>
    <row r="14" spans="1:11" ht="16.5" hidden="1" customHeight="1" outlineLevel="1">
      <c r="A14" s="579"/>
      <c r="B14" s="1040" t="s">
        <v>380</v>
      </c>
      <c r="C14" s="949"/>
      <c r="D14" s="949"/>
      <c r="E14" s="949"/>
      <c r="F14" s="950"/>
      <c r="G14" s="1041" t="s">
        <v>381</v>
      </c>
      <c r="H14" s="950"/>
      <c r="I14" s="1042" t="s">
        <v>382</v>
      </c>
      <c r="J14" s="950"/>
      <c r="K14" s="594"/>
    </row>
    <row r="15" spans="1:11" ht="16.5" hidden="1" customHeight="1" outlineLevel="1">
      <c r="A15" s="579"/>
      <c r="B15" s="1040" t="s">
        <v>383</v>
      </c>
      <c r="C15" s="949"/>
      <c r="D15" s="949"/>
      <c r="E15" s="949"/>
      <c r="F15" s="950"/>
      <c r="G15" s="1041" t="s">
        <v>381</v>
      </c>
      <c r="H15" s="950"/>
      <c r="I15" s="1042" t="s">
        <v>382</v>
      </c>
      <c r="J15" s="950"/>
      <c r="K15" s="594"/>
    </row>
    <row r="16" spans="1:11" ht="16.5" hidden="1" customHeight="1" outlineLevel="1">
      <c r="A16" s="579"/>
      <c r="B16" s="1040" t="s">
        <v>384</v>
      </c>
      <c r="C16" s="949"/>
      <c r="D16" s="949"/>
      <c r="E16" s="949"/>
      <c r="F16" s="950"/>
      <c r="G16" s="1041" t="s">
        <v>381</v>
      </c>
      <c r="H16" s="950"/>
      <c r="I16" s="1042" t="s">
        <v>382</v>
      </c>
      <c r="J16" s="950"/>
      <c r="K16" s="594"/>
    </row>
    <row r="17" spans="1:11" ht="16.5" customHeight="1" collapsed="1">
      <c r="A17" s="579"/>
      <c r="B17" s="1040" t="str">
        <f>B3</f>
        <v>A NÃO TEM MAIS POSTOS-33</v>
      </c>
      <c r="C17" s="949"/>
      <c r="D17" s="949"/>
      <c r="E17" s="949"/>
      <c r="F17" s="950"/>
      <c r="G17" s="1041" t="s">
        <v>381</v>
      </c>
      <c r="H17" s="950"/>
      <c r="I17" s="1042">
        <f>'1-ABA-DE-CARREGAMENTO'!H92</f>
        <v>0</v>
      </c>
      <c r="J17" s="950"/>
      <c r="K17" s="594"/>
    </row>
    <row r="18" spans="1:11" ht="16.5" hidden="1" customHeight="1" outlineLevel="1">
      <c r="A18" s="579"/>
      <c r="B18" s="1040" t="s">
        <v>385</v>
      </c>
      <c r="C18" s="949"/>
      <c r="D18" s="949"/>
      <c r="E18" s="949"/>
      <c r="F18" s="950"/>
      <c r="G18" s="1041" t="s">
        <v>381</v>
      </c>
      <c r="H18" s="950"/>
      <c r="I18" s="1042" t="s">
        <v>382</v>
      </c>
      <c r="J18" s="950"/>
      <c r="K18" s="594"/>
    </row>
    <row r="19" spans="1:11" ht="16.5" hidden="1" customHeight="1" outlineLevel="1">
      <c r="A19" s="579"/>
      <c r="B19" s="1040" t="s">
        <v>860</v>
      </c>
      <c r="C19" s="949"/>
      <c r="D19" s="949"/>
      <c r="E19" s="949"/>
      <c r="F19" s="950"/>
      <c r="G19" s="1041" t="s">
        <v>381</v>
      </c>
      <c r="H19" s="950"/>
      <c r="I19" s="1042" t="s">
        <v>382</v>
      </c>
      <c r="J19" s="950"/>
      <c r="K19" s="594"/>
    </row>
    <row r="20" spans="1:11" ht="16.5" customHeight="1" collapsed="1">
      <c r="A20" s="579"/>
      <c r="B20" s="1044" t="s">
        <v>387</v>
      </c>
      <c r="C20" s="949"/>
      <c r="D20" s="949"/>
      <c r="E20" s="949"/>
      <c r="F20" s="949"/>
      <c r="G20" s="949"/>
      <c r="H20" s="950"/>
      <c r="I20" s="1043">
        <f>SUM(I14:I19)</f>
        <v>0</v>
      </c>
      <c r="J20" s="950"/>
      <c r="K20" s="595"/>
    </row>
    <row r="21" spans="1:11" ht="16.5" customHeight="1">
      <c r="A21" s="579"/>
      <c r="B21" s="1045"/>
      <c r="C21" s="949"/>
      <c r="D21" s="949"/>
      <c r="E21" s="949"/>
      <c r="F21" s="949"/>
      <c r="G21" s="949"/>
      <c r="H21" s="949"/>
      <c r="I21" s="949"/>
      <c r="J21" s="950"/>
      <c r="K21" s="593"/>
    </row>
    <row r="22" spans="1:11" ht="51" customHeight="1">
      <c r="A22" s="579"/>
      <c r="B22" s="1046" t="s">
        <v>388</v>
      </c>
      <c r="C22" s="949"/>
      <c r="D22" s="949"/>
      <c r="E22" s="949"/>
      <c r="F22" s="949"/>
      <c r="G22" s="949"/>
      <c r="H22" s="949"/>
      <c r="I22" s="949"/>
      <c r="J22" s="950"/>
      <c r="K22" s="596"/>
    </row>
    <row r="23" spans="1:11" ht="16.5" customHeight="1">
      <c r="A23" s="579"/>
      <c r="B23" s="1047"/>
      <c r="C23" s="949"/>
      <c r="D23" s="949"/>
      <c r="E23" s="949"/>
      <c r="F23" s="949"/>
      <c r="G23" s="949"/>
      <c r="H23" s="949"/>
      <c r="I23" s="949"/>
      <c r="J23" s="950"/>
      <c r="K23" s="362"/>
    </row>
    <row r="24" spans="1:11" ht="16.5" customHeight="1">
      <c r="A24" s="579"/>
      <c r="B24" s="1048" t="s">
        <v>861</v>
      </c>
      <c r="C24" s="949"/>
      <c r="D24" s="949"/>
      <c r="E24" s="949"/>
      <c r="F24" s="949"/>
      <c r="G24" s="949"/>
      <c r="H24" s="949"/>
      <c r="I24" s="949"/>
      <c r="J24" s="950"/>
      <c r="K24" s="597"/>
    </row>
    <row r="25" spans="1:11" ht="15" customHeight="1">
      <c r="A25" s="579"/>
      <c r="B25" s="1049"/>
      <c r="C25" s="949"/>
      <c r="D25" s="949"/>
      <c r="E25" s="949"/>
      <c r="F25" s="949"/>
      <c r="G25" s="949"/>
      <c r="H25" s="949"/>
      <c r="I25" s="949"/>
      <c r="J25" s="950"/>
      <c r="K25" s="598"/>
    </row>
    <row r="26" spans="1:11" ht="21" customHeight="1">
      <c r="A26" s="593"/>
      <c r="B26" s="1050" t="s">
        <v>390</v>
      </c>
      <c r="C26" s="949"/>
      <c r="D26" s="949"/>
      <c r="E26" s="949"/>
      <c r="F26" s="949"/>
      <c r="G26" s="949"/>
      <c r="H26" s="949"/>
      <c r="I26" s="949"/>
      <c r="J26" s="950"/>
      <c r="K26" s="588"/>
    </row>
    <row r="27" spans="1:11" ht="27" customHeight="1">
      <c r="A27" s="579"/>
      <c r="B27" s="589">
        <v>1</v>
      </c>
      <c r="C27" s="1051" t="s">
        <v>391</v>
      </c>
      <c r="D27" s="949"/>
      <c r="E27" s="949"/>
      <c r="F27" s="949"/>
      <c r="G27" s="949"/>
      <c r="H27" s="950"/>
      <c r="I27" s="1052" t="str">
        <f>'1-ABA-DE-CARREGAMENTO'!H33</f>
        <v>A NÃO TEM MAIS POSTOS-33</v>
      </c>
      <c r="J27" s="950"/>
      <c r="K27" s="599"/>
    </row>
    <row r="28" spans="1:11" ht="20.25" customHeight="1">
      <c r="A28" s="579"/>
      <c r="B28" s="600">
        <v>2</v>
      </c>
      <c r="C28" s="1092" t="s">
        <v>392</v>
      </c>
      <c r="D28" s="949"/>
      <c r="E28" s="949"/>
      <c r="F28" s="949"/>
      <c r="G28" s="949"/>
      <c r="H28" s="950"/>
      <c r="I28" s="1056"/>
      <c r="J28" s="950"/>
      <c r="K28" s="601"/>
    </row>
    <row r="29" spans="1:11" ht="34.5" customHeight="1">
      <c r="A29" s="579"/>
      <c r="B29" s="589">
        <v>3</v>
      </c>
      <c r="C29" s="1057" t="s">
        <v>862</v>
      </c>
      <c r="D29" s="929"/>
      <c r="E29" s="907">
        <v>220</v>
      </c>
      <c r="F29" s="604">
        <f>'1-ABA-DE-CARREGAMENTO'!H37</f>
        <v>1396.01</v>
      </c>
      <c r="G29" s="586" t="s">
        <v>394</v>
      </c>
      <c r="H29" s="864">
        <f>'1-ABA-DE-CARREGAMENTO'!H52</f>
        <v>220</v>
      </c>
      <c r="I29" s="1058">
        <f>F29/E29*H29</f>
        <v>1396.01</v>
      </c>
      <c r="J29" s="950"/>
      <c r="K29" s="606"/>
    </row>
    <row r="30" spans="1:11" ht="13.5" customHeight="1">
      <c r="A30" s="579"/>
      <c r="B30" s="589">
        <v>4</v>
      </c>
      <c r="C30" s="1051" t="s">
        <v>395</v>
      </c>
      <c r="D30" s="949"/>
      <c r="E30" s="949"/>
      <c r="F30" s="949"/>
      <c r="G30" s="949"/>
      <c r="H30" s="950"/>
      <c r="I30" s="1059"/>
      <c r="J30" s="950"/>
      <c r="K30" s="607"/>
    </row>
    <row r="31" spans="1:11" ht="11.25" customHeight="1">
      <c r="A31" s="579"/>
      <c r="B31" s="589">
        <v>5</v>
      </c>
      <c r="C31" s="1051" t="s">
        <v>396</v>
      </c>
      <c r="D31" s="949"/>
      <c r="E31" s="949"/>
      <c r="F31" s="949"/>
      <c r="G31" s="949"/>
      <c r="H31" s="950"/>
      <c r="I31" s="1061" t="str">
        <f>'1-ABA-DE-CARREGAMENTO'!H36</f>
        <v>01 de JANEIRO</v>
      </c>
      <c r="J31" s="950"/>
      <c r="K31" s="608"/>
    </row>
    <row r="32" spans="1:11" ht="12.75" customHeight="1">
      <c r="A32" s="579"/>
      <c r="B32" s="609">
        <v>6</v>
      </c>
      <c r="C32" s="1062" t="s">
        <v>863</v>
      </c>
      <c r="D32" s="949"/>
      <c r="E32" s="949"/>
      <c r="F32" s="949"/>
      <c r="G32" s="949"/>
      <c r="H32" s="950"/>
      <c r="I32" s="1063">
        <f>I29/H29</f>
        <v>6.3455000000000004</v>
      </c>
      <c r="J32" s="950"/>
      <c r="K32" s="610"/>
    </row>
    <row r="33" spans="1:11" ht="36.75" customHeight="1">
      <c r="A33" s="579"/>
      <c r="B33" s="609">
        <v>7</v>
      </c>
      <c r="C33" s="1062" t="s">
        <v>864</v>
      </c>
      <c r="D33" s="949"/>
      <c r="E33" s="949"/>
      <c r="F33" s="950"/>
      <c r="G33" s="1064"/>
      <c r="H33" s="950"/>
      <c r="I33" s="1076">
        <f>(SUM(J47:J50)/H29)</f>
        <v>7.5454999999999997</v>
      </c>
      <c r="J33" s="950"/>
      <c r="K33" s="610"/>
    </row>
    <row r="34" spans="1:11" ht="28.5" customHeight="1">
      <c r="A34" s="579"/>
      <c r="B34" s="609">
        <v>8</v>
      </c>
      <c r="C34" s="1062" t="s">
        <v>865</v>
      </c>
      <c r="D34" s="949"/>
      <c r="E34" s="949"/>
      <c r="F34" s="950"/>
      <c r="G34" s="1064"/>
      <c r="H34" s="950"/>
      <c r="I34" s="1063">
        <f t="shared" ref="I34:I35" si="0">I32*1.5</f>
        <v>9.5182500000000001</v>
      </c>
      <c r="J34" s="950"/>
      <c r="K34" s="610"/>
    </row>
    <row r="35" spans="1:11" ht="28.5" customHeight="1">
      <c r="A35" s="579"/>
      <c r="B35" s="609">
        <v>9</v>
      </c>
      <c r="C35" s="1062" t="s">
        <v>866</v>
      </c>
      <c r="D35" s="949"/>
      <c r="E35" s="949"/>
      <c r="F35" s="950"/>
      <c r="G35" s="1064" t="s">
        <v>401</v>
      </c>
      <c r="H35" s="950"/>
      <c r="I35" s="1076">
        <f t="shared" si="0"/>
        <v>11.318249999999999</v>
      </c>
      <c r="J35" s="950"/>
      <c r="K35" s="611"/>
    </row>
    <row r="36" spans="1:11" ht="28.5" customHeight="1">
      <c r="A36" s="579"/>
      <c r="B36" s="609">
        <v>10</v>
      </c>
      <c r="C36" s="1062" t="s">
        <v>867</v>
      </c>
      <c r="D36" s="949"/>
      <c r="E36" s="949"/>
      <c r="F36" s="949"/>
      <c r="G36" s="949"/>
      <c r="H36" s="950"/>
      <c r="I36" s="1063">
        <f>I35*1.2</f>
        <v>13.581899999999999</v>
      </c>
      <c r="J36" s="950"/>
      <c r="K36" s="610"/>
    </row>
    <row r="37" spans="1:11" ht="28.5" customHeight="1">
      <c r="A37" s="579"/>
      <c r="B37" s="609">
        <v>11</v>
      </c>
      <c r="C37" s="1062" t="s">
        <v>868</v>
      </c>
      <c r="D37" s="949"/>
      <c r="E37" s="949"/>
      <c r="F37" s="949"/>
      <c r="G37" s="949"/>
      <c r="H37" s="950"/>
      <c r="I37" s="1076">
        <f>I35*2</f>
        <v>22.636499999999998</v>
      </c>
      <c r="J37" s="950"/>
      <c r="K37" s="610"/>
    </row>
    <row r="38" spans="1:11" ht="14.25" customHeight="1">
      <c r="A38" s="579"/>
      <c r="B38" s="609">
        <v>12</v>
      </c>
      <c r="C38" s="1062" t="s">
        <v>869</v>
      </c>
      <c r="D38" s="949"/>
      <c r="E38" s="949"/>
      <c r="F38" s="949"/>
      <c r="G38" s="949"/>
      <c r="H38" s="950"/>
      <c r="I38" s="1063">
        <f>I29*'1-ABA-DE-CARREGAMENTO'!D44</f>
        <v>0</v>
      </c>
      <c r="J38" s="950"/>
      <c r="K38" s="610"/>
    </row>
    <row r="39" spans="1:11" ht="14.25" customHeight="1">
      <c r="A39" s="579"/>
      <c r="B39" s="609">
        <v>13</v>
      </c>
      <c r="C39" s="1062" t="s">
        <v>405</v>
      </c>
      <c r="D39" s="949"/>
      <c r="E39" s="949"/>
      <c r="F39" s="949"/>
      <c r="G39" s="949"/>
      <c r="H39" s="950"/>
      <c r="I39" s="1063">
        <f>ROUND(I32/6,2)*1.3</f>
        <v>1.3780000000000001</v>
      </c>
      <c r="J39" s="950"/>
      <c r="K39" s="610"/>
    </row>
    <row r="40" spans="1:11" ht="11.25" customHeight="1">
      <c r="A40" s="579"/>
      <c r="B40" s="609">
        <v>14</v>
      </c>
      <c r="C40" s="1164" t="s">
        <v>406</v>
      </c>
      <c r="D40" s="949"/>
      <c r="E40" s="949"/>
      <c r="F40" s="949"/>
      <c r="G40" s="949"/>
      <c r="H40" s="950"/>
      <c r="I40" s="1182">
        <f>'1-ABA-DE-CARREGAMENTO'!H93</f>
        <v>1</v>
      </c>
      <c r="J40" s="950"/>
      <c r="K40" s="614"/>
    </row>
    <row r="41" spans="1:11" ht="11.25" customHeight="1">
      <c r="A41" s="579"/>
      <c r="B41" s="609">
        <v>15</v>
      </c>
      <c r="C41" s="1164" t="s">
        <v>687</v>
      </c>
      <c r="D41" s="949"/>
      <c r="E41" s="949"/>
      <c r="F41" s="949"/>
      <c r="G41" s="949"/>
      <c r="H41" s="950"/>
      <c r="I41" s="1165">
        <f>'1-ABA-DE-CARREGAMENTO'!E42</f>
        <v>1320</v>
      </c>
      <c r="J41" s="950"/>
      <c r="K41" s="616"/>
    </row>
    <row r="42" spans="1:11" ht="11.25" customHeight="1">
      <c r="A42" s="579"/>
      <c r="B42" s="1047"/>
      <c r="C42" s="949"/>
      <c r="D42" s="949"/>
      <c r="E42" s="949"/>
      <c r="F42" s="949"/>
      <c r="G42" s="949"/>
      <c r="H42" s="949"/>
      <c r="I42" s="949"/>
      <c r="J42" s="950"/>
      <c r="K42" s="362"/>
    </row>
    <row r="43" spans="1:11" ht="28.5" customHeight="1">
      <c r="A43" s="579"/>
      <c r="B43" s="1086" t="s">
        <v>408</v>
      </c>
      <c r="C43" s="949"/>
      <c r="D43" s="949"/>
      <c r="E43" s="949"/>
      <c r="F43" s="949"/>
      <c r="G43" s="949"/>
      <c r="H43" s="949"/>
      <c r="I43" s="949"/>
      <c r="J43" s="950"/>
      <c r="K43" s="617"/>
    </row>
    <row r="44" spans="1:11" ht="14.25" customHeight="1">
      <c r="A44" s="579"/>
      <c r="B44" s="1087"/>
      <c r="C44" s="949"/>
      <c r="D44" s="949"/>
      <c r="E44" s="949"/>
      <c r="F44" s="949"/>
      <c r="G44" s="949"/>
      <c r="H44" s="949"/>
      <c r="I44" s="949"/>
      <c r="J44" s="950"/>
      <c r="K44" s="618"/>
    </row>
    <row r="45" spans="1:11" ht="28.5" customHeight="1">
      <c r="A45" s="579"/>
      <c r="B45" s="1088" t="s">
        <v>409</v>
      </c>
      <c r="C45" s="949"/>
      <c r="D45" s="949"/>
      <c r="E45" s="949"/>
      <c r="F45" s="949"/>
      <c r="G45" s="949"/>
      <c r="H45" s="949"/>
      <c r="I45" s="949"/>
      <c r="J45" s="950"/>
      <c r="K45" s="620"/>
    </row>
    <row r="46" spans="1:11" ht="28.5" customHeight="1">
      <c r="A46" s="621"/>
      <c r="B46" s="622">
        <v>1</v>
      </c>
      <c r="C46" s="1089" t="s">
        <v>410</v>
      </c>
      <c r="D46" s="949"/>
      <c r="E46" s="949"/>
      <c r="F46" s="949"/>
      <c r="G46" s="949"/>
      <c r="H46" s="950"/>
      <c r="I46" s="623" t="s">
        <v>411</v>
      </c>
      <c r="J46" s="622" t="s">
        <v>412</v>
      </c>
      <c r="K46" s="592"/>
    </row>
    <row r="47" spans="1:11" ht="17.25" customHeight="1">
      <c r="A47" s="579"/>
      <c r="B47" s="589" t="s">
        <v>369</v>
      </c>
      <c r="C47" s="1051" t="s">
        <v>413</v>
      </c>
      <c r="D47" s="949"/>
      <c r="E47" s="949"/>
      <c r="F47" s="950"/>
      <c r="G47" s="624" t="s">
        <v>184</v>
      </c>
      <c r="H47" s="625">
        <f>'1-ABA-DE-CARREGAMENTO'!H52</f>
        <v>220</v>
      </c>
      <c r="I47" s="624"/>
      <c r="J47" s="627">
        <f>I29*I40</f>
        <v>1396.01</v>
      </c>
      <c r="K47" s="628"/>
    </row>
    <row r="48" spans="1:11" ht="50.25" customHeight="1">
      <c r="A48" s="579"/>
      <c r="B48" s="589" t="s">
        <v>371</v>
      </c>
      <c r="C48" s="1183" t="s">
        <v>870</v>
      </c>
      <c r="D48" s="949"/>
      <c r="E48" s="949"/>
      <c r="F48" s="1090" t="str">
        <f>'1-ABA-DE-CARREGAMENTO'!H38</f>
        <v>SEM ADICIONAL DE FUNÇÃO</v>
      </c>
      <c r="G48" s="949"/>
      <c r="H48" s="950"/>
      <c r="I48" s="867">
        <f>'1-ABA-DE-CARREGAMENTO'!H39</f>
        <v>0</v>
      </c>
      <c r="J48" s="915">
        <f>(J47*I48)/3</f>
        <v>0</v>
      </c>
      <c r="K48" s="628"/>
    </row>
    <row r="49" spans="1:11" ht="27" customHeight="1">
      <c r="A49" s="579"/>
      <c r="B49" s="589" t="s">
        <v>373</v>
      </c>
      <c r="C49" s="1051" t="s">
        <v>871</v>
      </c>
      <c r="D49" s="949"/>
      <c r="E49" s="949"/>
      <c r="F49" s="949"/>
      <c r="G49" s="949"/>
      <c r="H49" s="950"/>
      <c r="I49" s="756">
        <f>'1-ABA-DE-CARREGAMENTO'!H44</f>
        <v>0</v>
      </c>
      <c r="J49" s="627">
        <f>ROUND(J47*I49,2)</f>
        <v>0</v>
      </c>
      <c r="K49" s="628"/>
    </row>
    <row r="50" spans="1:11" ht="18" customHeight="1">
      <c r="A50" s="579"/>
      <c r="B50" s="589" t="s">
        <v>375</v>
      </c>
      <c r="C50" s="1051" t="s">
        <v>690</v>
      </c>
      <c r="D50" s="949"/>
      <c r="E50" s="949"/>
      <c r="F50" s="949"/>
      <c r="G50" s="1090" t="str">
        <f>'1-ABA-DE-CARREGAMENTO'!H40</f>
        <v>INSALUB S/NORMATIVO</v>
      </c>
      <c r="H50" s="950"/>
      <c r="I50" s="869">
        <f>'1-ABA-DE-CARREGAMENTO'!H41</f>
        <v>0.2</v>
      </c>
      <c r="J50" s="627">
        <f>ROUND(I50*I41,2)</f>
        <v>264</v>
      </c>
      <c r="K50" s="628"/>
    </row>
    <row r="51" spans="1:11" ht="31.5" customHeight="1">
      <c r="A51" s="579"/>
      <c r="B51" s="589" t="s">
        <v>417</v>
      </c>
      <c r="C51" s="1091" t="s">
        <v>872</v>
      </c>
      <c r="D51" s="949"/>
      <c r="E51" s="950"/>
      <c r="F51" s="632" t="s">
        <v>419</v>
      </c>
      <c r="G51" s="870">
        <v>0</v>
      </c>
      <c r="H51" s="632" t="s">
        <v>420</v>
      </c>
      <c r="I51" s="634">
        <f>I36</f>
        <v>13.581899999999999</v>
      </c>
      <c r="J51" s="635">
        <f>G51*I51</f>
        <v>0</v>
      </c>
      <c r="K51" s="628"/>
    </row>
    <row r="52" spans="1:11" ht="43.5" customHeight="1" outlineLevel="1">
      <c r="A52" s="579"/>
      <c r="B52" s="589" t="s">
        <v>421</v>
      </c>
      <c r="C52" s="1092" t="s">
        <v>873</v>
      </c>
      <c r="D52" s="949"/>
      <c r="E52" s="949"/>
      <c r="F52" s="949"/>
      <c r="G52" s="949"/>
      <c r="H52" s="949"/>
      <c r="I52" s="950"/>
      <c r="J52" s="627">
        <f>ROUND(I38*(((12*15)+15)-((44/6)*26))*I35,2)*0+ROUND(2*4.33*I35,2)*0</f>
        <v>0</v>
      </c>
      <c r="K52" s="628"/>
    </row>
    <row r="53" spans="1:11" ht="31.5" customHeight="1" outlineLevel="1">
      <c r="A53" s="579"/>
      <c r="B53" s="589" t="s">
        <v>423</v>
      </c>
      <c r="C53" s="1092" t="s">
        <v>874</v>
      </c>
      <c r="D53" s="949"/>
      <c r="E53" s="949"/>
      <c r="F53" s="949"/>
      <c r="G53" s="949"/>
      <c r="H53" s="949"/>
      <c r="I53" s="950"/>
      <c r="J53" s="627">
        <f>ROUND(I39*I40*15,2)*0</f>
        <v>0</v>
      </c>
      <c r="K53" s="628"/>
    </row>
    <row r="54" spans="1:11" ht="31.5" customHeight="1">
      <c r="A54" s="579"/>
      <c r="B54" s="589" t="s">
        <v>425</v>
      </c>
      <c r="C54" s="1093" t="s">
        <v>875</v>
      </c>
      <c r="D54" s="1037"/>
      <c r="E54" s="1037"/>
      <c r="F54" s="636" t="s">
        <v>427</v>
      </c>
      <c r="G54" s="871">
        <v>0</v>
      </c>
      <c r="H54" s="636" t="s">
        <v>428</v>
      </c>
      <c r="I54" s="638">
        <f>I35</f>
        <v>11.318249999999999</v>
      </c>
      <c r="J54" s="635">
        <f t="shared" ref="J54:J55" si="1">G54*I54</f>
        <v>0</v>
      </c>
      <c r="K54" s="628"/>
    </row>
    <row r="55" spans="1:11" ht="31.5" customHeight="1">
      <c r="A55" s="579"/>
      <c r="B55" s="589" t="s">
        <v>429</v>
      </c>
      <c r="C55" s="1094" t="s">
        <v>876</v>
      </c>
      <c r="D55" s="947"/>
      <c r="E55" s="947"/>
      <c r="F55" s="636" t="s">
        <v>431</v>
      </c>
      <c r="G55" s="871">
        <v>0</v>
      </c>
      <c r="H55" s="636" t="s">
        <v>432</v>
      </c>
      <c r="I55" s="638">
        <f>I37</f>
        <v>22.636499999999998</v>
      </c>
      <c r="J55" s="639">
        <f t="shared" si="1"/>
        <v>0</v>
      </c>
      <c r="K55" s="628"/>
    </row>
    <row r="56" spans="1:11" ht="43.5" customHeight="1">
      <c r="A56" s="579"/>
      <c r="B56" s="589" t="s">
        <v>433</v>
      </c>
      <c r="C56" s="1051" t="s">
        <v>877</v>
      </c>
      <c r="D56" s="949"/>
      <c r="E56" s="949"/>
      <c r="F56" s="949"/>
      <c r="G56" s="949"/>
      <c r="H56" s="949"/>
      <c r="I56" s="950"/>
      <c r="J56" s="627">
        <f>ROUND(((J54+J55)/25)*5,2)</f>
        <v>0</v>
      </c>
      <c r="K56" s="628"/>
    </row>
    <row r="57" spans="1:11" ht="11.25" customHeight="1">
      <c r="A57" s="579"/>
      <c r="B57" s="589" t="s">
        <v>436</v>
      </c>
      <c r="C57" s="1051" t="s">
        <v>437</v>
      </c>
      <c r="D57" s="949"/>
      <c r="E57" s="949"/>
      <c r="F57" s="949"/>
      <c r="G57" s="949"/>
      <c r="H57" s="949"/>
      <c r="I57" s="950"/>
      <c r="J57" s="643" t="s">
        <v>382</v>
      </c>
      <c r="K57" s="644"/>
    </row>
    <row r="58" spans="1:11" ht="26.25" customHeight="1">
      <c r="A58" s="579"/>
      <c r="B58" s="1050" t="s">
        <v>438</v>
      </c>
      <c r="C58" s="949"/>
      <c r="D58" s="949"/>
      <c r="E58" s="949"/>
      <c r="F58" s="949"/>
      <c r="G58" s="949"/>
      <c r="H58" s="949"/>
      <c r="I58" s="950"/>
      <c r="J58" s="645">
        <f>SUM(J47:J57)</f>
        <v>1660.01</v>
      </c>
      <c r="K58" s="646"/>
    </row>
    <row r="59" spans="1:11" ht="14.25" customHeight="1">
      <c r="A59" s="579"/>
      <c r="B59" s="647"/>
      <c r="C59" s="1095"/>
      <c r="D59" s="949"/>
      <c r="E59" s="949"/>
      <c r="F59" s="949"/>
      <c r="G59" s="949"/>
      <c r="H59" s="949"/>
      <c r="I59" s="950"/>
      <c r="J59" s="648"/>
      <c r="K59" s="646"/>
    </row>
    <row r="60" spans="1:11" ht="24.75" customHeight="1">
      <c r="A60" s="579"/>
      <c r="B60" s="589" t="s">
        <v>425</v>
      </c>
      <c r="C60" s="1051" t="s">
        <v>878</v>
      </c>
      <c r="D60" s="949"/>
      <c r="E60" s="949"/>
      <c r="F60" s="949"/>
      <c r="G60" s="949"/>
      <c r="H60" s="949"/>
      <c r="I60" s="950"/>
      <c r="J60" s="627">
        <f>ROUND(I34*15*I40*0.5,2)*0</f>
        <v>0</v>
      </c>
      <c r="K60" s="628"/>
    </row>
    <row r="61" spans="1:11" ht="29.25" customHeight="1">
      <c r="A61" s="579"/>
      <c r="B61" s="1050" t="s">
        <v>879</v>
      </c>
      <c r="C61" s="949"/>
      <c r="D61" s="949"/>
      <c r="E61" s="949"/>
      <c r="F61" s="949"/>
      <c r="G61" s="949"/>
      <c r="H61" s="949"/>
      <c r="I61" s="950"/>
      <c r="J61" s="645">
        <f>J60</f>
        <v>0</v>
      </c>
      <c r="K61" s="646"/>
    </row>
    <row r="62" spans="1:11" ht="11.25" customHeight="1">
      <c r="A62" s="579"/>
      <c r="B62" s="1045"/>
      <c r="C62" s="949"/>
      <c r="D62" s="949"/>
      <c r="E62" s="949"/>
      <c r="F62" s="949"/>
      <c r="G62" s="949"/>
      <c r="H62" s="949"/>
      <c r="I62" s="949"/>
      <c r="J62" s="950"/>
      <c r="K62" s="593"/>
    </row>
    <row r="63" spans="1:11" ht="44.25" customHeight="1">
      <c r="A63" s="579"/>
      <c r="B63" s="1096" t="s">
        <v>880</v>
      </c>
      <c r="C63" s="949"/>
      <c r="D63" s="949"/>
      <c r="E63" s="949"/>
      <c r="F63" s="949"/>
      <c r="G63" s="949"/>
      <c r="H63" s="949"/>
      <c r="I63" s="950"/>
      <c r="J63" s="649">
        <f>J58+J61</f>
        <v>1660.01</v>
      </c>
      <c r="K63" s="650"/>
    </row>
    <row r="64" spans="1:11" ht="11.25" customHeight="1">
      <c r="A64" s="579"/>
      <c r="B64" s="1095"/>
      <c r="C64" s="949"/>
      <c r="D64" s="949"/>
      <c r="E64" s="949"/>
      <c r="F64" s="949"/>
      <c r="G64" s="949"/>
      <c r="H64" s="949"/>
      <c r="I64" s="949"/>
      <c r="J64" s="950"/>
      <c r="K64" s="651"/>
    </row>
    <row r="65" spans="1:11" ht="27.75" customHeight="1">
      <c r="A65" s="579"/>
      <c r="B65" s="1097" t="s">
        <v>442</v>
      </c>
      <c r="C65" s="949"/>
      <c r="D65" s="949"/>
      <c r="E65" s="949"/>
      <c r="F65" s="949"/>
      <c r="G65" s="949"/>
      <c r="H65" s="949"/>
      <c r="I65" s="949"/>
      <c r="J65" s="950"/>
      <c r="K65" s="652"/>
    </row>
    <row r="66" spans="1:11" ht="11.25" customHeight="1">
      <c r="A66" s="579"/>
      <c r="B66" s="1095"/>
      <c r="C66" s="949"/>
      <c r="D66" s="949"/>
      <c r="E66" s="949"/>
      <c r="F66" s="949"/>
      <c r="G66" s="949"/>
      <c r="H66" s="949"/>
      <c r="I66" s="949"/>
      <c r="J66" s="950"/>
      <c r="K66" s="651"/>
    </row>
    <row r="67" spans="1:11" ht="28.5" customHeight="1">
      <c r="A67" s="579"/>
      <c r="B67" s="1098" t="s">
        <v>443</v>
      </c>
      <c r="C67" s="949"/>
      <c r="D67" s="949"/>
      <c r="E67" s="949"/>
      <c r="F67" s="949"/>
      <c r="G67" s="949"/>
      <c r="H67" s="949"/>
      <c r="I67" s="949"/>
      <c r="J67" s="950"/>
      <c r="K67" s="653"/>
    </row>
    <row r="68" spans="1:11" ht="21.75" customHeight="1">
      <c r="A68" s="579"/>
      <c r="B68" s="1099" t="s">
        <v>881</v>
      </c>
      <c r="C68" s="949"/>
      <c r="D68" s="949"/>
      <c r="E68" s="949"/>
      <c r="F68" s="949"/>
      <c r="G68" s="949"/>
      <c r="H68" s="949"/>
      <c r="I68" s="949"/>
      <c r="J68" s="950"/>
      <c r="K68" s="654"/>
    </row>
    <row r="69" spans="1:11" ht="15" customHeight="1">
      <c r="A69" s="579"/>
      <c r="B69" s="655" t="s">
        <v>445</v>
      </c>
      <c r="C69" s="1100" t="s">
        <v>882</v>
      </c>
      <c r="D69" s="949"/>
      <c r="E69" s="949"/>
      <c r="F69" s="949"/>
      <c r="G69" s="949"/>
      <c r="H69" s="949"/>
      <c r="I69" s="950"/>
      <c r="J69" s="656" t="s">
        <v>447</v>
      </c>
      <c r="K69" s="657"/>
    </row>
    <row r="70" spans="1:11" ht="27.75" customHeight="1">
      <c r="A70" s="579"/>
      <c r="B70" s="655" t="s">
        <v>369</v>
      </c>
      <c r="C70" s="1092" t="s">
        <v>883</v>
      </c>
      <c r="D70" s="949"/>
      <c r="E70" s="949"/>
      <c r="F70" s="949"/>
      <c r="G70" s="949"/>
      <c r="H70" s="950"/>
      <c r="I70" s="658">
        <v>8.3299999999999999E-2</v>
      </c>
      <c r="J70" s="659">
        <f>ROUND(J58*I70,2)</f>
        <v>138.28</v>
      </c>
      <c r="K70" s="660"/>
    </row>
    <row r="71" spans="1:11" ht="89.25" customHeight="1">
      <c r="A71" s="579"/>
      <c r="B71" s="655" t="s">
        <v>371</v>
      </c>
      <c r="C71" s="1101" t="s">
        <v>884</v>
      </c>
      <c r="D71" s="949"/>
      <c r="E71" s="949"/>
      <c r="F71" s="949"/>
      <c r="G71" s="949"/>
      <c r="H71" s="950"/>
      <c r="I71" s="661">
        <v>3.0249999999999999E-2</v>
      </c>
      <c r="J71" s="659">
        <f>ROUND(J58*I71,2)</f>
        <v>50.22</v>
      </c>
      <c r="K71" s="660"/>
    </row>
    <row r="72" spans="1:11" ht="11.25" customHeight="1">
      <c r="A72" s="579"/>
      <c r="B72" s="1102" t="s">
        <v>450</v>
      </c>
      <c r="C72" s="949"/>
      <c r="D72" s="949"/>
      <c r="E72" s="949"/>
      <c r="F72" s="949"/>
      <c r="G72" s="949"/>
      <c r="H72" s="949"/>
      <c r="I72" s="950"/>
      <c r="J72" s="662">
        <f>SUM(J70+J71)</f>
        <v>188.5</v>
      </c>
      <c r="K72" s="663"/>
    </row>
    <row r="73" spans="1:11" ht="14.25" customHeight="1">
      <c r="A73" s="579"/>
      <c r="B73" s="1103"/>
      <c r="C73" s="949"/>
      <c r="D73" s="949"/>
      <c r="E73" s="949"/>
      <c r="F73" s="949"/>
      <c r="G73" s="949"/>
      <c r="H73" s="949"/>
      <c r="I73" s="949"/>
      <c r="J73" s="950"/>
      <c r="K73" s="664"/>
    </row>
    <row r="74" spans="1:11" ht="87" customHeight="1">
      <c r="A74" s="579"/>
      <c r="B74" s="1086" t="s">
        <v>885</v>
      </c>
      <c r="C74" s="949"/>
      <c r="D74" s="949"/>
      <c r="E74" s="949"/>
      <c r="F74" s="949"/>
      <c r="G74" s="949"/>
      <c r="H74" s="949"/>
      <c r="I74" s="949"/>
      <c r="J74" s="950"/>
      <c r="K74" s="617"/>
    </row>
    <row r="75" spans="1:11" ht="14.25" customHeight="1">
      <c r="A75" s="579"/>
      <c r="B75" s="1104"/>
      <c r="C75" s="949"/>
      <c r="D75" s="949"/>
      <c r="E75" s="949"/>
      <c r="F75" s="949"/>
      <c r="G75" s="949"/>
      <c r="H75" s="949"/>
      <c r="I75" s="949"/>
      <c r="J75" s="950"/>
      <c r="K75" s="617"/>
    </row>
    <row r="76" spans="1:11" ht="36" customHeight="1">
      <c r="A76" s="579"/>
      <c r="B76" s="1105" t="s">
        <v>886</v>
      </c>
      <c r="C76" s="949"/>
      <c r="D76" s="949"/>
      <c r="E76" s="949"/>
      <c r="F76" s="949"/>
      <c r="G76" s="949"/>
      <c r="H76" s="949"/>
      <c r="I76" s="949"/>
      <c r="J76" s="950"/>
      <c r="K76" s="665"/>
    </row>
    <row r="77" spans="1:11" ht="26.25" customHeight="1">
      <c r="A77" s="579"/>
      <c r="B77" s="666" t="s">
        <v>453</v>
      </c>
      <c r="C77" s="1110" t="s">
        <v>454</v>
      </c>
      <c r="D77" s="949"/>
      <c r="E77" s="949"/>
      <c r="F77" s="949"/>
      <c r="G77" s="949"/>
      <c r="H77" s="950"/>
      <c r="I77" s="667" t="s">
        <v>411</v>
      </c>
      <c r="J77" s="668" t="s">
        <v>455</v>
      </c>
      <c r="K77" s="657"/>
    </row>
    <row r="78" spans="1:11" ht="11.25" customHeight="1">
      <c r="A78" s="579"/>
      <c r="B78" s="669" t="s">
        <v>369</v>
      </c>
      <c r="C78" s="1051" t="s">
        <v>456</v>
      </c>
      <c r="D78" s="949"/>
      <c r="E78" s="949"/>
      <c r="F78" s="949"/>
      <c r="G78" s="949"/>
      <c r="H78" s="950"/>
      <c r="I78" s="670">
        <v>0.2</v>
      </c>
      <c r="J78" s="671">
        <f>ROUND((J58+J72)*I78,2)</f>
        <v>369.7</v>
      </c>
      <c r="K78" s="663"/>
    </row>
    <row r="79" spans="1:11" ht="11.25" customHeight="1">
      <c r="A79" s="579"/>
      <c r="B79" s="669" t="s">
        <v>371</v>
      </c>
      <c r="C79" s="1051" t="s">
        <v>457</v>
      </c>
      <c r="D79" s="949"/>
      <c r="E79" s="949"/>
      <c r="F79" s="949"/>
      <c r="G79" s="949"/>
      <c r="H79" s="950"/>
      <c r="I79" s="670">
        <v>2.5000000000000001E-2</v>
      </c>
      <c r="J79" s="671">
        <f>ROUND((J58+J72)*I79,2)</f>
        <v>46.21</v>
      </c>
      <c r="K79" s="663"/>
    </row>
    <row r="80" spans="1:11" ht="33" customHeight="1">
      <c r="A80" s="579"/>
      <c r="B80" s="669" t="s">
        <v>373</v>
      </c>
      <c r="C80" s="1051" t="s">
        <v>887</v>
      </c>
      <c r="D80" s="950"/>
      <c r="E80" s="912" t="s">
        <v>459</v>
      </c>
      <c r="F80" s="913">
        <f>'1-ABA-DE-CARREGAMENTO'!H57</f>
        <v>0.03</v>
      </c>
      <c r="G80" s="912" t="s">
        <v>460</v>
      </c>
      <c r="H80" s="914">
        <f>'1-ABA-DE-CARREGAMENTO'!H58</f>
        <v>1</v>
      </c>
      <c r="I80" s="674">
        <f>ROUND((F80*H80),6)</f>
        <v>0.03</v>
      </c>
      <c r="J80" s="671">
        <f>ROUND((J58+J72)*I80,2)</f>
        <v>55.46</v>
      </c>
      <c r="K80" s="663"/>
    </row>
    <row r="81" spans="1:11" ht="16.5" customHeight="1">
      <c r="A81" s="579"/>
      <c r="B81" s="669" t="s">
        <v>375</v>
      </c>
      <c r="C81" s="1051" t="s">
        <v>461</v>
      </c>
      <c r="D81" s="949"/>
      <c r="E81" s="949"/>
      <c r="F81" s="949"/>
      <c r="G81" s="949"/>
      <c r="H81" s="950"/>
      <c r="I81" s="670">
        <v>1.4999999999999999E-2</v>
      </c>
      <c r="J81" s="671">
        <f>ROUND((J58+J72)*I81,2)</f>
        <v>27.73</v>
      </c>
      <c r="K81" s="663"/>
    </row>
    <row r="82" spans="1:11" ht="16.5" customHeight="1">
      <c r="A82" s="579"/>
      <c r="B82" s="669" t="s">
        <v>417</v>
      </c>
      <c r="C82" s="1051" t="s">
        <v>462</v>
      </c>
      <c r="D82" s="949"/>
      <c r="E82" s="949"/>
      <c r="F82" s="949"/>
      <c r="G82" s="949"/>
      <c r="H82" s="950"/>
      <c r="I82" s="670">
        <v>0.01</v>
      </c>
      <c r="J82" s="671">
        <f>ROUND((J58+J72)*I82,2)</f>
        <v>18.489999999999998</v>
      </c>
      <c r="K82" s="663"/>
    </row>
    <row r="83" spans="1:11" ht="16.5" customHeight="1">
      <c r="A83" s="579"/>
      <c r="B83" s="669" t="s">
        <v>421</v>
      </c>
      <c r="C83" s="1051" t="s">
        <v>463</v>
      </c>
      <c r="D83" s="949"/>
      <c r="E83" s="949"/>
      <c r="F83" s="949"/>
      <c r="G83" s="949"/>
      <c r="H83" s="950"/>
      <c r="I83" s="670">
        <v>6.0000000000000001E-3</v>
      </c>
      <c r="J83" s="671">
        <f>ROUND((J58+J72)*I83,2)</f>
        <v>11.09</v>
      </c>
      <c r="K83" s="663"/>
    </row>
    <row r="84" spans="1:11" ht="16.5" customHeight="1">
      <c r="A84" s="579"/>
      <c r="B84" s="669" t="s">
        <v>423</v>
      </c>
      <c r="C84" s="1051" t="s">
        <v>464</v>
      </c>
      <c r="D84" s="949"/>
      <c r="E84" s="949"/>
      <c r="F84" s="949"/>
      <c r="G84" s="949"/>
      <c r="H84" s="950"/>
      <c r="I84" s="670">
        <v>2E-3</v>
      </c>
      <c r="J84" s="671">
        <f>ROUND((J58+J72)*I84,2)</f>
        <v>3.7</v>
      </c>
      <c r="K84" s="663"/>
    </row>
    <row r="85" spans="1:11" ht="28.5" customHeight="1">
      <c r="A85" s="579"/>
      <c r="B85" s="669" t="s">
        <v>425</v>
      </c>
      <c r="C85" s="1051" t="s">
        <v>465</v>
      </c>
      <c r="D85" s="949"/>
      <c r="E85" s="949"/>
      <c r="F85" s="949"/>
      <c r="G85" s="949"/>
      <c r="H85" s="950"/>
      <c r="I85" s="670">
        <v>0.08</v>
      </c>
      <c r="J85" s="671">
        <f>ROUND((J58+J72)*I85,2)</f>
        <v>147.88</v>
      </c>
      <c r="K85" s="663"/>
    </row>
    <row r="86" spans="1:11" ht="12" customHeight="1">
      <c r="A86" s="579"/>
      <c r="B86" s="1108" t="s">
        <v>450</v>
      </c>
      <c r="C86" s="949"/>
      <c r="D86" s="949"/>
      <c r="E86" s="949"/>
      <c r="F86" s="949"/>
      <c r="G86" s="949"/>
      <c r="H86" s="950"/>
      <c r="I86" s="675">
        <f t="shared" ref="I86:J86" si="2">SUM(I78:I85)</f>
        <v>0.36800000000000005</v>
      </c>
      <c r="J86" s="662">
        <f t="shared" si="2"/>
        <v>680.26</v>
      </c>
      <c r="K86" s="663"/>
    </row>
    <row r="87" spans="1:11" ht="12" customHeight="1">
      <c r="A87" s="579"/>
      <c r="B87" s="676"/>
      <c r="C87" s="677"/>
      <c r="D87" s="677"/>
      <c r="E87" s="677"/>
      <c r="F87" s="677"/>
      <c r="G87" s="677"/>
      <c r="H87" s="677"/>
      <c r="I87" s="678"/>
      <c r="J87" s="679"/>
      <c r="K87" s="663"/>
    </row>
    <row r="88" spans="1:11" ht="34.5" customHeight="1">
      <c r="A88" s="579"/>
      <c r="B88" s="1086" t="s">
        <v>466</v>
      </c>
      <c r="C88" s="949"/>
      <c r="D88" s="949"/>
      <c r="E88" s="949"/>
      <c r="F88" s="949"/>
      <c r="G88" s="949"/>
      <c r="H88" s="949"/>
      <c r="I88" s="949"/>
      <c r="J88" s="950"/>
      <c r="K88" s="617"/>
    </row>
    <row r="89" spans="1:11" ht="18.75" customHeight="1">
      <c r="A89" s="579"/>
      <c r="B89" s="1047"/>
      <c r="C89" s="949"/>
      <c r="D89" s="949"/>
      <c r="E89" s="949"/>
      <c r="F89" s="949"/>
      <c r="G89" s="949"/>
      <c r="H89" s="949"/>
      <c r="I89" s="949"/>
      <c r="J89" s="950"/>
      <c r="K89" s="362"/>
    </row>
    <row r="90" spans="1:11" ht="15" customHeight="1">
      <c r="A90" s="579"/>
      <c r="B90" s="1114" t="s">
        <v>467</v>
      </c>
      <c r="C90" s="949"/>
      <c r="D90" s="949"/>
      <c r="E90" s="949"/>
      <c r="F90" s="949"/>
      <c r="G90" s="949"/>
      <c r="H90" s="949"/>
      <c r="I90" s="949"/>
      <c r="J90" s="950"/>
      <c r="K90" s="654"/>
    </row>
    <row r="91" spans="1:11" ht="15" customHeight="1">
      <c r="A91" s="579"/>
      <c r="B91" s="680" t="s">
        <v>468</v>
      </c>
      <c r="C91" s="1089" t="s">
        <v>469</v>
      </c>
      <c r="D91" s="949"/>
      <c r="E91" s="949"/>
      <c r="F91" s="949"/>
      <c r="G91" s="949"/>
      <c r="H91" s="949"/>
      <c r="I91" s="950"/>
      <c r="J91" s="916" t="s">
        <v>447</v>
      </c>
      <c r="K91" s="592"/>
    </row>
    <row r="92" spans="1:11" ht="15" customHeight="1">
      <c r="A92" s="579"/>
      <c r="B92" s="682" t="s">
        <v>369</v>
      </c>
      <c r="C92" s="1051" t="s">
        <v>888</v>
      </c>
      <c r="D92" s="949"/>
      <c r="E92" s="949"/>
      <c r="F92" s="949"/>
      <c r="G92" s="949"/>
      <c r="H92" s="950"/>
      <c r="I92" s="683">
        <f>J47</f>
        <v>1396.01</v>
      </c>
      <c r="J92" s="684">
        <f>IF(ROUND((I93*I95*I94)-(J47*I96),2)&lt;0,0,ROUND((I93*I95*I94)-(J47*I96),2))</f>
        <v>0</v>
      </c>
      <c r="K92" s="663"/>
    </row>
    <row r="93" spans="1:11" ht="28.5" customHeight="1">
      <c r="A93" s="579"/>
      <c r="B93" s="682" t="s">
        <v>371</v>
      </c>
      <c r="C93" s="1051" t="s">
        <v>889</v>
      </c>
      <c r="D93" s="949"/>
      <c r="E93" s="949"/>
      <c r="F93" s="949"/>
      <c r="G93" s="949"/>
      <c r="H93" s="949"/>
      <c r="I93" s="690">
        <f>'1-ABA-DE-CARREGAMENTO'!H72</f>
        <v>0</v>
      </c>
      <c r="J93" s="686" t="s">
        <v>382</v>
      </c>
      <c r="K93" s="644"/>
    </row>
    <row r="94" spans="1:11" ht="25.5" customHeight="1">
      <c r="A94" s="579"/>
      <c r="B94" s="682" t="s">
        <v>373</v>
      </c>
      <c r="C94" s="1051" t="s">
        <v>890</v>
      </c>
      <c r="D94" s="949"/>
      <c r="E94" s="949"/>
      <c r="F94" s="949"/>
      <c r="G94" s="949"/>
      <c r="H94" s="950"/>
      <c r="I94" s="692">
        <f>'1-ABA-DE-CARREGAMENTO'!H73</f>
        <v>2</v>
      </c>
      <c r="J94" s="686" t="s">
        <v>382</v>
      </c>
      <c r="K94" s="644"/>
    </row>
    <row r="95" spans="1:11" ht="19.5" customHeight="1">
      <c r="A95" s="579"/>
      <c r="B95" s="682" t="s">
        <v>375</v>
      </c>
      <c r="C95" s="1062" t="s">
        <v>473</v>
      </c>
      <c r="D95" s="949"/>
      <c r="E95" s="949"/>
      <c r="F95" s="949"/>
      <c r="G95" s="949"/>
      <c r="H95" s="950"/>
      <c r="I95" s="692">
        <f>'1-ABA-DE-CARREGAMENTO'!H74</f>
        <v>22</v>
      </c>
      <c r="J95" s="686" t="s">
        <v>382</v>
      </c>
      <c r="K95" s="644"/>
    </row>
    <row r="96" spans="1:11" ht="25.5" customHeight="1">
      <c r="A96" s="579"/>
      <c r="B96" s="682" t="s">
        <v>417</v>
      </c>
      <c r="C96" s="1062" t="s">
        <v>891</v>
      </c>
      <c r="D96" s="949"/>
      <c r="E96" s="949"/>
      <c r="F96" s="949"/>
      <c r="G96" s="949"/>
      <c r="H96" s="950"/>
      <c r="I96" s="688">
        <f>'1-ABA-DE-CARREGAMENTO'!H75</f>
        <v>0.06</v>
      </c>
      <c r="J96" s="689" t="s">
        <v>382</v>
      </c>
      <c r="K96" s="644"/>
    </row>
    <row r="97" spans="1:11" ht="15" customHeight="1">
      <c r="A97" s="579"/>
      <c r="B97" s="682" t="s">
        <v>421</v>
      </c>
      <c r="C97" s="1051" t="s">
        <v>892</v>
      </c>
      <c r="D97" s="949"/>
      <c r="E97" s="949"/>
      <c r="F97" s="949"/>
      <c r="G97" s="949"/>
      <c r="H97" s="949"/>
      <c r="I97" s="949"/>
      <c r="J97" s="917">
        <f>ROUND(I98*I99,2)-ROUND((I98*I99)*I100,2)</f>
        <v>0</v>
      </c>
      <c r="K97" s="663"/>
    </row>
    <row r="98" spans="1:11" ht="15" customHeight="1">
      <c r="A98" s="579"/>
      <c r="B98" s="682" t="s">
        <v>423</v>
      </c>
      <c r="C98" s="1051" t="s">
        <v>893</v>
      </c>
      <c r="D98" s="949"/>
      <c r="E98" s="949"/>
      <c r="F98" s="949"/>
      <c r="G98" s="949"/>
      <c r="H98" s="950"/>
      <c r="I98" s="685">
        <f>'1-ABA-DE-CARREGAMENTO'!H64</f>
        <v>0</v>
      </c>
      <c r="J98" s="691"/>
      <c r="K98" s="644"/>
    </row>
    <row r="99" spans="1:11" ht="22.5" customHeight="1">
      <c r="A99" s="579"/>
      <c r="B99" s="682" t="s">
        <v>425</v>
      </c>
      <c r="C99" s="1051" t="s">
        <v>894</v>
      </c>
      <c r="D99" s="949"/>
      <c r="E99" s="949"/>
      <c r="F99" s="949"/>
      <c r="G99" s="949"/>
      <c r="H99" s="949"/>
      <c r="I99" s="687">
        <f>'1-ABA-DE-CARREGAMENTO'!H62</f>
        <v>22</v>
      </c>
      <c r="J99" s="691"/>
      <c r="K99" s="644"/>
    </row>
    <row r="100" spans="1:11" ht="25.5" customHeight="1">
      <c r="A100" s="579"/>
      <c r="B100" s="682" t="s">
        <v>429</v>
      </c>
      <c r="C100" s="1107" t="s">
        <v>895</v>
      </c>
      <c r="D100" s="949"/>
      <c r="E100" s="949"/>
      <c r="F100" s="949"/>
      <c r="G100" s="949"/>
      <c r="H100" s="950"/>
      <c r="I100" s="688">
        <f>'1-ABA-DE-CARREGAMENTO'!H61</f>
        <v>0.19</v>
      </c>
      <c r="J100" s="693"/>
      <c r="K100" s="644"/>
    </row>
    <row r="101" spans="1:11" ht="15" customHeight="1" outlineLevel="1">
      <c r="A101" s="579"/>
      <c r="B101" s="682" t="s">
        <v>433</v>
      </c>
      <c r="C101" s="1051" t="s">
        <v>479</v>
      </c>
      <c r="D101" s="949"/>
      <c r="E101" s="949"/>
      <c r="F101" s="949"/>
      <c r="G101" s="949"/>
      <c r="H101" s="949"/>
      <c r="I101" s="949"/>
      <c r="J101" s="671">
        <f>'1-ABA-DE-CARREGAMENTO'!H79/12</f>
        <v>0</v>
      </c>
      <c r="K101" s="663"/>
    </row>
    <row r="102" spans="1:11" ht="24" customHeight="1" outlineLevel="1">
      <c r="A102" s="579"/>
      <c r="B102" s="682" t="s">
        <v>436</v>
      </c>
      <c r="C102" s="1051" t="s">
        <v>896</v>
      </c>
      <c r="D102" s="949"/>
      <c r="E102" s="949"/>
      <c r="F102" s="949"/>
      <c r="G102" s="949"/>
      <c r="H102" s="949"/>
      <c r="I102" s="949"/>
      <c r="J102" s="671">
        <v>0</v>
      </c>
      <c r="K102" s="663"/>
    </row>
    <row r="103" spans="1:11" ht="39.75" customHeight="1" outlineLevel="1">
      <c r="A103" s="579"/>
      <c r="B103" s="682" t="s">
        <v>481</v>
      </c>
      <c r="C103" s="1051" t="s">
        <v>897</v>
      </c>
      <c r="D103" s="949"/>
      <c r="E103" s="949"/>
      <c r="F103" s="949"/>
      <c r="G103" s="949"/>
      <c r="H103" s="949"/>
      <c r="I103" s="950"/>
      <c r="J103" s="671">
        <v>0</v>
      </c>
      <c r="K103" s="663"/>
    </row>
    <row r="104" spans="1:11" ht="16.5" customHeight="1" outlineLevel="1">
      <c r="A104" s="579"/>
      <c r="B104" s="682" t="s">
        <v>483</v>
      </c>
      <c r="C104" s="1051" t="s">
        <v>718</v>
      </c>
      <c r="D104" s="949"/>
      <c r="E104" s="949"/>
      <c r="F104" s="949"/>
      <c r="G104" s="949"/>
      <c r="H104" s="949"/>
      <c r="I104" s="950"/>
      <c r="J104" s="671">
        <f>'1-ABA-DE-CARREGAMENTO'!H76</f>
        <v>17.32</v>
      </c>
      <c r="K104" s="663"/>
    </row>
    <row r="105" spans="1:11" ht="17.25" customHeight="1">
      <c r="A105" s="579"/>
      <c r="B105" s="682" t="s">
        <v>129</v>
      </c>
      <c r="C105" s="1111" t="s">
        <v>524</v>
      </c>
      <c r="D105" s="949"/>
      <c r="E105" s="949"/>
      <c r="F105" s="949"/>
      <c r="G105" s="949"/>
      <c r="H105" s="949"/>
      <c r="I105" s="949"/>
      <c r="J105" s="742">
        <v>0</v>
      </c>
      <c r="K105" s="704"/>
    </row>
    <row r="106" spans="1:11" ht="33.75" customHeight="1">
      <c r="A106" s="579"/>
      <c r="B106" s="705"/>
      <c r="C106" s="1108" t="s">
        <v>450</v>
      </c>
      <c r="D106" s="949"/>
      <c r="E106" s="949"/>
      <c r="F106" s="949"/>
      <c r="G106" s="949"/>
      <c r="H106" s="949"/>
      <c r="I106" s="949"/>
      <c r="J106" s="662">
        <f>SUM(J92:J105)</f>
        <v>17.32</v>
      </c>
      <c r="K106" s="663"/>
    </row>
    <row r="107" spans="1:11" ht="17.25" customHeight="1">
      <c r="A107" s="579"/>
      <c r="B107" s="1047"/>
      <c r="C107" s="949"/>
      <c r="D107" s="949"/>
      <c r="E107" s="949"/>
      <c r="F107" s="949"/>
      <c r="G107" s="949"/>
      <c r="H107" s="949"/>
      <c r="I107" s="949"/>
      <c r="J107" s="950"/>
      <c r="K107" s="362"/>
    </row>
    <row r="108" spans="1:11" ht="38.25" customHeight="1">
      <c r="A108" s="579"/>
      <c r="B108" s="1086" t="s">
        <v>486</v>
      </c>
      <c r="C108" s="949"/>
      <c r="D108" s="949"/>
      <c r="E108" s="949"/>
      <c r="F108" s="949"/>
      <c r="G108" s="949"/>
      <c r="H108" s="949"/>
      <c r="I108" s="949"/>
      <c r="J108" s="950"/>
      <c r="K108" s="617"/>
    </row>
    <row r="109" spans="1:11" ht="19.5" customHeight="1">
      <c r="A109" s="579"/>
      <c r="B109" s="1045"/>
      <c r="C109" s="949"/>
      <c r="D109" s="949"/>
      <c r="E109" s="949"/>
      <c r="F109" s="949"/>
      <c r="G109" s="949"/>
      <c r="H109" s="949"/>
      <c r="I109" s="949"/>
      <c r="J109" s="950"/>
      <c r="K109" s="593"/>
    </row>
    <row r="110" spans="1:11" ht="19.5" customHeight="1">
      <c r="A110" s="579"/>
      <c r="B110" s="1109" t="s">
        <v>487</v>
      </c>
      <c r="C110" s="949"/>
      <c r="D110" s="949"/>
      <c r="E110" s="949"/>
      <c r="F110" s="949"/>
      <c r="G110" s="949"/>
      <c r="H110" s="949"/>
      <c r="I110" s="949"/>
      <c r="J110" s="950"/>
      <c r="K110" s="706"/>
    </row>
    <row r="111" spans="1:11" ht="19.5" customHeight="1">
      <c r="A111" s="579"/>
      <c r="B111" s="668">
        <v>2</v>
      </c>
      <c r="C111" s="1110" t="s">
        <v>488</v>
      </c>
      <c r="D111" s="949"/>
      <c r="E111" s="949"/>
      <c r="F111" s="949"/>
      <c r="G111" s="949"/>
      <c r="H111" s="949"/>
      <c r="I111" s="950"/>
      <c r="J111" s="668" t="s">
        <v>447</v>
      </c>
      <c r="K111" s="657"/>
    </row>
    <row r="112" spans="1:11" ht="19.5" customHeight="1">
      <c r="A112" s="579"/>
      <c r="B112" s="600" t="s">
        <v>445</v>
      </c>
      <c r="C112" s="1092" t="s">
        <v>898</v>
      </c>
      <c r="D112" s="949"/>
      <c r="E112" s="949"/>
      <c r="F112" s="949"/>
      <c r="G112" s="949"/>
      <c r="H112" s="949"/>
      <c r="I112" s="950"/>
      <c r="J112" s="707">
        <f>J72</f>
        <v>188.5</v>
      </c>
      <c r="K112" s="708"/>
    </row>
    <row r="113" spans="1:11" ht="19.5" customHeight="1">
      <c r="A113" s="579"/>
      <c r="B113" s="600" t="s">
        <v>453</v>
      </c>
      <c r="C113" s="1092" t="s">
        <v>454</v>
      </c>
      <c r="D113" s="949"/>
      <c r="E113" s="949"/>
      <c r="F113" s="949"/>
      <c r="G113" s="949"/>
      <c r="H113" s="949"/>
      <c r="I113" s="950"/>
      <c r="J113" s="707">
        <f>J86</f>
        <v>680.26</v>
      </c>
      <c r="K113" s="708"/>
    </row>
    <row r="114" spans="1:11" ht="19.5" customHeight="1">
      <c r="A114" s="579"/>
      <c r="B114" s="600" t="s">
        <v>468</v>
      </c>
      <c r="C114" s="1092" t="s">
        <v>469</v>
      </c>
      <c r="D114" s="949"/>
      <c r="E114" s="949"/>
      <c r="F114" s="949"/>
      <c r="G114" s="949"/>
      <c r="H114" s="949"/>
      <c r="I114" s="950"/>
      <c r="J114" s="707">
        <f>J106</f>
        <v>17.32</v>
      </c>
      <c r="K114" s="708"/>
    </row>
    <row r="115" spans="1:11" ht="14.25" customHeight="1">
      <c r="A115" s="579"/>
      <c r="B115" s="1115" t="s">
        <v>450</v>
      </c>
      <c r="C115" s="949"/>
      <c r="D115" s="949"/>
      <c r="E115" s="949"/>
      <c r="F115" s="949"/>
      <c r="G115" s="949"/>
      <c r="H115" s="949"/>
      <c r="I115" s="950"/>
      <c r="J115" s="709">
        <f>SUM(J112+J113+J114)</f>
        <v>886.08</v>
      </c>
      <c r="K115" s="708"/>
    </row>
    <row r="116" spans="1:11" ht="14.25" customHeight="1">
      <c r="A116" s="579"/>
      <c r="B116" s="1116"/>
      <c r="C116" s="949"/>
      <c r="D116" s="949"/>
      <c r="E116" s="949"/>
      <c r="F116" s="949"/>
      <c r="G116" s="949"/>
      <c r="H116" s="949"/>
      <c r="I116" s="949"/>
      <c r="J116" s="950"/>
      <c r="K116" s="710"/>
    </row>
    <row r="117" spans="1:11" ht="18.75" customHeight="1">
      <c r="A117" s="579"/>
      <c r="B117" s="1117" t="s">
        <v>490</v>
      </c>
      <c r="C117" s="949"/>
      <c r="D117" s="949"/>
      <c r="E117" s="949"/>
      <c r="F117" s="949"/>
      <c r="G117" s="949"/>
      <c r="H117" s="949"/>
      <c r="I117" s="949"/>
      <c r="J117" s="950"/>
      <c r="K117" s="711"/>
    </row>
    <row r="118" spans="1:11" ht="15.75" customHeight="1">
      <c r="A118" s="579"/>
      <c r="B118" s="680">
        <v>3</v>
      </c>
      <c r="C118" s="1118" t="s">
        <v>491</v>
      </c>
      <c r="D118" s="949"/>
      <c r="E118" s="949"/>
      <c r="F118" s="949"/>
      <c r="G118" s="949"/>
      <c r="H118" s="949"/>
      <c r="I118" s="950"/>
      <c r="J118" s="680" t="s">
        <v>447</v>
      </c>
      <c r="K118" s="712"/>
    </row>
    <row r="119" spans="1:11" ht="40.5" customHeight="1">
      <c r="A119" s="579"/>
      <c r="B119" s="682" t="s">
        <v>369</v>
      </c>
      <c r="C119" s="1051" t="s">
        <v>899</v>
      </c>
      <c r="D119" s="949"/>
      <c r="E119" s="949"/>
      <c r="F119" s="949"/>
      <c r="G119" s="949"/>
      <c r="H119" s="949"/>
      <c r="I119" s="950"/>
      <c r="J119" s="671">
        <f>ROUND((($J$58/12)+($J$70/12)+(J58/12/12)+($J$71/12))*(30/30)*0.05,2)</f>
        <v>8.2799999999999994</v>
      </c>
      <c r="K119" s="663"/>
    </row>
    <row r="120" spans="1:11" ht="15.75" customHeight="1">
      <c r="A120" s="579"/>
      <c r="B120" s="682" t="s">
        <v>371</v>
      </c>
      <c r="C120" s="1111" t="s">
        <v>493</v>
      </c>
      <c r="D120" s="949"/>
      <c r="E120" s="949"/>
      <c r="F120" s="949"/>
      <c r="G120" s="949"/>
      <c r="H120" s="949"/>
      <c r="I120" s="950"/>
      <c r="J120" s="671">
        <f>ROUND($I$85*J119,2)</f>
        <v>0.66</v>
      </c>
      <c r="K120" s="663"/>
    </row>
    <row r="121" spans="1:11" ht="109.5" customHeight="1">
      <c r="A121" s="579"/>
      <c r="B121" s="682" t="s">
        <v>373</v>
      </c>
      <c r="C121" s="1106" t="s">
        <v>900</v>
      </c>
      <c r="D121" s="949"/>
      <c r="E121" s="949"/>
      <c r="F121" s="949"/>
      <c r="G121" s="949"/>
      <c r="H121" s="949"/>
      <c r="I121" s="950"/>
      <c r="J121" s="671">
        <f>ROUND(((7/30)/$I$11)*$J$58*1,2)</f>
        <v>12.91</v>
      </c>
      <c r="K121" s="663"/>
    </row>
    <row r="122" spans="1:11" ht="18.75" customHeight="1">
      <c r="A122" s="579"/>
      <c r="B122" s="682" t="s">
        <v>375</v>
      </c>
      <c r="C122" s="1111" t="s">
        <v>495</v>
      </c>
      <c r="D122" s="949"/>
      <c r="E122" s="949"/>
      <c r="F122" s="949"/>
      <c r="G122" s="949"/>
      <c r="H122" s="949"/>
      <c r="I122" s="950"/>
      <c r="J122" s="671">
        <f>ROUND($I$86*J121,2)</f>
        <v>4.75</v>
      </c>
      <c r="K122" s="663"/>
    </row>
    <row r="123" spans="1:11" ht="38.25" customHeight="1">
      <c r="A123" s="579"/>
      <c r="B123" s="682" t="s">
        <v>417</v>
      </c>
      <c r="C123" s="1051" t="s">
        <v>901</v>
      </c>
      <c r="D123" s="949"/>
      <c r="E123" s="949"/>
      <c r="F123" s="949"/>
      <c r="G123" s="949"/>
      <c r="H123" s="950"/>
      <c r="I123" s="714">
        <v>0.04</v>
      </c>
      <c r="J123" s="671">
        <f>ROUND(J58*I123,2)</f>
        <v>66.400000000000006</v>
      </c>
      <c r="K123" s="663"/>
    </row>
    <row r="124" spans="1:11" ht="19.5" customHeight="1">
      <c r="A124" s="579"/>
      <c r="B124" s="1108" t="s">
        <v>497</v>
      </c>
      <c r="C124" s="949"/>
      <c r="D124" s="949"/>
      <c r="E124" s="949"/>
      <c r="F124" s="949"/>
      <c r="G124" s="949"/>
      <c r="H124" s="949"/>
      <c r="I124" s="950"/>
      <c r="J124" s="662">
        <f>SUM(J119:J123)</f>
        <v>93</v>
      </c>
      <c r="K124" s="663"/>
    </row>
    <row r="125" spans="1:11" ht="15.75" customHeight="1">
      <c r="A125" s="579"/>
      <c r="B125" s="1112"/>
      <c r="C125" s="949"/>
      <c r="D125" s="949"/>
      <c r="E125" s="949"/>
      <c r="F125" s="949"/>
      <c r="G125" s="949"/>
      <c r="H125" s="949"/>
      <c r="I125" s="949"/>
      <c r="J125" s="950"/>
      <c r="K125" s="715"/>
    </row>
    <row r="126" spans="1:11" ht="17.25" customHeight="1">
      <c r="A126" s="579"/>
      <c r="B126" s="1113" t="s">
        <v>498</v>
      </c>
      <c r="C126" s="949"/>
      <c r="D126" s="949"/>
      <c r="E126" s="949"/>
      <c r="F126" s="949"/>
      <c r="G126" s="949"/>
      <c r="H126" s="949"/>
      <c r="I126" s="949"/>
      <c r="J126" s="950"/>
      <c r="K126" s="716"/>
    </row>
    <row r="127" spans="1:11" ht="42" customHeight="1">
      <c r="A127" s="579"/>
      <c r="B127" s="1086" t="s">
        <v>499</v>
      </c>
      <c r="C127" s="949"/>
      <c r="D127" s="949"/>
      <c r="E127" s="949"/>
      <c r="F127" s="949"/>
      <c r="G127" s="949"/>
      <c r="H127" s="949"/>
      <c r="I127" s="949"/>
      <c r="J127" s="950"/>
      <c r="K127" s="617"/>
    </row>
    <row r="128" spans="1:11" ht="56.25" customHeight="1">
      <c r="A128" s="579"/>
      <c r="B128" s="1105" t="s">
        <v>902</v>
      </c>
      <c r="C128" s="949"/>
      <c r="D128" s="949"/>
      <c r="E128" s="949"/>
      <c r="F128" s="949"/>
      <c r="G128" s="949"/>
      <c r="H128" s="949"/>
      <c r="I128" s="949"/>
      <c r="J128" s="950"/>
      <c r="K128" s="665"/>
    </row>
    <row r="129" spans="1:11" ht="43.5" customHeight="1">
      <c r="A129" s="579"/>
      <c r="B129" s="717" t="s">
        <v>501</v>
      </c>
      <c r="C129" s="718">
        <f>J58</f>
        <v>1660.01</v>
      </c>
      <c r="D129" s="719" t="s">
        <v>502</v>
      </c>
      <c r="E129" s="717" t="s">
        <v>903</v>
      </c>
      <c r="F129" s="718">
        <f>J115-J92-J97</f>
        <v>886.08</v>
      </c>
      <c r="G129" s="719" t="s">
        <v>502</v>
      </c>
      <c r="H129" s="717" t="s">
        <v>504</v>
      </c>
      <c r="I129" s="718">
        <f>J124</f>
        <v>93</v>
      </c>
      <c r="J129" s="720">
        <f>C129+F129+I129</f>
        <v>2639.09</v>
      </c>
      <c r="K129" s="721"/>
    </row>
    <row r="130" spans="1:11" ht="30.75" customHeight="1">
      <c r="A130" s="579"/>
      <c r="B130" s="1120"/>
      <c r="C130" s="949"/>
      <c r="D130" s="949"/>
      <c r="E130" s="949"/>
      <c r="F130" s="949"/>
      <c r="G130" s="949"/>
      <c r="H130" s="949"/>
      <c r="I130" s="949"/>
      <c r="J130" s="950"/>
      <c r="K130" s="722"/>
    </row>
    <row r="131" spans="1:11" ht="15.75" customHeight="1">
      <c r="A131" s="579"/>
      <c r="B131" s="1121" t="s">
        <v>505</v>
      </c>
      <c r="C131" s="949"/>
      <c r="D131" s="949"/>
      <c r="E131" s="949"/>
      <c r="F131" s="949"/>
      <c r="G131" s="949"/>
      <c r="H131" s="949"/>
      <c r="I131" s="949"/>
      <c r="J131" s="950"/>
      <c r="K131" s="723"/>
    </row>
    <row r="132" spans="1:11" ht="17.25" customHeight="1">
      <c r="A132" s="579"/>
      <c r="B132" s="724" t="s">
        <v>506</v>
      </c>
      <c r="C132" s="1118" t="s">
        <v>507</v>
      </c>
      <c r="D132" s="949"/>
      <c r="E132" s="949"/>
      <c r="F132" s="949"/>
      <c r="G132" s="949"/>
      <c r="H132" s="949"/>
      <c r="I132" s="950"/>
      <c r="J132" s="724" t="s">
        <v>447</v>
      </c>
      <c r="K132" s="726"/>
    </row>
    <row r="133" spans="1:11" ht="51" customHeight="1">
      <c r="A133" s="579"/>
      <c r="B133" s="682" t="s">
        <v>369</v>
      </c>
      <c r="C133" s="1092" t="s">
        <v>904</v>
      </c>
      <c r="D133" s="949"/>
      <c r="E133" s="949"/>
      <c r="F133" s="949"/>
      <c r="G133" s="949"/>
      <c r="H133" s="727">
        <v>9.0749999999999997E-2</v>
      </c>
      <c r="I133" s="873">
        <f>I86</f>
        <v>0.36800000000000005</v>
      </c>
      <c r="J133" s="671">
        <f>ROUND(H133*J58,2)*(1+I133)</f>
        <v>206.08920000000003</v>
      </c>
      <c r="K133" s="663"/>
    </row>
    <row r="134" spans="1:11" ht="17.25" customHeight="1">
      <c r="A134" s="579"/>
      <c r="B134" s="682" t="s">
        <v>371</v>
      </c>
      <c r="C134" s="1051" t="s">
        <v>905</v>
      </c>
      <c r="D134" s="949"/>
      <c r="E134" s="949"/>
      <c r="F134" s="949"/>
      <c r="G134" s="949"/>
      <c r="H134" s="949"/>
      <c r="I134" s="950"/>
      <c r="J134" s="671">
        <f>ROUND((1/30)/12*(J129),2)</f>
        <v>7.33</v>
      </c>
      <c r="K134" s="663"/>
    </row>
    <row r="135" spans="1:11" ht="29.25" customHeight="1">
      <c r="A135" s="579"/>
      <c r="B135" s="682" t="s">
        <v>373</v>
      </c>
      <c r="C135" s="1051" t="s">
        <v>906</v>
      </c>
      <c r="D135" s="949"/>
      <c r="E135" s="949"/>
      <c r="F135" s="949"/>
      <c r="G135" s="949"/>
      <c r="H135" s="949"/>
      <c r="I135" s="950"/>
      <c r="J135" s="671">
        <f>ROUND((5/30)/12*0.015*(J129),2)</f>
        <v>0.55000000000000004</v>
      </c>
      <c r="K135" s="663"/>
    </row>
    <row r="136" spans="1:11" ht="28.5" customHeight="1">
      <c r="A136" s="579"/>
      <c r="B136" s="682" t="s">
        <v>375</v>
      </c>
      <c r="C136" s="1051" t="s">
        <v>907</v>
      </c>
      <c r="D136" s="949"/>
      <c r="E136" s="949"/>
      <c r="F136" s="949"/>
      <c r="G136" s="949"/>
      <c r="H136" s="949"/>
      <c r="I136" s="950"/>
      <c r="J136" s="671">
        <f>ROUND(((15/30)/12)*0.0078*(J129),2)</f>
        <v>0.86</v>
      </c>
      <c r="K136" s="663"/>
    </row>
    <row r="137" spans="1:11" ht="30.75" customHeight="1">
      <c r="A137" s="579"/>
      <c r="B137" s="730" t="s">
        <v>417</v>
      </c>
      <c r="C137" s="1119" t="s">
        <v>908</v>
      </c>
      <c r="D137" s="949"/>
      <c r="E137" s="949"/>
      <c r="F137" s="949"/>
      <c r="G137" s="949"/>
      <c r="H137" s="949"/>
      <c r="I137" s="950"/>
      <c r="J137" s="731">
        <f>ROUND(((((C129+C129/3)+(I86)*(C129+C129/3))*(4/12))/12)*0.02,2) + ((J106 -J92-J97+ J124)*4/12)*0.02</f>
        <v>2.4154666666666667</v>
      </c>
      <c r="K137" s="732"/>
    </row>
    <row r="138" spans="1:11" ht="36" customHeight="1">
      <c r="A138" s="579"/>
      <c r="B138" s="682" t="s">
        <v>421</v>
      </c>
      <c r="C138" s="1051" t="s">
        <v>909</v>
      </c>
      <c r="D138" s="949"/>
      <c r="E138" s="949"/>
      <c r="F138" s="949"/>
      <c r="G138" s="949"/>
      <c r="H138" s="949"/>
      <c r="I138" s="950"/>
      <c r="J138" s="671">
        <f>ROUND(((3/30)/12)*(J129),2)</f>
        <v>21.99</v>
      </c>
      <c r="K138" s="663"/>
    </row>
    <row r="139" spans="1:11" ht="19.5" customHeight="1">
      <c r="A139" s="579"/>
      <c r="B139" s="1108" t="s">
        <v>450</v>
      </c>
      <c r="C139" s="949"/>
      <c r="D139" s="949"/>
      <c r="E139" s="949"/>
      <c r="F139" s="949"/>
      <c r="G139" s="949"/>
      <c r="H139" s="949"/>
      <c r="I139" s="950"/>
      <c r="J139" s="662">
        <f>SUM(J133:J138)</f>
        <v>239.23466666666675</v>
      </c>
      <c r="K139" s="663"/>
    </row>
    <row r="140" spans="1:11" ht="19.5" customHeight="1">
      <c r="A140" s="579"/>
      <c r="B140" s="1112"/>
      <c r="C140" s="949"/>
      <c r="D140" s="949"/>
      <c r="E140" s="949"/>
      <c r="F140" s="949"/>
      <c r="G140" s="949"/>
      <c r="H140" s="949"/>
      <c r="I140" s="949"/>
      <c r="J140" s="950"/>
      <c r="K140" s="715"/>
    </row>
    <row r="141" spans="1:11" ht="19.5" customHeight="1">
      <c r="A141" s="579"/>
      <c r="B141" s="1114" t="s">
        <v>514</v>
      </c>
      <c r="C141" s="949"/>
      <c r="D141" s="949"/>
      <c r="E141" s="949"/>
      <c r="F141" s="949"/>
      <c r="G141" s="949"/>
      <c r="H141" s="949"/>
      <c r="I141" s="949"/>
      <c r="J141" s="950"/>
      <c r="K141" s="654"/>
    </row>
    <row r="142" spans="1:11" ht="19.5" customHeight="1">
      <c r="A142" s="579"/>
      <c r="B142" s="733" t="s">
        <v>515</v>
      </c>
      <c r="C142" s="1122" t="s">
        <v>516</v>
      </c>
      <c r="D142" s="949"/>
      <c r="E142" s="949"/>
      <c r="F142" s="949"/>
      <c r="G142" s="949"/>
      <c r="H142" s="949"/>
      <c r="I142" s="950"/>
      <c r="J142" s="734" t="s">
        <v>447</v>
      </c>
      <c r="K142" s="735"/>
    </row>
    <row r="143" spans="1:11" ht="19.5" customHeight="1">
      <c r="A143" s="579"/>
      <c r="B143" s="736" t="s">
        <v>369</v>
      </c>
      <c r="C143" s="1125" t="s">
        <v>517</v>
      </c>
      <c r="D143" s="949"/>
      <c r="E143" s="949"/>
      <c r="F143" s="949"/>
      <c r="G143" s="949"/>
      <c r="H143" s="949"/>
      <c r="I143" s="950"/>
      <c r="J143" s="737">
        <v>0</v>
      </c>
      <c r="K143" s="738"/>
    </row>
    <row r="144" spans="1:11" ht="19.5" customHeight="1">
      <c r="A144" s="579"/>
      <c r="B144" s="1102" t="s">
        <v>450</v>
      </c>
      <c r="C144" s="949"/>
      <c r="D144" s="949"/>
      <c r="E144" s="949"/>
      <c r="F144" s="949"/>
      <c r="G144" s="949"/>
      <c r="H144" s="949"/>
      <c r="I144" s="950"/>
      <c r="J144" s="739">
        <v>0</v>
      </c>
      <c r="K144" s="738"/>
    </row>
    <row r="145" spans="1:11" ht="19.5" customHeight="1">
      <c r="A145" s="579"/>
      <c r="B145" s="1126"/>
      <c r="C145" s="949"/>
      <c r="D145" s="949"/>
      <c r="E145" s="949"/>
      <c r="F145" s="949"/>
      <c r="G145" s="949"/>
      <c r="H145" s="949"/>
      <c r="I145" s="949"/>
      <c r="J145" s="950"/>
      <c r="K145" s="740"/>
    </row>
    <row r="146" spans="1:11" ht="19.5" customHeight="1">
      <c r="A146" s="579"/>
      <c r="B146" s="1098" t="s">
        <v>518</v>
      </c>
      <c r="C146" s="949"/>
      <c r="D146" s="949"/>
      <c r="E146" s="949"/>
      <c r="F146" s="949"/>
      <c r="G146" s="949"/>
      <c r="H146" s="949"/>
      <c r="I146" s="949"/>
      <c r="J146" s="950"/>
      <c r="K146" s="653"/>
    </row>
    <row r="147" spans="1:11" ht="19.5" customHeight="1">
      <c r="A147" s="579"/>
      <c r="B147" s="668">
        <v>4</v>
      </c>
      <c r="C147" s="1122" t="s">
        <v>519</v>
      </c>
      <c r="D147" s="949"/>
      <c r="E147" s="949"/>
      <c r="F147" s="949"/>
      <c r="G147" s="949"/>
      <c r="H147" s="949"/>
      <c r="I147" s="950"/>
      <c r="J147" s="734" t="s">
        <v>447</v>
      </c>
      <c r="K147" s="735"/>
    </row>
    <row r="148" spans="1:11" ht="28.5" customHeight="1">
      <c r="A148" s="579"/>
      <c r="B148" s="600" t="s">
        <v>506</v>
      </c>
      <c r="C148" s="1125" t="s">
        <v>507</v>
      </c>
      <c r="D148" s="949"/>
      <c r="E148" s="949"/>
      <c r="F148" s="949"/>
      <c r="G148" s="949"/>
      <c r="H148" s="949"/>
      <c r="I148" s="950"/>
      <c r="J148" s="737">
        <f>J139</f>
        <v>239.23466666666675</v>
      </c>
      <c r="K148" s="738"/>
    </row>
    <row r="149" spans="1:11" ht="24" customHeight="1">
      <c r="A149" s="579"/>
      <c r="B149" s="600" t="s">
        <v>520</v>
      </c>
      <c r="C149" s="1125" t="s">
        <v>516</v>
      </c>
      <c r="D149" s="949"/>
      <c r="E149" s="949"/>
      <c r="F149" s="949"/>
      <c r="G149" s="949"/>
      <c r="H149" s="949"/>
      <c r="I149" s="950"/>
      <c r="J149" s="737">
        <f>J144</f>
        <v>0</v>
      </c>
      <c r="K149" s="738"/>
    </row>
    <row r="150" spans="1:11" ht="24" customHeight="1">
      <c r="A150" s="579"/>
      <c r="B150" s="1115" t="s">
        <v>450</v>
      </c>
      <c r="C150" s="949"/>
      <c r="D150" s="949"/>
      <c r="E150" s="949"/>
      <c r="F150" s="949"/>
      <c r="G150" s="949"/>
      <c r="H150" s="949"/>
      <c r="I150" s="950"/>
      <c r="J150" s="739">
        <f>SUM(J148+J149)</f>
        <v>239.23466666666675</v>
      </c>
      <c r="K150" s="738"/>
    </row>
    <row r="151" spans="1:11" ht="15.75" customHeight="1">
      <c r="A151" s="579"/>
      <c r="B151" s="1126"/>
      <c r="C151" s="949"/>
      <c r="D151" s="949"/>
      <c r="E151" s="949"/>
      <c r="F151" s="949"/>
      <c r="G151" s="949"/>
      <c r="H151" s="949"/>
      <c r="I151" s="949"/>
      <c r="J151" s="950"/>
      <c r="K151" s="740"/>
    </row>
    <row r="152" spans="1:11" ht="15.75" customHeight="1">
      <c r="A152" s="579"/>
      <c r="B152" s="1113" t="s">
        <v>521</v>
      </c>
      <c r="C152" s="949"/>
      <c r="D152" s="949"/>
      <c r="E152" s="949"/>
      <c r="F152" s="949"/>
      <c r="G152" s="949"/>
      <c r="H152" s="949"/>
      <c r="I152" s="949"/>
      <c r="J152" s="950"/>
      <c r="K152" s="716"/>
    </row>
    <row r="153" spans="1:11" ht="15.75" customHeight="1">
      <c r="A153" s="579"/>
      <c r="B153" s="680">
        <v>3</v>
      </c>
      <c r="C153" s="1089" t="s">
        <v>522</v>
      </c>
      <c r="D153" s="949"/>
      <c r="E153" s="949"/>
      <c r="F153" s="949"/>
      <c r="G153" s="949"/>
      <c r="H153" s="949"/>
      <c r="I153" s="950"/>
      <c r="J153" s="680" t="s">
        <v>447</v>
      </c>
      <c r="K153" s="712"/>
    </row>
    <row r="154" spans="1:11" ht="17.25" customHeight="1">
      <c r="A154" s="579"/>
      <c r="B154" s="682" t="s">
        <v>369</v>
      </c>
      <c r="C154" s="1051" t="s">
        <v>658</v>
      </c>
      <c r="D154" s="949"/>
      <c r="E154" s="949"/>
      <c r="F154" s="949"/>
      <c r="G154" s="949"/>
      <c r="H154" s="949"/>
      <c r="I154" s="950"/>
      <c r="J154" s="741" t="e">
        <f>#REF!+#REF!</f>
        <v>#REF!</v>
      </c>
      <c r="K154" s="663"/>
    </row>
    <row r="155" spans="1:11" ht="15.75" customHeight="1">
      <c r="A155" s="579"/>
      <c r="B155" s="682" t="s">
        <v>371</v>
      </c>
      <c r="C155" s="1051" t="s">
        <v>659</v>
      </c>
      <c r="D155" s="949"/>
      <c r="E155" s="949"/>
      <c r="F155" s="949"/>
      <c r="G155" s="949"/>
      <c r="H155" s="949"/>
      <c r="I155" s="950"/>
      <c r="J155" s="742">
        <v>0</v>
      </c>
      <c r="K155" s="704"/>
    </row>
    <row r="156" spans="1:11" ht="15.75" customHeight="1">
      <c r="A156" s="579"/>
      <c r="B156" s="682" t="s">
        <v>373</v>
      </c>
      <c r="C156" s="1051" t="s">
        <v>524</v>
      </c>
      <c r="D156" s="949"/>
      <c r="E156" s="949"/>
      <c r="F156" s="949"/>
      <c r="G156" s="949"/>
      <c r="H156" s="949"/>
      <c r="I156" s="950"/>
      <c r="J156" s="742" t="s">
        <v>525</v>
      </c>
      <c r="K156" s="704"/>
    </row>
    <row r="157" spans="1:11" ht="19.5" customHeight="1">
      <c r="A157" s="579"/>
      <c r="B157" s="1108" t="s">
        <v>526</v>
      </c>
      <c r="C157" s="949"/>
      <c r="D157" s="949"/>
      <c r="E157" s="949"/>
      <c r="F157" s="949"/>
      <c r="G157" s="949"/>
      <c r="H157" s="949"/>
      <c r="I157" s="950"/>
      <c r="J157" s="743" t="e">
        <f>ROUND(SUM(J154:J156),2)</f>
        <v>#REF!</v>
      </c>
      <c r="K157" s="704"/>
    </row>
    <row r="158" spans="1:11" ht="15.75" customHeight="1">
      <c r="A158" s="579"/>
      <c r="B158" s="1153"/>
      <c r="C158" s="949"/>
      <c r="D158" s="949"/>
      <c r="E158" s="949"/>
      <c r="F158" s="949"/>
      <c r="G158" s="949"/>
      <c r="H158" s="949"/>
      <c r="I158" s="949"/>
      <c r="J158" s="950"/>
      <c r="K158" s="744"/>
    </row>
    <row r="159" spans="1:11" ht="27.75" customHeight="1">
      <c r="A159" s="579"/>
      <c r="B159" s="1154" t="s">
        <v>527</v>
      </c>
      <c r="C159" s="949"/>
      <c r="D159" s="949"/>
      <c r="E159" s="949"/>
      <c r="F159" s="949"/>
      <c r="G159" s="949"/>
      <c r="H159" s="949"/>
      <c r="I159" s="949"/>
      <c r="J159" s="950"/>
      <c r="K159" s="745"/>
    </row>
    <row r="160" spans="1:11" ht="19.5" customHeight="1">
      <c r="A160" s="579"/>
      <c r="B160" s="746"/>
      <c r="C160" s="747"/>
      <c r="D160" s="747"/>
      <c r="E160" s="747"/>
      <c r="F160" s="747"/>
      <c r="G160" s="747"/>
      <c r="H160" s="747"/>
      <c r="I160" s="747"/>
      <c r="J160" s="748"/>
      <c r="K160" s="314"/>
    </row>
    <row r="161" spans="1:11" ht="24" customHeight="1">
      <c r="A161" s="579"/>
      <c r="B161" s="1117" t="s">
        <v>528</v>
      </c>
      <c r="C161" s="949"/>
      <c r="D161" s="949"/>
      <c r="E161" s="949"/>
      <c r="F161" s="949"/>
      <c r="G161" s="949"/>
      <c r="H161" s="949"/>
      <c r="I161" s="949"/>
      <c r="J161" s="950"/>
      <c r="K161" s="711"/>
    </row>
    <row r="162" spans="1:11" ht="30" customHeight="1">
      <c r="A162" s="579"/>
      <c r="B162" s="680">
        <v>6</v>
      </c>
      <c r="C162" s="1118" t="s">
        <v>529</v>
      </c>
      <c r="D162" s="949"/>
      <c r="E162" s="949"/>
      <c r="F162" s="949"/>
      <c r="G162" s="949"/>
      <c r="H162" s="950"/>
      <c r="I162" s="749" t="s">
        <v>411</v>
      </c>
      <c r="J162" s="750" t="s">
        <v>455</v>
      </c>
      <c r="K162" s="751"/>
    </row>
    <row r="163" spans="1:11" ht="54" customHeight="1">
      <c r="A163" s="579"/>
      <c r="B163" s="1062" t="s">
        <v>530</v>
      </c>
      <c r="C163" s="949"/>
      <c r="D163" s="949"/>
      <c r="E163" s="949"/>
      <c r="F163" s="949"/>
      <c r="G163" s="949"/>
      <c r="H163" s="950"/>
      <c r="I163" s="341" t="s">
        <v>382</v>
      </c>
      <c r="J163" s="752" t="e">
        <f>SUM(J63+J115+J124+J150+J157)</f>
        <v>#REF!</v>
      </c>
      <c r="K163" s="753"/>
    </row>
    <row r="164" spans="1:11" ht="27.75" customHeight="1">
      <c r="A164" s="579"/>
      <c r="B164" s="682" t="s">
        <v>369</v>
      </c>
      <c r="C164" s="1155" t="s">
        <v>531</v>
      </c>
      <c r="D164" s="949"/>
      <c r="E164" s="949"/>
      <c r="F164" s="949"/>
      <c r="G164" s="949"/>
      <c r="H164" s="950"/>
      <c r="I164" s="670">
        <f>'1-ABA-DE-CARREGAMENTO'!H85</f>
        <v>0.06</v>
      </c>
      <c r="J164" s="671" t="e">
        <f>ROUND(I164*J163,2)</f>
        <v>#REF!</v>
      </c>
      <c r="K164" s="663"/>
    </row>
    <row r="165" spans="1:11" ht="54" customHeight="1">
      <c r="A165" s="579"/>
      <c r="B165" s="1062" t="s">
        <v>532</v>
      </c>
      <c r="C165" s="949"/>
      <c r="D165" s="949"/>
      <c r="E165" s="949"/>
      <c r="F165" s="949"/>
      <c r="G165" s="949"/>
      <c r="H165" s="950"/>
      <c r="I165" s="754" t="s">
        <v>382</v>
      </c>
      <c r="J165" s="752" t="e">
        <f>SUM(J63+J115+J124+J150+J157+J164)</f>
        <v>#REF!</v>
      </c>
      <c r="K165" s="753"/>
    </row>
    <row r="166" spans="1:11" ht="19.5" customHeight="1">
      <c r="A166" s="579"/>
      <c r="B166" s="682" t="s">
        <v>371</v>
      </c>
      <c r="C166" s="1155" t="s">
        <v>312</v>
      </c>
      <c r="D166" s="949"/>
      <c r="E166" s="949"/>
      <c r="F166" s="949"/>
      <c r="G166" s="949"/>
      <c r="H166" s="950"/>
      <c r="I166" s="670">
        <f>'1-ABA-DE-CARREGAMENTO'!H86</f>
        <v>0.06</v>
      </c>
      <c r="J166" s="671" t="e">
        <f>ROUND(I166*J165,2)</f>
        <v>#REF!</v>
      </c>
      <c r="K166" s="663"/>
    </row>
    <row r="167" spans="1:11" ht="54.75" customHeight="1">
      <c r="A167" s="579"/>
      <c r="B167" s="1062" t="s">
        <v>533</v>
      </c>
      <c r="C167" s="949"/>
      <c r="D167" s="949"/>
      <c r="E167" s="949"/>
      <c r="F167" s="949"/>
      <c r="G167" s="949"/>
      <c r="H167" s="950"/>
      <c r="I167" s="754" t="s">
        <v>382</v>
      </c>
      <c r="J167" s="752" t="e">
        <f>SUM(J163+J164+J166)</f>
        <v>#REF!</v>
      </c>
      <c r="K167" s="753"/>
    </row>
    <row r="168" spans="1:11" ht="18.75" customHeight="1">
      <c r="A168" s="579"/>
      <c r="B168" s="755" t="s">
        <v>373</v>
      </c>
      <c r="C168" s="1117" t="s">
        <v>534</v>
      </c>
      <c r="D168" s="949"/>
      <c r="E168" s="949"/>
      <c r="F168" s="949"/>
      <c r="G168" s="949"/>
      <c r="H168" s="950"/>
      <c r="I168" s="756" t="s">
        <v>382</v>
      </c>
      <c r="J168" s="643" t="s">
        <v>382</v>
      </c>
      <c r="K168" s="644"/>
    </row>
    <row r="169" spans="1:11" ht="30" customHeight="1">
      <c r="A169" s="579"/>
      <c r="B169" s="682"/>
      <c r="C169" s="1111" t="s">
        <v>535</v>
      </c>
      <c r="D169" s="949"/>
      <c r="E169" s="949"/>
      <c r="F169" s="949"/>
      <c r="G169" s="949"/>
      <c r="H169" s="950"/>
      <c r="I169" s="756" t="s">
        <v>382</v>
      </c>
      <c r="J169" s="643" t="s">
        <v>382</v>
      </c>
      <c r="K169" s="644"/>
    </row>
    <row r="170" spans="1:11" ht="21.75" customHeight="1">
      <c r="A170" s="579"/>
      <c r="B170" s="682"/>
      <c r="C170" s="1156" t="s">
        <v>910</v>
      </c>
      <c r="D170" s="949"/>
      <c r="E170" s="949"/>
      <c r="F170" s="949"/>
      <c r="G170" s="949"/>
      <c r="H170" s="950"/>
      <c r="I170" s="629">
        <f>'1-ABA-DE-CARREGAMENTO'!E28</f>
        <v>1.6500000000000001E-2</v>
      </c>
      <c r="J170" s="757" t="e">
        <f t="shared" ref="J170:J171" si="3">ROUND(($J$167/(1-$I$179))*I170,2)</f>
        <v>#REF!</v>
      </c>
      <c r="K170" s="758"/>
    </row>
    <row r="171" spans="1:11" ht="21.75" customHeight="1">
      <c r="A171" s="579"/>
      <c r="B171" s="682"/>
      <c r="C171" s="1156" t="s">
        <v>911</v>
      </c>
      <c r="D171" s="949"/>
      <c r="E171" s="949"/>
      <c r="F171" s="949"/>
      <c r="G171" s="949"/>
      <c r="H171" s="950"/>
      <c r="I171" s="629">
        <f>'1-ABA-DE-CARREGAMENTO'!F28</f>
        <v>7.5999999999999998E-2</v>
      </c>
      <c r="J171" s="757" t="e">
        <f t="shared" si="3"/>
        <v>#REF!</v>
      </c>
      <c r="K171" s="758"/>
    </row>
    <row r="172" spans="1:11" ht="27" customHeight="1">
      <c r="A172" s="579"/>
      <c r="B172" s="682"/>
      <c r="C172" s="1051" t="s">
        <v>912</v>
      </c>
      <c r="D172" s="949"/>
      <c r="E172" s="949"/>
      <c r="F172" s="949"/>
      <c r="G172" s="949"/>
      <c r="H172" s="950"/>
      <c r="I172" s="759" t="s">
        <v>382</v>
      </c>
      <c r="J172" s="643" t="s">
        <v>382</v>
      </c>
      <c r="K172" s="644"/>
    </row>
    <row r="173" spans="1:11" ht="27" customHeight="1">
      <c r="A173" s="579"/>
      <c r="B173" s="682"/>
      <c r="C173" s="1051" t="s">
        <v>913</v>
      </c>
      <c r="D173" s="949"/>
      <c r="E173" s="949"/>
      <c r="F173" s="949"/>
      <c r="G173" s="949"/>
      <c r="H173" s="950"/>
      <c r="I173" s="759" t="s">
        <v>382</v>
      </c>
      <c r="J173" s="643" t="s">
        <v>382</v>
      </c>
      <c r="K173" s="644"/>
    </row>
    <row r="174" spans="1:11" ht="15.75" customHeight="1">
      <c r="A174" s="579"/>
      <c r="B174" s="682"/>
      <c r="C174" s="1051" t="s">
        <v>540</v>
      </c>
      <c r="D174" s="949"/>
      <c r="E174" s="949"/>
      <c r="F174" s="949"/>
      <c r="G174" s="949"/>
      <c r="H174" s="949"/>
      <c r="I174" s="760" t="s">
        <v>382</v>
      </c>
      <c r="J174" s="761" t="s">
        <v>382</v>
      </c>
      <c r="K174" s="762"/>
    </row>
    <row r="175" spans="1:11" ht="15.75" customHeight="1">
      <c r="A175" s="579"/>
      <c r="B175" s="682"/>
      <c r="C175" s="1051" t="s">
        <v>541</v>
      </c>
      <c r="D175" s="949"/>
      <c r="E175" s="949"/>
      <c r="F175" s="949"/>
      <c r="G175" s="949"/>
      <c r="H175" s="949"/>
      <c r="I175" s="760" t="s">
        <v>382</v>
      </c>
      <c r="J175" s="761" t="s">
        <v>382</v>
      </c>
      <c r="K175" s="762"/>
    </row>
    <row r="176" spans="1:11" ht="15.75" customHeight="1">
      <c r="A176" s="579"/>
      <c r="B176" s="682"/>
      <c r="C176" s="1051" t="s">
        <v>914</v>
      </c>
      <c r="D176" s="949"/>
      <c r="E176" s="949"/>
      <c r="F176" s="949"/>
      <c r="G176" s="949"/>
      <c r="H176" s="950"/>
      <c r="I176" s="763">
        <f>'1-ABA-DE-CARREGAMENTO'!D87</f>
        <v>0.03</v>
      </c>
      <c r="J176" s="757" t="e">
        <f>ROUND(($J$167/(1-$I$179))*I176,2)</f>
        <v>#REF!</v>
      </c>
      <c r="K176" s="758"/>
    </row>
    <row r="177" spans="1:11" ht="15.75" customHeight="1">
      <c r="A177" s="579"/>
      <c r="B177" s="1108" t="s">
        <v>497</v>
      </c>
      <c r="C177" s="949"/>
      <c r="D177" s="949"/>
      <c r="E177" s="949"/>
      <c r="F177" s="949"/>
      <c r="G177" s="949"/>
      <c r="H177" s="949"/>
      <c r="I177" s="950"/>
      <c r="J177" s="662" t="e">
        <f>SUM(J164+J166+J170+J171+J176)</f>
        <v>#REF!</v>
      </c>
      <c r="K177" s="663"/>
    </row>
    <row r="178" spans="1:11" ht="15.75" customHeight="1">
      <c r="A178" s="579"/>
      <c r="B178" s="1112"/>
      <c r="C178" s="949"/>
      <c r="D178" s="949"/>
      <c r="E178" s="949"/>
      <c r="F178" s="949"/>
      <c r="G178" s="949"/>
      <c r="H178" s="949"/>
      <c r="I178" s="949"/>
      <c r="J178" s="950"/>
      <c r="K178" s="715"/>
    </row>
    <row r="179" spans="1:11" ht="15.75" customHeight="1">
      <c r="A179" s="579"/>
      <c r="B179" s="1157" t="s">
        <v>543</v>
      </c>
      <c r="C179" s="949"/>
      <c r="D179" s="949"/>
      <c r="E179" s="949"/>
      <c r="F179" s="949"/>
      <c r="G179" s="949"/>
      <c r="H179" s="950"/>
      <c r="I179" s="764">
        <f t="shared" ref="I179:J179" si="4">SUM(I170:I176)</f>
        <v>0.1225</v>
      </c>
      <c r="J179" s="752" t="e">
        <f t="shared" si="4"/>
        <v>#REF!</v>
      </c>
      <c r="K179" s="753"/>
    </row>
    <row r="180" spans="1:11" ht="15.75" customHeight="1">
      <c r="A180" s="579"/>
      <c r="B180" s="1158" t="s">
        <v>544</v>
      </c>
      <c r="C180" s="947"/>
      <c r="D180" s="1159" t="s">
        <v>545</v>
      </c>
      <c r="E180" s="947"/>
      <c r="F180" s="947"/>
      <c r="G180" s="947"/>
      <c r="H180" s="947"/>
      <c r="I180" s="947"/>
      <c r="J180" s="1020"/>
      <c r="K180" s="765"/>
    </row>
    <row r="181" spans="1:11" ht="15.75" customHeight="1">
      <c r="A181" s="579"/>
      <c r="B181" s="1151"/>
      <c r="C181" s="947"/>
      <c r="D181" s="1160" t="s">
        <v>546</v>
      </c>
      <c r="E181" s="947"/>
      <c r="F181" s="947"/>
      <c r="G181" s="947"/>
      <c r="H181" s="947"/>
      <c r="I181" s="947"/>
      <c r="J181" s="1020"/>
      <c r="K181" s="766"/>
    </row>
    <row r="182" spans="1:11" ht="15.75" customHeight="1">
      <c r="A182" s="579"/>
      <c r="B182" s="1134"/>
      <c r="C182" s="1037"/>
      <c r="D182" s="1161" t="s">
        <v>547</v>
      </c>
      <c r="E182" s="1037"/>
      <c r="F182" s="1037"/>
      <c r="G182" s="1037"/>
      <c r="H182" s="1037"/>
      <c r="I182" s="1037"/>
      <c r="J182" s="1038"/>
      <c r="K182" s="765"/>
    </row>
    <row r="183" spans="1:11" ht="10.5" customHeight="1">
      <c r="A183" s="579"/>
      <c r="B183" s="1162"/>
      <c r="C183" s="949"/>
      <c r="D183" s="949"/>
      <c r="E183" s="949"/>
      <c r="F183" s="949"/>
      <c r="G183" s="949"/>
      <c r="H183" s="949"/>
      <c r="I183" s="949"/>
      <c r="J183" s="950"/>
      <c r="K183" s="767"/>
    </row>
    <row r="184" spans="1:11" ht="24" customHeight="1">
      <c r="A184" s="579"/>
      <c r="B184" s="1046" t="s">
        <v>548</v>
      </c>
      <c r="C184" s="949"/>
      <c r="D184" s="949"/>
      <c r="E184" s="949"/>
      <c r="F184" s="949"/>
      <c r="G184" s="949"/>
      <c r="H184" s="949"/>
      <c r="I184" s="949"/>
      <c r="J184" s="950"/>
      <c r="K184" s="596"/>
    </row>
    <row r="185" spans="1:11" ht="9" customHeight="1">
      <c r="A185" s="579"/>
      <c r="B185" s="1112"/>
      <c r="C185" s="949"/>
      <c r="D185" s="949"/>
      <c r="E185" s="949"/>
      <c r="F185" s="949"/>
      <c r="G185" s="949"/>
      <c r="H185" s="949"/>
      <c r="I185" s="949"/>
      <c r="J185" s="950"/>
      <c r="K185" s="715"/>
    </row>
    <row r="186" spans="1:11" ht="15.75" customHeight="1">
      <c r="A186" s="579"/>
      <c r="B186" s="1113" t="s">
        <v>915</v>
      </c>
      <c r="C186" s="949"/>
      <c r="D186" s="949"/>
      <c r="E186" s="949"/>
      <c r="F186" s="949"/>
      <c r="G186" s="949"/>
      <c r="H186" s="949"/>
      <c r="I186" s="949"/>
      <c r="J186" s="950"/>
      <c r="K186" s="716"/>
    </row>
    <row r="187" spans="1:11" ht="15.75" customHeight="1">
      <c r="A187" s="579"/>
      <c r="B187" s="1050" t="s">
        <v>550</v>
      </c>
      <c r="C187" s="949"/>
      <c r="D187" s="949"/>
      <c r="E187" s="949"/>
      <c r="F187" s="949"/>
      <c r="G187" s="949"/>
      <c r="H187" s="949"/>
      <c r="I187" s="950"/>
      <c r="J187" s="749" t="s">
        <v>447</v>
      </c>
      <c r="K187" s="593"/>
    </row>
    <row r="188" spans="1:11" ht="15.75" customHeight="1">
      <c r="A188" s="579"/>
      <c r="B188" s="768" t="s">
        <v>369</v>
      </c>
      <c r="C188" s="1123" t="s">
        <v>551</v>
      </c>
      <c r="D188" s="949"/>
      <c r="E188" s="949"/>
      <c r="F188" s="949"/>
      <c r="G188" s="949"/>
      <c r="H188" s="949"/>
      <c r="I188" s="949"/>
      <c r="J188" s="742">
        <f>J63</f>
        <v>1660.01</v>
      </c>
      <c r="K188" s="704"/>
    </row>
    <row r="189" spans="1:11" ht="15.75" customHeight="1">
      <c r="A189" s="579"/>
      <c r="B189" s="768" t="s">
        <v>371</v>
      </c>
      <c r="C189" s="1123" t="s">
        <v>552</v>
      </c>
      <c r="D189" s="949"/>
      <c r="E189" s="949"/>
      <c r="F189" s="949"/>
      <c r="G189" s="949"/>
      <c r="H189" s="949"/>
      <c r="I189" s="949"/>
      <c r="J189" s="742">
        <f>J115</f>
        <v>886.08</v>
      </c>
      <c r="K189" s="704"/>
    </row>
    <row r="190" spans="1:11" ht="15.75" customHeight="1">
      <c r="A190" s="579"/>
      <c r="B190" s="768" t="s">
        <v>373</v>
      </c>
      <c r="C190" s="1123" t="s">
        <v>553</v>
      </c>
      <c r="D190" s="949"/>
      <c r="E190" s="949"/>
      <c r="F190" s="949"/>
      <c r="G190" s="949"/>
      <c r="H190" s="949"/>
      <c r="I190" s="949"/>
      <c r="J190" s="742">
        <f>J124</f>
        <v>93</v>
      </c>
      <c r="K190" s="704"/>
    </row>
    <row r="191" spans="1:11" ht="15.75" customHeight="1">
      <c r="A191" s="579"/>
      <c r="B191" s="768" t="s">
        <v>375</v>
      </c>
      <c r="C191" s="1123" t="s">
        <v>554</v>
      </c>
      <c r="D191" s="949"/>
      <c r="E191" s="949"/>
      <c r="F191" s="949"/>
      <c r="G191" s="949"/>
      <c r="H191" s="949"/>
      <c r="I191" s="949"/>
      <c r="J191" s="742">
        <f>J150</f>
        <v>239.23466666666675</v>
      </c>
      <c r="K191" s="704"/>
    </row>
    <row r="192" spans="1:11" ht="15.75" customHeight="1">
      <c r="A192" s="579"/>
      <c r="B192" s="768" t="s">
        <v>417</v>
      </c>
      <c r="C192" s="1123" t="s">
        <v>555</v>
      </c>
      <c r="D192" s="949"/>
      <c r="E192" s="949"/>
      <c r="F192" s="949"/>
      <c r="G192" s="949"/>
      <c r="H192" s="949"/>
      <c r="I192" s="949"/>
      <c r="J192" s="742" t="e">
        <f>J157</f>
        <v>#REF!</v>
      </c>
      <c r="K192" s="704"/>
    </row>
    <row r="193" spans="1:11" ht="15.75" customHeight="1">
      <c r="A193" s="579"/>
      <c r="B193" s="1124" t="s">
        <v>556</v>
      </c>
      <c r="C193" s="949"/>
      <c r="D193" s="949"/>
      <c r="E193" s="949"/>
      <c r="F193" s="949"/>
      <c r="G193" s="949"/>
      <c r="H193" s="949"/>
      <c r="I193" s="949"/>
      <c r="J193" s="743" t="e">
        <f>ROUND(SUM(J188:J192),2)</f>
        <v>#REF!</v>
      </c>
      <c r="K193" s="704"/>
    </row>
    <row r="194" spans="1:11" ht="15.75" customHeight="1">
      <c r="A194" s="579"/>
      <c r="B194" s="769" t="s">
        <v>421</v>
      </c>
      <c r="C194" s="1123" t="s">
        <v>528</v>
      </c>
      <c r="D194" s="949"/>
      <c r="E194" s="949"/>
      <c r="F194" s="949"/>
      <c r="G194" s="949"/>
      <c r="H194" s="949"/>
      <c r="I194" s="949"/>
      <c r="J194" s="742" t="e">
        <f>J177</f>
        <v>#REF!</v>
      </c>
      <c r="K194" s="704"/>
    </row>
    <row r="195" spans="1:11" ht="15.75" customHeight="1">
      <c r="A195" s="579"/>
      <c r="B195" s="1124" t="s">
        <v>666</v>
      </c>
      <c r="C195" s="949"/>
      <c r="D195" s="949"/>
      <c r="E195" s="949"/>
      <c r="F195" s="949"/>
      <c r="G195" s="949"/>
      <c r="H195" s="949"/>
      <c r="I195" s="949"/>
      <c r="J195" s="743" t="e">
        <f>J193+J194</f>
        <v>#REF!</v>
      </c>
      <c r="K195" s="704"/>
    </row>
    <row r="196" spans="1:11" ht="36.75" customHeight="1">
      <c r="A196" s="579"/>
      <c r="B196" s="1169" t="s">
        <v>558</v>
      </c>
      <c r="C196" s="949"/>
      <c r="D196" s="949"/>
      <c r="E196" s="949"/>
      <c r="F196" s="949"/>
      <c r="G196" s="949"/>
      <c r="H196" s="949"/>
      <c r="I196" s="949"/>
      <c r="J196" s="950"/>
      <c r="K196" s="874"/>
    </row>
    <row r="197" spans="1:11" ht="9" customHeight="1">
      <c r="A197" s="579"/>
      <c r="B197" s="1170"/>
      <c r="C197" s="949"/>
      <c r="D197" s="949"/>
      <c r="E197" s="949"/>
      <c r="F197" s="949"/>
      <c r="G197" s="949"/>
      <c r="H197" s="949"/>
      <c r="I197" s="949"/>
      <c r="J197" s="950"/>
      <c r="K197" s="771"/>
    </row>
    <row r="198" spans="1:11" ht="15.75" customHeight="1">
      <c r="A198" s="579"/>
      <c r="B198" s="772"/>
      <c r="C198" s="587"/>
      <c r="D198" s="587"/>
      <c r="E198" s="587"/>
      <c r="F198" s="587"/>
      <c r="G198" s="587"/>
      <c r="H198" s="587"/>
      <c r="I198" s="773"/>
      <c r="J198" s="774"/>
      <c r="K198" s="773"/>
    </row>
    <row r="199" spans="1:11" ht="15.75" customHeight="1">
      <c r="A199" s="579"/>
      <c r="B199" s="1129" t="s">
        <v>559</v>
      </c>
      <c r="C199" s="947"/>
      <c r="D199" s="947"/>
      <c r="E199" s="947"/>
      <c r="F199" s="947"/>
      <c r="G199" s="947"/>
      <c r="H199" s="947"/>
      <c r="I199" s="947"/>
      <c r="J199" s="1020"/>
      <c r="K199" s="588"/>
    </row>
    <row r="200" spans="1:11" ht="22.5" customHeight="1">
      <c r="A200" s="579"/>
      <c r="B200" s="1075" t="s">
        <v>560</v>
      </c>
      <c r="C200" s="949"/>
      <c r="D200" s="949"/>
      <c r="E200" s="950"/>
      <c r="F200" s="1075" t="s">
        <v>667</v>
      </c>
      <c r="G200" s="950"/>
      <c r="H200" s="749" t="s">
        <v>563</v>
      </c>
      <c r="I200" s="1075" t="s">
        <v>564</v>
      </c>
      <c r="J200" s="950"/>
      <c r="K200" s="593"/>
    </row>
    <row r="201" spans="1:11" ht="36" hidden="1" customHeight="1" outlineLevel="1">
      <c r="A201" s="579"/>
      <c r="B201" s="1051" t="s">
        <v>565</v>
      </c>
      <c r="C201" s="949"/>
      <c r="D201" s="949"/>
      <c r="E201" s="950"/>
      <c r="F201" s="1140">
        <v>0</v>
      </c>
      <c r="G201" s="950"/>
      <c r="H201" s="875">
        <f t="shared" ref="H201:H202" si="5">E201*F201</f>
        <v>0</v>
      </c>
      <c r="I201" s="1140">
        <f t="shared" ref="I201:I203" si="6">F201*H201</f>
        <v>0</v>
      </c>
      <c r="J201" s="950"/>
      <c r="K201" s="779"/>
    </row>
    <row r="202" spans="1:11" ht="36" hidden="1" customHeight="1" outlineLevel="1">
      <c r="A202" s="579"/>
      <c r="B202" s="1051" t="s">
        <v>566</v>
      </c>
      <c r="C202" s="949"/>
      <c r="D202" s="949"/>
      <c r="E202" s="950"/>
      <c r="F202" s="1140">
        <v>0</v>
      </c>
      <c r="G202" s="950"/>
      <c r="H202" s="875">
        <f t="shared" si="5"/>
        <v>0</v>
      </c>
      <c r="I202" s="1140">
        <f t="shared" si="6"/>
        <v>0</v>
      </c>
      <c r="J202" s="950"/>
      <c r="K202" s="779"/>
    </row>
    <row r="203" spans="1:11" ht="36" customHeight="1" collapsed="1">
      <c r="A203" s="579"/>
      <c r="B203" s="1141" t="str">
        <f>B3</f>
        <v>A NÃO TEM MAIS POSTOS-33</v>
      </c>
      <c r="C203" s="949"/>
      <c r="D203" s="949"/>
      <c r="E203" s="950"/>
      <c r="F203" s="1131" t="e">
        <f>J195</f>
        <v>#REF!</v>
      </c>
      <c r="G203" s="950"/>
      <c r="H203" s="875">
        <f>I17</f>
        <v>0</v>
      </c>
      <c r="I203" s="1140" t="e">
        <f t="shared" si="6"/>
        <v>#REF!</v>
      </c>
      <c r="J203" s="950"/>
      <c r="K203" s="779"/>
    </row>
    <row r="204" spans="1:11" ht="36" hidden="1" customHeight="1" outlineLevel="1">
      <c r="A204" s="579"/>
      <c r="B204" s="1051" t="s">
        <v>567</v>
      </c>
      <c r="C204" s="949"/>
      <c r="D204" s="949"/>
      <c r="E204" s="950"/>
      <c r="F204" s="1131">
        <v>0</v>
      </c>
      <c r="G204" s="950"/>
      <c r="H204" s="875">
        <f t="shared" ref="H204:I204" si="7">E204*G204</f>
        <v>0</v>
      </c>
      <c r="I204" s="1140">
        <f t="shared" si="7"/>
        <v>0</v>
      </c>
      <c r="J204" s="950"/>
      <c r="K204" s="779"/>
    </row>
    <row r="205" spans="1:11" ht="36" hidden="1" customHeight="1" outlineLevel="1">
      <c r="A205" s="579"/>
      <c r="B205" s="1051" t="s">
        <v>568</v>
      </c>
      <c r="C205" s="949"/>
      <c r="D205" s="949"/>
      <c r="E205" s="950"/>
      <c r="F205" s="1131">
        <v>0</v>
      </c>
      <c r="G205" s="950"/>
      <c r="H205" s="875">
        <f t="shared" ref="H205:I205" si="8">E205*G205</f>
        <v>0</v>
      </c>
      <c r="I205" s="1140">
        <f t="shared" si="8"/>
        <v>0</v>
      </c>
      <c r="J205" s="950"/>
      <c r="K205" s="779"/>
    </row>
    <row r="206" spans="1:11" ht="15.75" hidden="1" customHeight="1" outlineLevel="1">
      <c r="A206" s="579"/>
      <c r="B206" s="1142" t="s">
        <v>916</v>
      </c>
      <c r="C206" s="949"/>
      <c r="D206" s="949"/>
      <c r="E206" s="950"/>
      <c r="F206" s="1140">
        <v>0</v>
      </c>
      <c r="G206" s="950"/>
      <c r="H206" s="875">
        <f t="shared" ref="H206:I206" si="9">E206*G206</f>
        <v>0</v>
      </c>
      <c r="I206" s="1140">
        <f t="shared" si="9"/>
        <v>0</v>
      </c>
      <c r="J206" s="950"/>
      <c r="K206" s="779"/>
    </row>
    <row r="207" spans="1:11" ht="15.75" customHeight="1" collapsed="1">
      <c r="A207" s="579"/>
      <c r="B207" s="1143" t="s">
        <v>570</v>
      </c>
      <c r="C207" s="949"/>
      <c r="D207" s="949"/>
      <c r="E207" s="949"/>
      <c r="F207" s="949"/>
      <c r="G207" s="950"/>
      <c r="H207" s="906">
        <f>SUM(H201:H206)</f>
        <v>0</v>
      </c>
      <c r="I207" s="1176" t="e">
        <f>SUM(I201:J206)</f>
        <v>#REF!</v>
      </c>
      <c r="J207" s="950"/>
      <c r="K207" s="786"/>
    </row>
    <row r="208" spans="1:11" ht="15.75" customHeight="1">
      <c r="A208" s="579"/>
      <c r="B208" s="1144"/>
      <c r="C208" s="1145"/>
      <c r="D208" s="1145"/>
      <c r="E208" s="1145"/>
      <c r="F208" s="1145"/>
      <c r="G208" s="1145"/>
      <c r="H208" s="1145"/>
      <c r="I208" s="1145"/>
      <c r="J208" s="1146"/>
      <c r="K208" s="715"/>
    </row>
    <row r="209" spans="1:11" ht="15.75" customHeight="1">
      <c r="A209" s="579"/>
      <c r="B209" s="1147" t="s">
        <v>571</v>
      </c>
      <c r="C209" s="1037"/>
      <c r="D209" s="1037"/>
      <c r="E209" s="1037"/>
      <c r="F209" s="1037"/>
      <c r="G209" s="1037"/>
      <c r="H209" s="1037"/>
      <c r="I209" s="1037"/>
      <c r="J209" s="1038"/>
      <c r="K209" s="596"/>
    </row>
    <row r="210" spans="1:11" ht="6" customHeight="1">
      <c r="A210" s="579"/>
      <c r="B210" s="1148"/>
      <c r="C210" s="949"/>
      <c r="D210" s="949"/>
      <c r="E210" s="949"/>
      <c r="F210" s="949"/>
      <c r="G210" s="949"/>
      <c r="H210" s="949"/>
      <c r="I210" s="949"/>
      <c r="J210" s="950"/>
      <c r="K210" s="787"/>
    </row>
    <row r="211" spans="1:11" ht="15.75" customHeight="1">
      <c r="A211" s="579"/>
      <c r="B211" s="1072" t="s">
        <v>572</v>
      </c>
      <c r="C211" s="949"/>
      <c r="D211" s="949"/>
      <c r="E211" s="949"/>
      <c r="F211" s="949"/>
      <c r="G211" s="950"/>
      <c r="H211" s="1149" t="e">
        <f>$I$207</f>
        <v>#REF!</v>
      </c>
      <c r="I211" s="949"/>
      <c r="J211" s="950"/>
      <c r="K211" s="788"/>
    </row>
    <row r="212" spans="1:11" ht="6" customHeight="1">
      <c r="A212" s="579"/>
      <c r="B212" s="1135"/>
      <c r="C212" s="954"/>
      <c r="D212" s="954"/>
      <c r="E212" s="954"/>
      <c r="F212" s="954"/>
      <c r="G212" s="954"/>
      <c r="H212" s="954"/>
      <c r="I212" s="954"/>
      <c r="J212" s="1136"/>
      <c r="K212" s="789"/>
    </row>
    <row r="213" spans="1:11" ht="15.75" customHeight="1">
      <c r="A213" s="579"/>
      <c r="B213" s="1072" t="s">
        <v>573</v>
      </c>
      <c r="C213" s="949"/>
      <c r="D213" s="949"/>
      <c r="E213" s="949"/>
      <c r="F213" s="949"/>
      <c r="G213" s="950"/>
      <c r="H213" s="1073">
        <f>$I$11</f>
        <v>30</v>
      </c>
      <c r="I213" s="949"/>
      <c r="J213" s="950"/>
      <c r="K213" s="790"/>
    </row>
    <row r="214" spans="1:11" ht="6" customHeight="1">
      <c r="A214" s="579"/>
      <c r="B214" s="1137"/>
      <c r="C214" s="949"/>
      <c r="D214" s="949"/>
      <c r="E214" s="949"/>
      <c r="F214" s="949"/>
      <c r="G214" s="949"/>
      <c r="H214" s="949"/>
      <c r="I214" s="949"/>
      <c r="J214" s="950"/>
      <c r="K214" s="791"/>
    </row>
    <row r="215" spans="1:11" ht="15.75" customHeight="1">
      <c r="A215" s="579"/>
      <c r="B215" s="1072" t="s">
        <v>917</v>
      </c>
      <c r="C215" s="949"/>
      <c r="D215" s="949"/>
      <c r="E215" s="949"/>
      <c r="F215" s="949"/>
      <c r="G215" s="950"/>
      <c r="H215" s="1138" t="e">
        <f>ROUND(H211*H213,2)</f>
        <v>#REF!</v>
      </c>
      <c r="I215" s="949"/>
      <c r="J215" s="950"/>
      <c r="K215" s="792"/>
    </row>
    <row r="216" spans="1:11" ht="6" customHeight="1">
      <c r="A216" s="579"/>
      <c r="B216" s="1139"/>
      <c r="C216" s="949"/>
      <c r="D216" s="949"/>
      <c r="E216" s="949"/>
      <c r="F216" s="949"/>
      <c r="G216" s="949"/>
      <c r="H216" s="949"/>
      <c r="I216" s="949"/>
      <c r="J216" s="950"/>
      <c r="K216" s="587"/>
    </row>
    <row r="217" spans="1:11" ht="15.75" customHeight="1">
      <c r="A217" s="579"/>
      <c r="B217" s="579"/>
      <c r="C217" s="579"/>
      <c r="D217" s="579"/>
      <c r="E217" s="579"/>
      <c r="F217" s="579"/>
      <c r="G217" s="579"/>
      <c r="H217" s="579"/>
      <c r="I217" s="579"/>
      <c r="J217" s="579"/>
      <c r="K217" s="579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1">
    <mergeCell ref="I206:J206"/>
    <mergeCell ref="I207:J207"/>
    <mergeCell ref="B202:E202"/>
    <mergeCell ref="F202:G202"/>
    <mergeCell ref="I202:J202"/>
    <mergeCell ref="B203:E203"/>
    <mergeCell ref="F203:G203"/>
    <mergeCell ref="B204:E204"/>
    <mergeCell ref="F204:G204"/>
    <mergeCell ref="B207:G207"/>
    <mergeCell ref="B200:E200"/>
    <mergeCell ref="F200:G200"/>
    <mergeCell ref="I200:J200"/>
    <mergeCell ref="B201:E201"/>
    <mergeCell ref="F201:G201"/>
    <mergeCell ref="I201:J201"/>
    <mergeCell ref="I203:J203"/>
    <mergeCell ref="I204:J204"/>
    <mergeCell ref="I205:J205"/>
    <mergeCell ref="C190:I190"/>
    <mergeCell ref="C191:I191"/>
    <mergeCell ref="C192:I192"/>
    <mergeCell ref="B193:I193"/>
    <mergeCell ref="C194:I194"/>
    <mergeCell ref="B195:I195"/>
    <mergeCell ref="B196:J196"/>
    <mergeCell ref="B197:J197"/>
    <mergeCell ref="B199:J199"/>
    <mergeCell ref="B208:J208"/>
    <mergeCell ref="B209:J209"/>
    <mergeCell ref="B215:G215"/>
    <mergeCell ref="H215:J215"/>
    <mergeCell ref="B216:J216"/>
    <mergeCell ref="B210:J210"/>
    <mergeCell ref="B211:G211"/>
    <mergeCell ref="H211:J211"/>
    <mergeCell ref="B212:J212"/>
    <mergeCell ref="B213:G213"/>
    <mergeCell ref="H213:J213"/>
    <mergeCell ref="B214:J214"/>
    <mergeCell ref="B205:E205"/>
    <mergeCell ref="F205:G205"/>
    <mergeCell ref="B206:E206"/>
    <mergeCell ref="F206:G206"/>
    <mergeCell ref="C171:H171"/>
    <mergeCell ref="C172:H172"/>
    <mergeCell ref="C173:H173"/>
    <mergeCell ref="C174:H174"/>
    <mergeCell ref="C175:H175"/>
    <mergeCell ref="C176:H176"/>
    <mergeCell ref="B177:I177"/>
    <mergeCell ref="B178:J178"/>
    <mergeCell ref="B179:H179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88:I188"/>
    <mergeCell ref="C189:I189"/>
    <mergeCell ref="B76:J76"/>
    <mergeCell ref="C120:I120"/>
    <mergeCell ref="C121:I121"/>
    <mergeCell ref="C122:I122"/>
    <mergeCell ref="C123:H123"/>
    <mergeCell ref="B124:I124"/>
    <mergeCell ref="B125:J125"/>
    <mergeCell ref="B126:J126"/>
    <mergeCell ref="B127:J127"/>
    <mergeCell ref="B115:I115"/>
    <mergeCell ref="B116:J116"/>
    <mergeCell ref="B117:J117"/>
    <mergeCell ref="C118:I118"/>
    <mergeCell ref="C119:I119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C114:I114"/>
    <mergeCell ref="C97:I97"/>
    <mergeCell ref="B67:J67"/>
    <mergeCell ref="B68:J68"/>
    <mergeCell ref="C69:I69"/>
    <mergeCell ref="C70:H70"/>
    <mergeCell ref="C71:H71"/>
    <mergeCell ref="B72:I72"/>
    <mergeCell ref="B73:J73"/>
    <mergeCell ref="B74:J74"/>
    <mergeCell ref="B75:J75"/>
    <mergeCell ref="B58:I58"/>
    <mergeCell ref="C59:I59"/>
    <mergeCell ref="C60:I60"/>
    <mergeCell ref="B61:I61"/>
    <mergeCell ref="B62:J62"/>
    <mergeCell ref="B63:I63"/>
    <mergeCell ref="B64:J64"/>
    <mergeCell ref="B65:J65"/>
    <mergeCell ref="B66:J66"/>
    <mergeCell ref="C50:F50"/>
    <mergeCell ref="G50:H50"/>
    <mergeCell ref="C51:E51"/>
    <mergeCell ref="C52:I52"/>
    <mergeCell ref="C53:I53"/>
    <mergeCell ref="C54:E54"/>
    <mergeCell ref="C55:E55"/>
    <mergeCell ref="C56:I56"/>
    <mergeCell ref="C57:I57"/>
    <mergeCell ref="B42:J42"/>
    <mergeCell ref="B43:J43"/>
    <mergeCell ref="B44:J44"/>
    <mergeCell ref="B45:J45"/>
    <mergeCell ref="C46:H46"/>
    <mergeCell ref="C47:F47"/>
    <mergeCell ref="C48:E48"/>
    <mergeCell ref="F48:H48"/>
    <mergeCell ref="C49:H49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C33:F33"/>
    <mergeCell ref="C34:F34"/>
    <mergeCell ref="G34:H34"/>
    <mergeCell ref="I34:J34"/>
    <mergeCell ref="C35:F35"/>
    <mergeCell ref="G35:H35"/>
    <mergeCell ref="I35:J35"/>
    <mergeCell ref="C36:H36"/>
    <mergeCell ref="I36:J36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B163:H163"/>
    <mergeCell ref="C168:H168"/>
    <mergeCell ref="C169:H169"/>
    <mergeCell ref="C170:H170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B158:J158"/>
    <mergeCell ref="B157:I157"/>
    <mergeCell ref="C164:H164"/>
    <mergeCell ref="B165:H165"/>
    <mergeCell ref="C166:H166"/>
    <mergeCell ref="B167:H167"/>
    <mergeCell ref="B128:J128"/>
    <mergeCell ref="B130:J130"/>
    <mergeCell ref="B131:J131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B141:J141"/>
    <mergeCell ref="C142:I142"/>
    <mergeCell ref="C143:I143"/>
    <mergeCell ref="B159:J159"/>
    <mergeCell ref="B161:J161"/>
    <mergeCell ref="C162:H162"/>
    <mergeCell ref="C77:H77"/>
    <mergeCell ref="C78:H78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B89:J89"/>
    <mergeCell ref="B90:J90"/>
    <mergeCell ref="C91:I91"/>
    <mergeCell ref="C92:H92"/>
    <mergeCell ref="C93:H93"/>
    <mergeCell ref="C94:H94"/>
    <mergeCell ref="C95:H95"/>
    <mergeCell ref="C96:H96"/>
    <mergeCell ref="C149:I149"/>
    <mergeCell ref="B150:I150"/>
    <mergeCell ref="B151:J151"/>
    <mergeCell ref="B152:J152"/>
    <mergeCell ref="C153:I153"/>
    <mergeCell ref="C154:I154"/>
    <mergeCell ref="C155:I155"/>
    <mergeCell ref="C156:I156"/>
    <mergeCell ref="C98:H98"/>
    <mergeCell ref="C99:H99"/>
    <mergeCell ref="C100:H100"/>
    <mergeCell ref="C101:I101"/>
    <mergeCell ref="C102:I102"/>
    <mergeCell ref="C103:I103"/>
    <mergeCell ref="C104:I104"/>
    <mergeCell ref="C105:I105"/>
    <mergeCell ref="B144:I144"/>
    <mergeCell ref="B145:J145"/>
    <mergeCell ref="B146:J146"/>
    <mergeCell ref="C147:I147"/>
    <mergeCell ref="C148:I148"/>
  </mergeCells>
  <conditionalFormatting sqref="I49:I50">
    <cfRule type="cellIs" dxfId="13" priority="1" operator="equal">
      <formula>0</formula>
    </cfRule>
  </conditionalFormatting>
  <conditionalFormatting sqref="I48">
    <cfRule type="cellIs" dxfId="12" priority="2" operator="equal">
      <formula>0</formula>
    </cfRule>
  </conditionalFormatting>
  <pageMargins left="0.511811024" right="0.511811024" top="0.78740157499999996" bottom="0.78740157499999996" header="0" footer="0"/>
  <pageSetup orientation="landscape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BD4B4"/>
  </sheetPr>
  <dimension ref="A1:K1000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4" customWidth="1"/>
    <col min="7" max="7" width="14.85546875" customWidth="1"/>
    <col min="8" max="8" width="14.42578125" customWidth="1"/>
    <col min="9" max="9" width="11.28515625" customWidth="1"/>
    <col min="10" max="10" width="16.7109375" customWidth="1"/>
    <col min="11" max="11" width="1.42578125" customWidth="1"/>
  </cols>
  <sheetData>
    <row r="1" spans="1:11" ht="11.25" customHeight="1">
      <c r="A1" s="918" t="s">
        <v>918</v>
      </c>
      <c r="B1" s="579"/>
      <c r="C1" s="579"/>
      <c r="D1" s="579"/>
      <c r="E1" s="579"/>
      <c r="F1" s="579"/>
      <c r="G1" s="579"/>
      <c r="H1" s="579"/>
      <c r="I1" s="579"/>
      <c r="J1" s="904"/>
      <c r="K1" s="579"/>
    </row>
    <row r="2" spans="1:11" ht="17.25" customHeight="1">
      <c r="A2" s="579"/>
      <c r="B2" s="1066" t="str">
        <f>'1-ABA-DE-CARREGAMENTO'!C11</f>
        <v xml:space="preserve"> S E R V I Ç O S     -    INTERPRETE DE LIBRAS e SINAIS </v>
      </c>
      <c r="C2" s="1054"/>
      <c r="D2" s="1054"/>
      <c r="E2" s="1054"/>
      <c r="F2" s="1054"/>
      <c r="G2" s="1054"/>
      <c r="H2" s="1054"/>
      <c r="I2" s="1054"/>
      <c r="J2" s="1055"/>
      <c r="K2" s="583"/>
    </row>
    <row r="3" spans="1:11" ht="17.25" customHeight="1">
      <c r="A3" s="579"/>
      <c r="B3" s="1067" t="str">
        <f>'1-ABA-DE-CARREGAMENTO'!I33</f>
        <v>A NÃO TEM MAIS POSTOS-44</v>
      </c>
      <c r="C3" s="1037"/>
      <c r="D3" s="1037"/>
      <c r="E3" s="1037"/>
      <c r="F3" s="1037"/>
      <c r="G3" s="1037"/>
      <c r="H3" s="1037"/>
      <c r="I3" s="1037"/>
      <c r="J3" s="1038"/>
      <c r="K3" s="584"/>
    </row>
    <row r="4" spans="1:11" ht="17.25" customHeight="1">
      <c r="A4" s="579"/>
      <c r="B4" s="1060" t="s">
        <v>366</v>
      </c>
      <c r="C4" s="1037"/>
      <c r="D4" s="1037"/>
      <c r="E4" s="1037"/>
      <c r="F4" s="1038"/>
      <c r="G4" s="1068">
        <f>'1-ABA-DE-CARREGAMENTO'!C12</f>
        <v>0</v>
      </c>
      <c r="H4" s="1037"/>
      <c r="I4" s="1037"/>
      <c r="J4" s="1038"/>
      <c r="K4" s="585"/>
    </row>
    <row r="5" spans="1:11" ht="17.25" customHeight="1">
      <c r="A5" s="579"/>
      <c r="B5" s="1051" t="s">
        <v>367</v>
      </c>
      <c r="C5" s="949"/>
      <c r="D5" s="949"/>
      <c r="E5" s="949"/>
      <c r="F5" s="950"/>
      <c r="G5" s="1069">
        <f>'1-ABA-DE-CARREGAMENTO'!C13</f>
        <v>0</v>
      </c>
      <c r="H5" s="949"/>
      <c r="I5" s="949"/>
      <c r="J5" s="950"/>
      <c r="K5" s="585"/>
    </row>
    <row r="6" spans="1:11" ht="17.25" customHeight="1">
      <c r="A6" s="579"/>
      <c r="B6" s="1070">
        <f>'1-ABA-DE-CARREGAMENTO'!C16</f>
        <v>0</v>
      </c>
      <c r="C6" s="949"/>
      <c r="D6" s="949"/>
      <c r="E6" s="949"/>
      <c r="F6" s="949"/>
      <c r="G6" s="949"/>
      <c r="H6" s="949"/>
      <c r="I6" s="949"/>
      <c r="J6" s="950"/>
      <c r="K6" s="587"/>
    </row>
    <row r="7" spans="1:11" ht="17.25" customHeight="1">
      <c r="A7" s="579"/>
      <c r="B7" s="1050" t="s">
        <v>368</v>
      </c>
      <c r="C7" s="949"/>
      <c r="D7" s="949"/>
      <c r="E7" s="949"/>
      <c r="F7" s="949"/>
      <c r="G7" s="949"/>
      <c r="H7" s="949"/>
      <c r="I7" s="949"/>
      <c r="J7" s="950"/>
      <c r="K7" s="588"/>
    </row>
    <row r="8" spans="1:11" ht="17.25" customHeight="1">
      <c r="A8" s="579"/>
      <c r="B8" s="589" t="s">
        <v>369</v>
      </c>
      <c r="C8" s="1051" t="s">
        <v>370</v>
      </c>
      <c r="D8" s="949"/>
      <c r="E8" s="949"/>
      <c r="F8" s="949"/>
      <c r="G8" s="949"/>
      <c r="H8" s="950"/>
      <c r="I8" s="1071">
        <f>'1-ABA-DE-CARREGAMENTO'!C16</f>
        <v>0</v>
      </c>
      <c r="J8" s="950"/>
      <c r="K8" s="590"/>
    </row>
    <row r="9" spans="1:11" ht="17.25" customHeight="1">
      <c r="A9" s="579"/>
      <c r="B9" s="589" t="s">
        <v>371</v>
      </c>
      <c r="C9" s="1051" t="s">
        <v>372</v>
      </c>
      <c r="D9" s="949"/>
      <c r="E9" s="949"/>
      <c r="F9" s="949"/>
      <c r="G9" s="949"/>
      <c r="H9" s="950"/>
      <c r="I9" s="1069" t="str">
        <f>'1-ABA-DE-CARREGAMENTO'!C14</f>
        <v xml:space="preserve">SANTO-AUGUSTO </v>
      </c>
      <c r="J9" s="950"/>
      <c r="K9" s="585"/>
    </row>
    <row r="10" spans="1:11" ht="17.25" customHeight="1">
      <c r="A10" s="579"/>
      <c r="B10" s="589" t="s">
        <v>373</v>
      </c>
      <c r="C10" s="1051" t="s">
        <v>374</v>
      </c>
      <c r="D10" s="949"/>
      <c r="E10" s="949"/>
      <c r="F10" s="949"/>
      <c r="G10" s="949"/>
      <c r="H10" s="950"/>
      <c r="I10" s="1069" t="str">
        <f>'1-ABA-DE-CARREGAMENTO'!I35</f>
        <v>RS005021/2021</v>
      </c>
      <c r="J10" s="950"/>
      <c r="K10" s="585"/>
    </row>
    <row r="11" spans="1:11" ht="17.25" customHeight="1">
      <c r="A11" s="579"/>
      <c r="B11" s="589" t="s">
        <v>375</v>
      </c>
      <c r="C11" s="1051" t="s">
        <v>376</v>
      </c>
      <c r="D11" s="949"/>
      <c r="E11" s="949"/>
      <c r="F11" s="949"/>
      <c r="G11" s="949"/>
      <c r="H11" s="950"/>
      <c r="I11" s="1175">
        <f>'1-ABA-DE-CARREGAMENTO'!I94</f>
        <v>30</v>
      </c>
      <c r="J11" s="950"/>
      <c r="K11" s="585"/>
    </row>
    <row r="12" spans="1:11" ht="17.25" customHeight="1">
      <c r="A12" s="579"/>
      <c r="B12" s="1074" t="s">
        <v>377</v>
      </c>
      <c r="C12" s="949"/>
      <c r="D12" s="949"/>
      <c r="E12" s="949"/>
      <c r="F12" s="949"/>
      <c r="G12" s="949"/>
      <c r="H12" s="949"/>
      <c r="I12" s="949"/>
      <c r="J12" s="950"/>
      <c r="K12" s="592"/>
    </row>
    <row r="13" spans="1:11" ht="25.5" customHeight="1">
      <c r="A13" s="579"/>
      <c r="B13" s="1075" t="str">
        <f>'1-ABA-DE-CARREGAMENTO'!C11</f>
        <v xml:space="preserve"> S E R V I Ç O S     -    INTERPRETE DE LIBRAS e SINAIS </v>
      </c>
      <c r="C13" s="949"/>
      <c r="D13" s="949"/>
      <c r="E13" s="949"/>
      <c r="F13" s="949"/>
      <c r="G13" s="1075" t="s">
        <v>378</v>
      </c>
      <c r="H13" s="950"/>
      <c r="I13" s="1075" t="s">
        <v>379</v>
      </c>
      <c r="J13" s="950"/>
      <c r="K13" s="593"/>
    </row>
    <row r="14" spans="1:11" ht="11.25" hidden="1" customHeight="1" outlineLevel="1">
      <c r="A14" s="579"/>
      <c r="B14" s="1040" t="s">
        <v>380</v>
      </c>
      <c r="C14" s="949"/>
      <c r="D14" s="949"/>
      <c r="E14" s="949"/>
      <c r="F14" s="950"/>
      <c r="G14" s="1041" t="s">
        <v>381</v>
      </c>
      <c r="H14" s="950"/>
      <c r="I14" s="1042" t="s">
        <v>382</v>
      </c>
      <c r="J14" s="950"/>
      <c r="K14" s="594"/>
    </row>
    <row r="15" spans="1:11" ht="11.25" hidden="1" customHeight="1" outlineLevel="1">
      <c r="A15" s="579"/>
      <c r="B15" s="1040" t="s">
        <v>383</v>
      </c>
      <c r="C15" s="949"/>
      <c r="D15" s="949"/>
      <c r="E15" s="949"/>
      <c r="F15" s="950"/>
      <c r="G15" s="1041" t="s">
        <v>381</v>
      </c>
      <c r="H15" s="950"/>
      <c r="I15" s="1042" t="s">
        <v>382</v>
      </c>
      <c r="J15" s="950"/>
      <c r="K15" s="594"/>
    </row>
    <row r="16" spans="1:11" ht="11.25" hidden="1" customHeight="1" outlineLevel="1">
      <c r="A16" s="579"/>
      <c r="B16" s="1040" t="s">
        <v>384</v>
      </c>
      <c r="C16" s="949"/>
      <c r="D16" s="949"/>
      <c r="E16" s="949"/>
      <c r="F16" s="950"/>
      <c r="G16" s="1041" t="s">
        <v>381</v>
      </c>
      <c r="H16" s="950"/>
      <c r="I16" s="1042" t="s">
        <v>382</v>
      </c>
      <c r="J16" s="950"/>
      <c r="K16" s="594"/>
    </row>
    <row r="17" spans="1:11" ht="11.25" customHeight="1" collapsed="1">
      <c r="A17" s="579"/>
      <c r="B17" s="1040" t="str">
        <f>B3</f>
        <v>A NÃO TEM MAIS POSTOS-44</v>
      </c>
      <c r="C17" s="949"/>
      <c r="D17" s="949"/>
      <c r="E17" s="949"/>
      <c r="F17" s="950"/>
      <c r="G17" s="1041" t="s">
        <v>381</v>
      </c>
      <c r="H17" s="950"/>
      <c r="I17" s="1042">
        <f>'1-ABA-DE-CARREGAMENTO'!I92</f>
        <v>0</v>
      </c>
      <c r="J17" s="950"/>
      <c r="K17" s="594"/>
    </row>
    <row r="18" spans="1:11" ht="11.25" hidden="1" customHeight="1" outlineLevel="1">
      <c r="A18" s="579"/>
      <c r="B18" s="1040" t="s">
        <v>385</v>
      </c>
      <c r="C18" s="949"/>
      <c r="D18" s="949"/>
      <c r="E18" s="949"/>
      <c r="F18" s="950"/>
      <c r="G18" s="1041" t="s">
        <v>381</v>
      </c>
      <c r="H18" s="950"/>
      <c r="I18" s="1042" t="s">
        <v>382</v>
      </c>
      <c r="J18" s="950"/>
      <c r="K18" s="594"/>
    </row>
    <row r="19" spans="1:11" ht="11.25" hidden="1" customHeight="1" outlineLevel="1">
      <c r="A19" s="579"/>
      <c r="B19" s="1040" t="s">
        <v>919</v>
      </c>
      <c r="C19" s="949"/>
      <c r="D19" s="949"/>
      <c r="E19" s="949"/>
      <c r="F19" s="950"/>
      <c r="G19" s="1041" t="s">
        <v>381</v>
      </c>
      <c r="H19" s="950"/>
      <c r="I19" s="1042" t="s">
        <v>382</v>
      </c>
      <c r="J19" s="950"/>
      <c r="K19" s="594"/>
    </row>
    <row r="20" spans="1:11" ht="11.25" customHeight="1" collapsed="1">
      <c r="A20" s="579"/>
      <c r="B20" s="1044" t="s">
        <v>387</v>
      </c>
      <c r="C20" s="949"/>
      <c r="D20" s="949"/>
      <c r="E20" s="949"/>
      <c r="F20" s="949"/>
      <c r="G20" s="949"/>
      <c r="H20" s="950"/>
      <c r="I20" s="1043">
        <f>SUM(I14:I19)</f>
        <v>0</v>
      </c>
      <c r="J20" s="950"/>
      <c r="K20" s="595"/>
    </row>
    <row r="21" spans="1:11" ht="11.25" customHeight="1">
      <c r="A21" s="579"/>
      <c r="B21" s="1045"/>
      <c r="C21" s="949"/>
      <c r="D21" s="949"/>
      <c r="E21" s="949"/>
      <c r="F21" s="949"/>
      <c r="G21" s="949"/>
      <c r="H21" s="949"/>
      <c r="I21" s="949"/>
      <c r="J21" s="950"/>
      <c r="K21" s="593"/>
    </row>
    <row r="22" spans="1:11" ht="44.25" customHeight="1">
      <c r="A22" s="579"/>
      <c r="B22" s="1046" t="s">
        <v>388</v>
      </c>
      <c r="C22" s="949"/>
      <c r="D22" s="949"/>
      <c r="E22" s="949"/>
      <c r="F22" s="949"/>
      <c r="G22" s="949"/>
      <c r="H22" s="949"/>
      <c r="I22" s="949"/>
      <c r="J22" s="950"/>
      <c r="K22" s="596"/>
    </row>
    <row r="23" spans="1:11" ht="11.25" customHeight="1">
      <c r="A23" s="579"/>
      <c r="B23" s="1047"/>
      <c r="C23" s="949"/>
      <c r="D23" s="949"/>
      <c r="E23" s="949"/>
      <c r="F23" s="949"/>
      <c r="G23" s="949"/>
      <c r="H23" s="949"/>
      <c r="I23" s="949"/>
      <c r="J23" s="950"/>
      <c r="K23" s="362"/>
    </row>
    <row r="24" spans="1:11" ht="53.25" customHeight="1">
      <c r="A24" s="579"/>
      <c r="B24" s="1048" t="s">
        <v>920</v>
      </c>
      <c r="C24" s="949"/>
      <c r="D24" s="949"/>
      <c r="E24" s="949"/>
      <c r="F24" s="949"/>
      <c r="G24" s="949"/>
      <c r="H24" s="949"/>
      <c r="I24" s="949"/>
      <c r="J24" s="950"/>
      <c r="K24" s="597"/>
    </row>
    <row r="25" spans="1:11" ht="15" customHeight="1">
      <c r="A25" s="579"/>
      <c r="B25" s="1049"/>
      <c r="C25" s="949"/>
      <c r="D25" s="949"/>
      <c r="E25" s="949"/>
      <c r="F25" s="949"/>
      <c r="G25" s="949"/>
      <c r="H25" s="949"/>
      <c r="I25" s="949"/>
      <c r="J25" s="950"/>
      <c r="K25" s="598"/>
    </row>
    <row r="26" spans="1:11" ht="22.5" customHeight="1">
      <c r="A26" s="593"/>
      <c r="B26" s="1050" t="s">
        <v>390</v>
      </c>
      <c r="C26" s="949"/>
      <c r="D26" s="949"/>
      <c r="E26" s="949"/>
      <c r="F26" s="949"/>
      <c r="G26" s="949"/>
      <c r="H26" s="949"/>
      <c r="I26" s="949"/>
      <c r="J26" s="950"/>
      <c r="K26" s="588"/>
    </row>
    <row r="27" spans="1:11" ht="31.5" customHeight="1">
      <c r="A27" s="579"/>
      <c r="B27" s="589">
        <v>1</v>
      </c>
      <c r="C27" s="1051" t="s">
        <v>391</v>
      </c>
      <c r="D27" s="949"/>
      <c r="E27" s="949"/>
      <c r="F27" s="949"/>
      <c r="G27" s="949"/>
      <c r="H27" s="950"/>
      <c r="I27" s="1052" t="str">
        <f>'1-ABA-DE-CARREGAMENTO'!I33</f>
        <v>A NÃO TEM MAIS POSTOS-44</v>
      </c>
      <c r="J27" s="950"/>
      <c r="K27" s="599"/>
    </row>
    <row r="28" spans="1:11" ht="18" customHeight="1">
      <c r="A28" s="579"/>
      <c r="B28" s="600">
        <v>2</v>
      </c>
      <c r="C28" s="1092" t="s">
        <v>392</v>
      </c>
      <c r="D28" s="949"/>
      <c r="E28" s="949"/>
      <c r="F28" s="949"/>
      <c r="G28" s="949"/>
      <c r="H28" s="950"/>
      <c r="I28" s="1056"/>
      <c r="J28" s="950"/>
      <c r="K28" s="601"/>
    </row>
    <row r="29" spans="1:11" ht="35.25" customHeight="1">
      <c r="A29" s="579"/>
      <c r="B29" s="589">
        <v>3</v>
      </c>
      <c r="C29" s="1057" t="s">
        <v>862</v>
      </c>
      <c r="D29" s="929"/>
      <c r="E29" s="907">
        <v>220</v>
      </c>
      <c r="F29" s="604">
        <f>'1-ABA-DE-CARREGAMENTO'!I37</f>
        <v>1396.01</v>
      </c>
      <c r="G29" s="586" t="s">
        <v>394</v>
      </c>
      <c r="H29" s="864">
        <f>'1-ABA-DE-CARREGAMENTO'!I52</f>
        <v>220</v>
      </c>
      <c r="I29" s="1058">
        <f>F29/E29*H29</f>
        <v>1396.01</v>
      </c>
      <c r="J29" s="950"/>
      <c r="K29" s="606"/>
    </row>
    <row r="30" spans="1:11" ht="11.25" customHeight="1">
      <c r="A30" s="579"/>
      <c r="B30" s="589">
        <v>4</v>
      </c>
      <c r="C30" s="1051" t="s">
        <v>395</v>
      </c>
      <c r="D30" s="949"/>
      <c r="E30" s="949"/>
      <c r="F30" s="949"/>
      <c r="G30" s="949"/>
      <c r="H30" s="950"/>
      <c r="I30" s="1059"/>
      <c r="J30" s="950"/>
      <c r="K30" s="607"/>
    </row>
    <row r="31" spans="1:11" ht="11.25" customHeight="1">
      <c r="A31" s="579"/>
      <c r="B31" s="589">
        <v>5</v>
      </c>
      <c r="C31" s="1051" t="s">
        <v>396</v>
      </c>
      <c r="D31" s="949"/>
      <c r="E31" s="949"/>
      <c r="F31" s="949"/>
      <c r="G31" s="949"/>
      <c r="H31" s="950"/>
      <c r="I31" s="1061" t="str">
        <f>'1-ABA-DE-CARREGAMENTO'!I36</f>
        <v>01 de JANEIRO</v>
      </c>
      <c r="J31" s="950"/>
      <c r="K31" s="608"/>
    </row>
    <row r="32" spans="1:11" ht="12.75" customHeight="1">
      <c r="A32" s="579"/>
      <c r="B32" s="609">
        <v>6</v>
      </c>
      <c r="C32" s="1062" t="s">
        <v>921</v>
      </c>
      <c r="D32" s="949"/>
      <c r="E32" s="949"/>
      <c r="F32" s="949"/>
      <c r="G32" s="949"/>
      <c r="H32" s="950"/>
      <c r="I32" s="1063">
        <f>I29/H29</f>
        <v>6.3455000000000004</v>
      </c>
      <c r="J32" s="950"/>
      <c r="K32" s="610"/>
    </row>
    <row r="33" spans="1:11" ht="42.75" customHeight="1">
      <c r="A33" s="579"/>
      <c r="B33" s="609">
        <v>7</v>
      </c>
      <c r="C33" s="1062" t="s">
        <v>922</v>
      </c>
      <c r="D33" s="949"/>
      <c r="E33" s="949"/>
      <c r="F33" s="950"/>
      <c r="G33" s="1064"/>
      <c r="H33" s="950"/>
      <c r="I33" s="1076">
        <f>(SUM(J47:J50)/H29)</f>
        <v>7.5454999999999997</v>
      </c>
      <c r="J33" s="950"/>
      <c r="K33" s="610"/>
    </row>
    <row r="34" spans="1:11" ht="33" customHeight="1">
      <c r="A34" s="579"/>
      <c r="B34" s="609">
        <v>8</v>
      </c>
      <c r="C34" s="1062" t="s">
        <v>923</v>
      </c>
      <c r="D34" s="949"/>
      <c r="E34" s="949"/>
      <c r="F34" s="950"/>
      <c r="G34" s="1064"/>
      <c r="H34" s="950"/>
      <c r="I34" s="1063">
        <f t="shared" ref="I34:I35" si="0">I32*1.5</f>
        <v>9.5182500000000001</v>
      </c>
      <c r="J34" s="950"/>
      <c r="K34" s="610"/>
    </row>
    <row r="35" spans="1:11" ht="33" customHeight="1">
      <c r="A35" s="579"/>
      <c r="B35" s="609">
        <v>9</v>
      </c>
      <c r="C35" s="1062" t="s">
        <v>924</v>
      </c>
      <c r="D35" s="949"/>
      <c r="E35" s="949"/>
      <c r="F35" s="950"/>
      <c r="G35" s="1064" t="s">
        <v>401</v>
      </c>
      <c r="H35" s="950"/>
      <c r="I35" s="1076">
        <f t="shared" si="0"/>
        <v>11.318249999999999</v>
      </c>
      <c r="J35" s="950"/>
      <c r="K35" s="611"/>
    </row>
    <row r="36" spans="1:11" ht="33" customHeight="1">
      <c r="A36" s="579"/>
      <c r="B36" s="609">
        <v>10</v>
      </c>
      <c r="C36" s="1062" t="s">
        <v>925</v>
      </c>
      <c r="D36" s="949"/>
      <c r="E36" s="949"/>
      <c r="F36" s="949"/>
      <c r="G36" s="949"/>
      <c r="H36" s="950"/>
      <c r="I36" s="1063">
        <f>I35*1.2</f>
        <v>13.581899999999999</v>
      </c>
      <c r="J36" s="950"/>
      <c r="K36" s="610"/>
    </row>
    <row r="37" spans="1:11" ht="33" customHeight="1">
      <c r="A37" s="579"/>
      <c r="B37" s="609">
        <v>11</v>
      </c>
      <c r="C37" s="1062" t="s">
        <v>926</v>
      </c>
      <c r="D37" s="949"/>
      <c r="E37" s="949"/>
      <c r="F37" s="949"/>
      <c r="G37" s="949"/>
      <c r="H37" s="950"/>
      <c r="I37" s="1076">
        <f>I35*2</f>
        <v>22.636499999999998</v>
      </c>
      <c r="J37" s="950"/>
      <c r="K37" s="610"/>
    </row>
    <row r="38" spans="1:11" ht="33" customHeight="1">
      <c r="A38" s="579"/>
      <c r="B38" s="609">
        <v>12</v>
      </c>
      <c r="C38" s="1062" t="s">
        <v>927</v>
      </c>
      <c r="D38" s="949"/>
      <c r="E38" s="949"/>
      <c r="F38" s="949"/>
      <c r="G38" s="949"/>
      <c r="H38" s="950"/>
      <c r="I38" s="1063">
        <f>I29*'1-ABA-DE-CARREGAMENTO'!D44</f>
        <v>0</v>
      </c>
      <c r="J38" s="950"/>
      <c r="K38" s="610"/>
    </row>
    <row r="39" spans="1:11" ht="14.25" customHeight="1">
      <c r="A39" s="579"/>
      <c r="B39" s="609">
        <v>13</v>
      </c>
      <c r="C39" s="1062" t="s">
        <v>405</v>
      </c>
      <c r="D39" s="949"/>
      <c r="E39" s="949"/>
      <c r="F39" s="949"/>
      <c r="G39" s="949"/>
      <c r="H39" s="950"/>
      <c r="I39" s="1063">
        <f>ROUND(I32/6,2)*1.3</f>
        <v>1.3780000000000001</v>
      </c>
      <c r="J39" s="950"/>
      <c r="K39" s="610"/>
    </row>
    <row r="40" spans="1:11" ht="11.25" customHeight="1">
      <c r="A40" s="579"/>
      <c r="B40" s="609">
        <v>14</v>
      </c>
      <c r="C40" s="1164" t="s">
        <v>406</v>
      </c>
      <c r="D40" s="949"/>
      <c r="E40" s="949"/>
      <c r="F40" s="949"/>
      <c r="G40" s="949"/>
      <c r="H40" s="950"/>
      <c r="I40" s="1182">
        <f>'1-ABA-DE-CARREGAMENTO'!I93</f>
        <v>1</v>
      </c>
      <c r="J40" s="950"/>
      <c r="K40" s="614"/>
    </row>
    <row r="41" spans="1:11" ht="11.25" customHeight="1">
      <c r="A41" s="579"/>
      <c r="B41" s="609">
        <v>15</v>
      </c>
      <c r="C41" s="1164" t="s">
        <v>687</v>
      </c>
      <c r="D41" s="949"/>
      <c r="E41" s="949"/>
      <c r="F41" s="949"/>
      <c r="G41" s="949"/>
      <c r="H41" s="950"/>
      <c r="I41" s="1165">
        <f>'1-ABA-DE-CARREGAMENTO'!E42</f>
        <v>1320</v>
      </c>
      <c r="J41" s="950"/>
      <c r="K41" s="616"/>
    </row>
    <row r="42" spans="1:11" ht="11.25" customHeight="1">
      <c r="A42" s="579"/>
      <c r="B42" s="1047"/>
      <c r="C42" s="949"/>
      <c r="D42" s="949"/>
      <c r="E42" s="949"/>
      <c r="F42" s="949"/>
      <c r="G42" s="949"/>
      <c r="H42" s="949"/>
      <c r="I42" s="949"/>
      <c r="J42" s="950"/>
      <c r="K42" s="362"/>
    </row>
    <row r="43" spans="1:11" ht="24" customHeight="1">
      <c r="A43" s="579"/>
      <c r="B43" s="1086" t="s">
        <v>408</v>
      </c>
      <c r="C43" s="949"/>
      <c r="D43" s="949"/>
      <c r="E43" s="949"/>
      <c r="F43" s="949"/>
      <c r="G43" s="949"/>
      <c r="H43" s="949"/>
      <c r="I43" s="949"/>
      <c r="J43" s="950"/>
      <c r="K43" s="617"/>
    </row>
    <row r="44" spans="1:11" ht="14.25" customHeight="1">
      <c r="A44" s="579"/>
      <c r="B44" s="1087"/>
      <c r="C44" s="949"/>
      <c r="D44" s="949"/>
      <c r="E44" s="949"/>
      <c r="F44" s="949"/>
      <c r="G44" s="949"/>
      <c r="H44" s="949"/>
      <c r="I44" s="949"/>
      <c r="J44" s="950"/>
      <c r="K44" s="618"/>
    </row>
    <row r="45" spans="1:11" ht="11.25" customHeight="1">
      <c r="A45" s="579"/>
      <c r="B45" s="1088" t="s">
        <v>409</v>
      </c>
      <c r="C45" s="949"/>
      <c r="D45" s="949"/>
      <c r="E45" s="949"/>
      <c r="F45" s="949"/>
      <c r="G45" s="949"/>
      <c r="H45" s="949"/>
      <c r="I45" s="949"/>
      <c r="J45" s="950"/>
      <c r="K45" s="620"/>
    </row>
    <row r="46" spans="1:11" ht="25.5" customHeight="1">
      <c r="A46" s="621"/>
      <c r="B46" s="622">
        <v>1</v>
      </c>
      <c r="C46" s="1089" t="s">
        <v>410</v>
      </c>
      <c r="D46" s="949"/>
      <c r="E46" s="949"/>
      <c r="F46" s="949"/>
      <c r="G46" s="949"/>
      <c r="H46" s="950"/>
      <c r="I46" s="623" t="s">
        <v>411</v>
      </c>
      <c r="J46" s="622" t="s">
        <v>412</v>
      </c>
      <c r="K46" s="592"/>
    </row>
    <row r="47" spans="1:11" ht="12.75" customHeight="1">
      <c r="A47" s="579"/>
      <c r="B47" s="589" t="s">
        <v>369</v>
      </c>
      <c r="C47" s="1051" t="s">
        <v>413</v>
      </c>
      <c r="D47" s="949"/>
      <c r="E47" s="949"/>
      <c r="F47" s="950"/>
      <c r="G47" s="624" t="s">
        <v>184</v>
      </c>
      <c r="H47" s="625">
        <f>'1-ABA-DE-CARREGAMENTO'!I52</f>
        <v>220</v>
      </c>
      <c r="I47" s="624"/>
      <c r="J47" s="627">
        <f>I29*I40</f>
        <v>1396.01</v>
      </c>
      <c r="K47" s="628"/>
    </row>
    <row r="48" spans="1:11" ht="11.25" customHeight="1">
      <c r="A48" s="579"/>
      <c r="B48" s="589" t="s">
        <v>371</v>
      </c>
      <c r="C48" s="1051" t="s">
        <v>688</v>
      </c>
      <c r="D48" s="949"/>
      <c r="E48" s="949"/>
      <c r="F48" s="1090" t="str">
        <f>'1-ABA-DE-CARREGAMENTO'!I38</f>
        <v>SEM ADICIONAL DE FUNÇÃO</v>
      </c>
      <c r="G48" s="949"/>
      <c r="H48" s="950"/>
      <c r="I48" s="867">
        <f>'1-ABA-DE-CARREGAMENTO'!I39</f>
        <v>0</v>
      </c>
      <c r="J48" s="627">
        <f>J47*I48</f>
        <v>0</v>
      </c>
      <c r="K48" s="628"/>
    </row>
    <row r="49" spans="1:11" ht="27.75" customHeight="1">
      <c r="A49" s="579"/>
      <c r="B49" s="589" t="s">
        <v>373</v>
      </c>
      <c r="C49" s="1051" t="s">
        <v>928</v>
      </c>
      <c r="D49" s="949"/>
      <c r="E49" s="949"/>
      <c r="F49" s="949"/>
      <c r="G49" s="949"/>
      <c r="H49" s="950"/>
      <c r="I49" s="756">
        <f>'1-ABA-DE-CARREGAMENTO'!I44</f>
        <v>0</v>
      </c>
      <c r="J49" s="627">
        <f>ROUND(J47*I49,2)</f>
        <v>0</v>
      </c>
      <c r="K49" s="628"/>
    </row>
    <row r="50" spans="1:11" ht="26.25" customHeight="1">
      <c r="A50" s="579"/>
      <c r="B50" s="589" t="s">
        <v>375</v>
      </c>
      <c r="C50" s="1051" t="s">
        <v>929</v>
      </c>
      <c r="D50" s="949"/>
      <c r="E50" s="949"/>
      <c r="F50" s="949"/>
      <c r="G50" s="1090" t="str">
        <f>'1-ABA-DE-CARREGAMENTO'!I40</f>
        <v>INSALUB S/NORMATIVO</v>
      </c>
      <c r="H50" s="950"/>
      <c r="I50" s="869">
        <f>'1-ABA-DE-CARREGAMENTO'!I41</f>
        <v>0.2</v>
      </c>
      <c r="J50" s="627">
        <f>ROUND(I50*I41,2)</f>
        <v>264</v>
      </c>
      <c r="K50" s="628"/>
    </row>
    <row r="51" spans="1:11" ht="39.75" customHeight="1">
      <c r="A51" s="579"/>
      <c r="B51" s="589" t="s">
        <v>417</v>
      </c>
      <c r="C51" s="1091" t="s">
        <v>930</v>
      </c>
      <c r="D51" s="949"/>
      <c r="E51" s="950"/>
      <c r="F51" s="632" t="s">
        <v>419</v>
      </c>
      <c r="G51" s="870">
        <v>0</v>
      </c>
      <c r="H51" s="632" t="s">
        <v>420</v>
      </c>
      <c r="I51" s="634">
        <f>I36</f>
        <v>13.581899999999999</v>
      </c>
      <c r="J51" s="635">
        <f>G51*I51</f>
        <v>0</v>
      </c>
      <c r="K51" s="628"/>
    </row>
    <row r="52" spans="1:11" ht="39.75" hidden="1" customHeight="1" outlineLevel="1">
      <c r="A52" s="579"/>
      <c r="B52" s="589" t="s">
        <v>421</v>
      </c>
      <c r="C52" s="1092" t="s">
        <v>931</v>
      </c>
      <c r="D52" s="949"/>
      <c r="E52" s="949"/>
      <c r="F52" s="949"/>
      <c r="G52" s="949"/>
      <c r="H52" s="949"/>
      <c r="I52" s="950"/>
      <c r="J52" s="627">
        <f>ROUND(I38*(((12*15)+15)-((44/6)*26))*I35,2)*0+ROUND(2*4.33*I35,2)*0</f>
        <v>0</v>
      </c>
      <c r="K52" s="628"/>
    </row>
    <row r="53" spans="1:11" ht="30.75" hidden="1" customHeight="1" outlineLevel="1">
      <c r="A53" s="579"/>
      <c r="B53" s="589" t="s">
        <v>423</v>
      </c>
      <c r="C53" s="1092" t="s">
        <v>932</v>
      </c>
      <c r="D53" s="949"/>
      <c r="E53" s="949"/>
      <c r="F53" s="949"/>
      <c r="G53" s="949"/>
      <c r="H53" s="949"/>
      <c r="I53" s="950"/>
      <c r="J53" s="627">
        <f>ROUND(I39*I40*15,2)*0</f>
        <v>0</v>
      </c>
      <c r="K53" s="628"/>
    </row>
    <row r="54" spans="1:11" ht="26.25" customHeight="1" collapsed="1">
      <c r="A54" s="579"/>
      <c r="B54" s="589" t="s">
        <v>425</v>
      </c>
      <c r="C54" s="1093" t="s">
        <v>933</v>
      </c>
      <c r="D54" s="1037"/>
      <c r="E54" s="1037"/>
      <c r="F54" s="636" t="s">
        <v>427</v>
      </c>
      <c r="G54" s="871">
        <v>0</v>
      </c>
      <c r="H54" s="636" t="s">
        <v>428</v>
      </c>
      <c r="I54" s="638">
        <f>I35</f>
        <v>11.318249999999999</v>
      </c>
      <c r="J54" s="635">
        <f t="shared" ref="J54:J55" si="1">G54*I54</f>
        <v>0</v>
      </c>
      <c r="K54" s="628"/>
    </row>
    <row r="55" spans="1:11" ht="26.25" customHeight="1">
      <c r="A55" s="579"/>
      <c r="B55" s="589" t="s">
        <v>429</v>
      </c>
      <c r="C55" s="1094" t="s">
        <v>934</v>
      </c>
      <c r="D55" s="947"/>
      <c r="E55" s="947"/>
      <c r="F55" s="636" t="s">
        <v>431</v>
      </c>
      <c r="G55" s="871">
        <v>0</v>
      </c>
      <c r="H55" s="636" t="s">
        <v>432</v>
      </c>
      <c r="I55" s="638">
        <f>I37</f>
        <v>22.636499999999998</v>
      </c>
      <c r="J55" s="639">
        <f t="shared" si="1"/>
        <v>0</v>
      </c>
      <c r="K55" s="628"/>
    </row>
    <row r="56" spans="1:11" ht="39" customHeight="1">
      <c r="A56" s="579"/>
      <c r="B56" s="589" t="s">
        <v>433</v>
      </c>
      <c r="C56" s="1051" t="s">
        <v>935</v>
      </c>
      <c r="D56" s="949"/>
      <c r="E56" s="949"/>
      <c r="F56" s="949"/>
      <c r="G56" s="949"/>
      <c r="H56" s="949"/>
      <c r="I56" s="950"/>
      <c r="J56" s="627">
        <f>ROUND(((J54+J55)/25)*5,2)</f>
        <v>0</v>
      </c>
      <c r="K56" s="628"/>
    </row>
    <row r="57" spans="1:11" ht="11.25" customHeight="1">
      <c r="A57" s="579"/>
      <c r="B57" s="589" t="s">
        <v>436</v>
      </c>
      <c r="C57" s="1051" t="s">
        <v>437</v>
      </c>
      <c r="D57" s="949"/>
      <c r="E57" s="949"/>
      <c r="F57" s="949"/>
      <c r="G57" s="949"/>
      <c r="H57" s="949"/>
      <c r="I57" s="950"/>
      <c r="J57" s="643" t="s">
        <v>382</v>
      </c>
      <c r="K57" s="644"/>
    </row>
    <row r="58" spans="1:11" ht="35.25" customHeight="1">
      <c r="A58" s="579"/>
      <c r="B58" s="1050" t="s">
        <v>438</v>
      </c>
      <c r="C58" s="949"/>
      <c r="D58" s="949"/>
      <c r="E58" s="949"/>
      <c r="F58" s="949"/>
      <c r="G58" s="949"/>
      <c r="H58" s="949"/>
      <c r="I58" s="950"/>
      <c r="J58" s="645">
        <f>SUM(J47:J57)</f>
        <v>1660.01</v>
      </c>
      <c r="K58" s="646"/>
    </row>
    <row r="59" spans="1:11" ht="14.25" customHeight="1">
      <c r="A59" s="579"/>
      <c r="B59" s="647"/>
      <c r="C59" s="1095"/>
      <c r="D59" s="949"/>
      <c r="E59" s="949"/>
      <c r="F59" s="949"/>
      <c r="G59" s="949"/>
      <c r="H59" s="949"/>
      <c r="I59" s="950"/>
      <c r="J59" s="648"/>
      <c r="K59" s="646"/>
    </row>
    <row r="60" spans="1:11" ht="29.25" customHeight="1">
      <c r="A60" s="579"/>
      <c r="B60" s="589" t="s">
        <v>425</v>
      </c>
      <c r="C60" s="1051" t="s">
        <v>936</v>
      </c>
      <c r="D60" s="949"/>
      <c r="E60" s="949"/>
      <c r="F60" s="949"/>
      <c r="G60" s="949"/>
      <c r="H60" s="949"/>
      <c r="I60" s="950"/>
      <c r="J60" s="627">
        <f>ROUND(I34*15*I40*0.5,2)*0</f>
        <v>0</v>
      </c>
      <c r="K60" s="628"/>
    </row>
    <row r="61" spans="1:11" ht="39" customHeight="1">
      <c r="A61" s="579"/>
      <c r="B61" s="1050" t="s">
        <v>937</v>
      </c>
      <c r="C61" s="949"/>
      <c r="D61" s="949"/>
      <c r="E61" s="949"/>
      <c r="F61" s="949"/>
      <c r="G61" s="949"/>
      <c r="H61" s="949"/>
      <c r="I61" s="950"/>
      <c r="J61" s="645">
        <f>J60</f>
        <v>0</v>
      </c>
      <c r="K61" s="646"/>
    </row>
    <row r="62" spans="1:11" ht="11.25" customHeight="1">
      <c r="A62" s="579"/>
      <c r="B62" s="1045"/>
      <c r="C62" s="949"/>
      <c r="D62" s="949"/>
      <c r="E62" s="949"/>
      <c r="F62" s="949"/>
      <c r="G62" s="949"/>
      <c r="H62" s="949"/>
      <c r="I62" s="949"/>
      <c r="J62" s="950"/>
      <c r="K62" s="593"/>
    </row>
    <row r="63" spans="1:11" ht="47.25" customHeight="1">
      <c r="A63" s="579"/>
      <c r="B63" s="1096" t="s">
        <v>938</v>
      </c>
      <c r="C63" s="949"/>
      <c r="D63" s="949"/>
      <c r="E63" s="949"/>
      <c r="F63" s="949"/>
      <c r="G63" s="949"/>
      <c r="H63" s="949"/>
      <c r="I63" s="950"/>
      <c r="J63" s="649">
        <f>J58+J61</f>
        <v>1660.01</v>
      </c>
      <c r="K63" s="650"/>
    </row>
    <row r="64" spans="1:11" ht="11.25" customHeight="1">
      <c r="A64" s="579"/>
      <c r="B64" s="1095"/>
      <c r="C64" s="949"/>
      <c r="D64" s="949"/>
      <c r="E64" s="949"/>
      <c r="F64" s="949"/>
      <c r="G64" s="949"/>
      <c r="H64" s="949"/>
      <c r="I64" s="949"/>
      <c r="J64" s="950"/>
      <c r="K64" s="651"/>
    </row>
    <row r="65" spans="1:11" ht="28.5" customHeight="1">
      <c r="A65" s="579"/>
      <c r="B65" s="1097" t="s">
        <v>442</v>
      </c>
      <c r="C65" s="949"/>
      <c r="D65" s="949"/>
      <c r="E65" s="949"/>
      <c r="F65" s="949"/>
      <c r="G65" s="949"/>
      <c r="H65" s="949"/>
      <c r="I65" s="949"/>
      <c r="J65" s="950"/>
      <c r="K65" s="652"/>
    </row>
    <row r="66" spans="1:11" ht="11.25" customHeight="1">
      <c r="A66" s="579"/>
      <c r="B66" s="1095"/>
      <c r="C66" s="949"/>
      <c r="D66" s="949"/>
      <c r="E66" s="949"/>
      <c r="F66" s="949"/>
      <c r="G66" s="949"/>
      <c r="H66" s="949"/>
      <c r="I66" s="949"/>
      <c r="J66" s="950"/>
      <c r="K66" s="651"/>
    </row>
    <row r="67" spans="1:11" ht="21.75" customHeight="1">
      <c r="A67" s="579"/>
      <c r="B67" s="1098" t="s">
        <v>443</v>
      </c>
      <c r="C67" s="949"/>
      <c r="D67" s="949"/>
      <c r="E67" s="949"/>
      <c r="F67" s="949"/>
      <c r="G67" s="949"/>
      <c r="H67" s="949"/>
      <c r="I67" s="949"/>
      <c r="J67" s="950"/>
      <c r="K67" s="653"/>
    </row>
    <row r="68" spans="1:11" ht="20.25" customHeight="1">
      <c r="A68" s="579"/>
      <c r="B68" s="1099" t="s">
        <v>939</v>
      </c>
      <c r="C68" s="949"/>
      <c r="D68" s="949"/>
      <c r="E68" s="949"/>
      <c r="F68" s="949"/>
      <c r="G68" s="949"/>
      <c r="H68" s="949"/>
      <c r="I68" s="949"/>
      <c r="J68" s="950"/>
      <c r="K68" s="654"/>
    </row>
    <row r="69" spans="1:11" ht="15" customHeight="1">
      <c r="A69" s="579"/>
      <c r="B69" s="655" t="s">
        <v>445</v>
      </c>
      <c r="C69" s="1100" t="s">
        <v>940</v>
      </c>
      <c r="D69" s="949"/>
      <c r="E69" s="949"/>
      <c r="F69" s="949"/>
      <c r="G69" s="949"/>
      <c r="H69" s="949"/>
      <c r="I69" s="950"/>
      <c r="J69" s="656" t="s">
        <v>447</v>
      </c>
      <c r="K69" s="657"/>
    </row>
    <row r="70" spans="1:11" ht="31.5" customHeight="1">
      <c r="A70" s="579"/>
      <c r="B70" s="655" t="s">
        <v>369</v>
      </c>
      <c r="C70" s="1092" t="s">
        <v>941</v>
      </c>
      <c r="D70" s="949"/>
      <c r="E70" s="949"/>
      <c r="F70" s="949"/>
      <c r="G70" s="949"/>
      <c r="H70" s="950"/>
      <c r="I70" s="658">
        <v>8.3299999999999999E-2</v>
      </c>
      <c r="J70" s="659">
        <f>ROUND(J58*I70,2)</f>
        <v>138.28</v>
      </c>
      <c r="K70" s="660"/>
    </row>
    <row r="71" spans="1:11" ht="90" customHeight="1">
      <c r="A71" s="579"/>
      <c r="B71" s="655" t="s">
        <v>371</v>
      </c>
      <c r="C71" s="1101" t="s">
        <v>942</v>
      </c>
      <c r="D71" s="949"/>
      <c r="E71" s="949"/>
      <c r="F71" s="949"/>
      <c r="G71" s="949"/>
      <c r="H71" s="950"/>
      <c r="I71" s="661">
        <v>3.0249999999999999E-2</v>
      </c>
      <c r="J71" s="659">
        <f>ROUND(J58*I71,2)</f>
        <v>50.22</v>
      </c>
      <c r="K71" s="660"/>
    </row>
    <row r="72" spans="1:11" ht="11.25" customHeight="1">
      <c r="A72" s="579"/>
      <c r="B72" s="1102" t="s">
        <v>450</v>
      </c>
      <c r="C72" s="949"/>
      <c r="D72" s="949"/>
      <c r="E72" s="949"/>
      <c r="F72" s="949"/>
      <c r="G72" s="949"/>
      <c r="H72" s="949"/>
      <c r="I72" s="950"/>
      <c r="J72" s="662">
        <f>SUM(J70+J71)</f>
        <v>188.5</v>
      </c>
      <c r="K72" s="663"/>
    </row>
    <row r="73" spans="1:11" ht="14.25" customHeight="1">
      <c r="A73" s="579"/>
      <c r="B73" s="1103"/>
      <c r="C73" s="949"/>
      <c r="D73" s="949"/>
      <c r="E73" s="949"/>
      <c r="F73" s="949"/>
      <c r="G73" s="949"/>
      <c r="H73" s="949"/>
      <c r="I73" s="949"/>
      <c r="J73" s="950"/>
      <c r="K73" s="664"/>
    </row>
    <row r="74" spans="1:11" ht="11.25" customHeight="1">
      <c r="A74" s="579"/>
      <c r="B74" s="1086" t="s">
        <v>943</v>
      </c>
      <c r="C74" s="949"/>
      <c r="D74" s="949"/>
      <c r="E74" s="949"/>
      <c r="F74" s="949"/>
      <c r="G74" s="949"/>
      <c r="H74" s="949"/>
      <c r="I74" s="949"/>
      <c r="J74" s="950"/>
      <c r="K74" s="617"/>
    </row>
    <row r="75" spans="1:11" ht="14.25" customHeight="1">
      <c r="A75" s="579"/>
      <c r="B75" s="1104"/>
      <c r="C75" s="949"/>
      <c r="D75" s="949"/>
      <c r="E75" s="949"/>
      <c r="F75" s="949"/>
      <c r="G75" s="949"/>
      <c r="H75" s="949"/>
      <c r="I75" s="949"/>
      <c r="J75" s="950"/>
      <c r="K75" s="617"/>
    </row>
    <row r="76" spans="1:11" ht="38.25" customHeight="1">
      <c r="A76" s="579"/>
      <c r="B76" s="1105" t="s">
        <v>944</v>
      </c>
      <c r="C76" s="949"/>
      <c r="D76" s="949"/>
      <c r="E76" s="949"/>
      <c r="F76" s="949"/>
      <c r="G76" s="949"/>
      <c r="H76" s="949"/>
      <c r="I76" s="949"/>
      <c r="J76" s="950"/>
      <c r="K76" s="665"/>
    </row>
    <row r="77" spans="1:11" ht="21.75" customHeight="1">
      <c r="A77" s="579"/>
      <c r="B77" s="666" t="s">
        <v>453</v>
      </c>
      <c r="C77" s="1110" t="s">
        <v>454</v>
      </c>
      <c r="D77" s="949"/>
      <c r="E77" s="949"/>
      <c r="F77" s="949"/>
      <c r="G77" s="949"/>
      <c r="H77" s="950"/>
      <c r="I77" s="667" t="s">
        <v>411</v>
      </c>
      <c r="J77" s="668" t="s">
        <v>455</v>
      </c>
      <c r="K77" s="657"/>
    </row>
    <row r="78" spans="1:11" ht="11.25" customHeight="1">
      <c r="A78" s="579"/>
      <c r="B78" s="669" t="s">
        <v>369</v>
      </c>
      <c r="C78" s="1051" t="s">
        <v>456</v>
      </c>
      <c r="D78" s="949"/>
      <c r="E78" s="949"/>
      <c r="F78" s="949"/>
      <c r="G78" s="949"/>
      <c r="H78" s="950"/>
      <c r="I78" s="670">
        <v>0.2</v>
      </c>
      <c r="J78" s="671">
        <f>ROUND((J58+J72)*I78,2)</f>
        <v>369.7</v>
      </c>
      <c r="K78" s="663"/>
    </row>
    <row r="79" spans="1:11" ht="11.25" customHeight="1">
      <c r="A79" s="579"/>
      <c r="B79" s="669" t="s">
        <v>371</v>
      </c>
      <c r="C79" s="1051" t="s">
        <v>457</v>
      </c>
      <c r="D79" s="949"/>
      <c r="E79" s="949"/>
      <c r="F79" s="949"/>
      <c r="G79" s="949"/>
      <c r="H79" s="950"/>
      <c r="I79" s="670">
        <v>2.5000000000000001E-2</v>
      </c>
      <c r="J79" s="671">
        <f>ROUND((J58+J72)*I79,2)</f>
        <v>46.21</v>
      </c>
      <c r="K79" s="663"/>
    </row>
    <row r="80" spans="1:11" ht="52.5" customHeight="1">
      <c r="A80" s="579"/>
      <c r="B80" s="669" t="s">
        <v>373</v>
      </c>
      <c r="C80" s="1051" t="s">
        <v>945</v>
      </c>
      <c r="D80" s="950"/>
      <c r="E80" s="912" t="s">
        <v>459</v>
      </c>
      <c r="F80" s="913">
        <f>'1-ABA-DE-CARREGAMENTO'!I57</f>
        <v>0.03</v>
      </c>
      <c r="G80" s="912" t="s">
        <v>460</v>
      </c>
      <c r="H80" s="914">
        <f>'1-ABA-DE-CARREGAMENTO'!I58</f>
        <v>1</v>
      </c>
      <c r="I80" s="674">
        <f>ROUND((F80*H80),6)</f>
        <v>0.03</v>
      </c>
      <c r="J80" s="671">
        <f>ROUND((J58+J72)*I80,2)</f>
        <v>55.46</v>
      </c>
      <c r="K80" s="663"/>
    </row>
    <row r="81" spans="1:11" ht="16.5" customHeight="1">
      <c r="A81" s="579"/>
      <c r="B81" s="669" t="s">
        <v>375</v>
      </c>
      <c r="C81" s="1051" t="s">
        <v>461</v>
      </c>
      <c r="D81" s="949"/>
      <c r="E81" s="949"/>
      <c r="F81" s="949"/>
      <c r="G81" s="949"/>
      <c r="H81" s="950"/>
      <c r="I81" s="670">
        <v>1.4999999999999999E-2</v>
      </c>
      <c r="J81" s="671">
        <f>ROUND((J58+J72)*I81,2)</f>
        <v>27.73</v>
      </c>
      <c r="K81" s="663"/>
    </row>
    <row r="82" spans="1:11" ht="16.5" customHeight="1">
      <c r="A82" s="579"/>
      <c r="B82" s="669" t="s">
        <v>417</v>
      </c>
      <c r="C82" s="1051" t="s">
        <v>462</v>
      </c>
      <c r="D82" s="949"/>
      <c r="E82" s="949"/>
      <c r="F82" s="949"/>
      <c r="G82" s="949"/>
      <c r="H82" s="950"/>
      <c r="I82" s="670">
        <v>0.01</v>
      </c>
      <c r="J82" s="671">
        <f>ROUND((J58+J72)*I82,2)</f>
        <v>18.489999999999998</v>
      </c>
      <c r="K82" s="663"/>
    </row>
    <row r="83" spans="1:11" ht="16.5" customHeight="1">
      <c r="A83" s="579"/>
      <c r="B83" s="669" t="s">
        <v>421</v>
      </c>
      <c r="C83" s="1051" t="s">
        <v>463</v>
      </c>
      <c r="D83" s="949"/>
      <c r="E83" s="949"/>
      <c r="F83" s="949"/>
      <c r="G83" s="949"/>
      <c r="H83" s="950"/>
      <c r="I83" s="670">
        <v>6.0000000000000001E-3</v>
      </c>
      <c r="J83" s="671">
        <f>ROUND((J58+J72)*I83,2)</f>
        <v>11.09</v>
      </c>
      <c r="K83" s="663"/>
    </row>
    <row r="84" spans="1:11" ht="16.5" customHeight="1">
      <c r="A84" s="579"/>
      <c r="B84" s="669" t="s">
        <v>423</v>
      </c>
      <c r="C84" s="1051" t="s">
        <v>464</v>
      </c>
      <c r="D84" s="949"/>
      <c r="E84" s="949"/>
      <c r="F84" s="949"/>
      <c r="G84" s="949"/>
      <c r="H84" s="950"/>
      <c r="I84" s="670">
        <v>2E-3</v>
      </c>
      <c r="J84" s="671">
        <f>ROUND((J58+J72)*I84,2)</f>
        <v>3.7</v>
      </c>
      <c r="K84" s="663"/>
    </row>
    <row r="85" spans="1:11" ht="28.5" customHeight="1">
      <c r="A85" s="579"/>
      <c r="B85" s="669" t="s">
        <v>425</v>
      </c>
      <c r="C85" s="1051" t="s">
        <v>465</v>
      </c>
      <c r="D85" s="949"/>
      <c r="E85" s="949"/>
      <c r="F85" s="949"/>
      <c r="G85" s="949"/>
      <c r="H85" s="950"/>
      <c r="I85" s="670">
        <v>0.08</v>
      </c>
      <c r="J85" s="671">
        <f>ROUND((J58+J72)*I85,2)</f>
        <v>147.88</v>
      </c>
      <c r="K85" s="663"/>
    </row>
    <row r="86" spans="1:11" ht="12" customHeight="1">
      <c r="A86" s="579"/>
      <c r="B86" s="1108" t="s">
        <v>450</v>
      </c>
      <c r="C86" s="949"/>
      <c r="D86" s="949"/>
      <c r="E86" s="949"/>
      <c r="F86" s="949"/>
      <c r="G86" s="949"/>
      <c r="H86" s="950"/>
      <c r="I86" s="675">
        <f t="shared" ref="I86:J86" si="2">SUM(I78:I85)</f>
        <v>0.36800000000000005</v>
      </c>
      <c r="J86" s="662">
        <f t="shared" si="2"/>
        <v>680.26</v>
      </c>
      <c r="K86" s="663"/>
    </row>
    <row r="87" spans="1:11" ht="12" customHeight="1">
      <c r="A87" s="579"/>
      <c r="B87" s="676"/>
      <c r="C87" s="677"/>
      <c r="D87" s="677"/>
      <c r="E87" s="677"/>
      <c r="F87" s="677"/>
      <c r="G87" s="677"/>
      <c r="H87" s="677"/>
      <c r="I87" s="678"/>
      <c r="J87" s="679"/>
      <c r="K87" s="663"/>
    </row>
    <row r="88" spans="1:11" ht="37.5" customHeight="1">
      <c r="A88" s="579"/>
      <c r="B88" s="1086" t="s">
        <v>466</v>
      </c>
      <c r="C88" s="949"/>
      <c r="D88" s="949"/>
      <c r="E88" s="949"/>
      <c r="F88" s="949"/>
      <c r="G88" s="949"/>
      <c r="H88" s="949"/>
      <c r="I88" s="949"/>
      <c r="J88" s="950"/>
      <c r="K88" s="617"/>
    </row>
    <row r="89" spans="1:11" ht="18.75" customHeight="1">
      <c r="A89" s="579"/>
      <c r="B89" s="1047"/>
      <c r="C89" s="949"/>
      <c r="D89" s="949"/>
      <c r="E89" s="949"/>
      <c r="F89" s="949"/>
      <c r="G89" s="949"/>
      <c r="H89" s="949"/>
      <c r="I89" s="949"/>
      <c r="J89" s="950"/>
      <c r="K89" s="362"/>
    </row>
    <row r="90" spans="1:11" ht="15" customHeight="1">
      <c r="A90" s="579"/>
      <c r="B90" s="1114" t="s">
        <v>467</v>
      </c>
      <c r="C90" s="949"/>
      <c r="D90" s="949"/>
      <c r="E90" s="949"/>
      <c r="F90" s="949"/>
      <c r="G90" s="949"/>
      <c r="H90" s="949"/>
      <c r="I90" s="949"/>
      <c r="J90" s="950"/>
      <c r="K90" s="654"/>
    </row>
    <row r="91" spans="1:11" ht="15" customHeight="1">
      <c r="A91" s="579"/>
      <c r="B91" s="680" t="s">
        <v>468</v>
      </c>
      <c r="C91" s="1089" t="s">
        <v>469</v>
      </c>
      <c r="D91" s="949"/>
      <c r="E91" s="949"/>
      <c r="F91" s="949"/>
      <c r="G91" s="949"/>
      <c r="H91" s="949"/>
      <c r="I91" s="950"/>
      <c r="J91" s="681" t="s">
        <v>447</v>
      </c>
      <c r="K91" s="592"/>
    </row>
    <row r="92" spans="1:11" ht="15" customHeight="1">
      <c r="A92" s="579"/>
      <c r="B92" s="682" t="s">
        <v>369</v>
      </c>
      <c r="C92" s="1051" t="s">
        <v>946</v>
      </c>
      <c r="D92" s="949"/>
      <c r="E92" s="949"/>
      <c r="F92" s="949"/>
      <c r="G92" s="949"/>
      <c r="H92" s="950"/>
      <c r="I92" s="683">
        <f>J47</f>
        <v>1396.01</v>
      </c>
      <c r="J92" s="684">
        <f>IF(ROUND((I93*I95*I94)-(J47*I96),2)&lt;0,0,ROUND((I93*I95*I94)-(J47*I96),2))</f>
        <v>0</v>
      </c>
      <c r="K92" s="663"/>
    </row>
    <row r="93" spans="1:11" ht="28.5" customHeight="1">
      <c r="A93" s="579"/>
      <c r="B93" s="682" t="s">
        <v>371</v>
      </c>
      <c r="C93" s="1051" t="s">
        <v>947</v>
      </c>
      <c r="D93" s="949"/>
      <c r="E93" s="949"/>
      <c r="F93" s="949"/>
      <c r="G93" s="949"/>
      <c r="H93" s="949"/>
      <c r="I93" s="685">
        <f>'1-ABA-DE-CARREGAMENTO'!I72</f>
        <v>0</v>
      </c>
      <c r="J93" s="686" t="s">
        <v>382</v>
      </c>
      <c r="K93" s="644"/>
    </row>
    <row r="94" spans="1:11" ht="19.5" customHeight="1">
      <c r="A94" s="579"/>
      <c r="B94" s="682" t="s">
        <v>373</v>
      </c>
      <c r="C94" s="1051" t="s">
        <v>948</v>
      </c>
      <c r="D94" s="949"/>
      <c r="E94" s="949"/>
      <c r="F94" s="949"/>
      <c r="G94" s="949"/>
      <c r="H94" s="950"/>
      <c r="I94" s="687">
        <f>'1-ABA-DE-CARREGAMENTO'!I73</f>
        <v>2</v>
      </c>
      <c r="J94" s="686" t="s">
        <v>382</v>
      </c>
      <c r="K94" s="644"/>
    </row>
    <row r="95" spans="1:11" ht="19.5" customHeight="1">
      <c r="A95" s="579"/>
      <c r="B95" s="682" t="s">
        <v>375</v>
      </c>
      <c r="C95" s="1062" t="s">
        <v>473</v>
      </c>
      <c r="D95" s="949"/>
      <c r="E95" s="949"/>
      <c r="F95" s="949"/>
      <c r="G95" s="949"/>
      <c r="H95" s="950"/>
      <c r="I95" s="687">
        <f>'1-ABA-DE-CARREGAMENTO'!I74</f>
        <v>22</v>
      </c>
      <c r="J95" s="686" t="s">
        <v>382</v>
      </c>
      <c r="K95" s="644"/>
    </row>
    <row r="96" spans="1:11" ht="24" customHeight="1">
      <c r="A96" s="579"/>
      <c r="B96" s="682" t="s">
        <v>417</v>
      </c>
      <c r="C96" s="1062" t="s">
        <v>949</v>
      </c>
      <c r="D96" s="949"/>
      <c r="E96" s="949"/>
      <c r="F96" s="949"/>
      <c r="G96" s="949"/>
      <c r="H96" s="950"/>
      <c r="I96" s="688">
        <f>'1-ABA-DE-CARREGAMENTO'!I75</f>
        <v>0.06</v>
      </c>
      <c r="J96" s="689" t="s">
        <v>382</v>
      </c>
      <c r="K96" s="644"/>
    </row>
    <row r="97" spans="1:11" ht="15" customHeight="1">
      <c r="A97" s="579"/>
      <c r="B97" s="682" t="s">
        <v>421</v>
      </c>
      <c r="C97" s="1051" t="s">
        <v>950</v>
      </c>
      <c r="D97" s="949"/>
      <c r="E97" s="949"/>
      <c r="F97" s="949"/>
      <c r="G97" s="949"/>
      <c r="H97" s="949"/>
      <c r="I97" s="949"/>
      <c r="J97" s="684">
        <f>ROUND(I98*I99,2)-ROUND((I98*I99)*I100,2)</f>
        <v>0</v>
      </c>
      <c r="K97" s="663"/>
    </row>
    <row r="98" spans="1:11" ht="15" customHeight="1">
      <c r="A98" s="579"/>
      <c r="B98" s="682" t="s">
        <v>423</v>
      </c>
      <c r="C98" s="1051" t="s">
        <v>951</v>
      </c>
      <c r="D98" s="949"/>
      <c r="E98" s="949"/>
      <c r="F98" s="949"/>
      <c r="G98" s="949"/>
      <c r="H98" s="950"/>
      <c r="I98" s="685">
        <f>'1-ABA-DE-CARREGAMENTO'!I64</f>
        <v>0</v>
      </c>
      <c r="J98" s="691"/>
      <c r="K98" s="644"/>
    </row>
    <row r="99" spans="1:11" ht="15" customHeight="1">
      <c r="A99" s="579"/>
      <c r="B99" s="682" t="s">
        <v>425</v>
      </c>
      <c r="C99" s="1051" t="s">
        <v>952</v>
      </c>
      <c r="D99" s="949"/>
      <c r="E99" s="949"/>
      <c r="F99" s="949"/>
      <c r="G99" s="949"/>
      <c r="H99" s="949"/>
      <c r="I99" s="687">
        <f>'1-ABA-DE-CARREGAMENTO'!I62</f>
        <v>22</v>
      </c>
      <c r="J99" s="691"/>
      <c r="K99" s="644"/>
    </row>
    <row r="100" spans="1:11" ht="30" customHeight="1">
      <c r="A100" s="579"/>
      <c r="B100" s="682" t="s">
        <v>429</v>
      </c>
      <c r="C100" s="1107" t="s">
        <v>953</v>
      </c>
      <c r="D100" s="949"/>
      <c r="E100" s="949"/>
      <c r="F100" s="949"/>
      <c r="G100" s="949"/>
      <c r="H100" s="950"/>
      <c r="I100" s="688">
        <f>'1-ABA-DE-CARREGAMENTO'!I61</f>
        <v>0.19</v>
      </c>
      <c r="J100" s="693"/>
      <c r="K100" s="644"/>
    </row>
    <row r="101" spans="1:11" ht="15" customHeight="1" outlineLevel="1">
      <c r="A101" s="579"/>
      <c r="B101" s="682" t="s">
        <v>433</v>
      </c>
      <c r="C101" s="1051" t="s">
        <v>479</v>
      </c>
      <c r="D101" s="949"/>
      <c r="E101" s="949"/>
      <c r="F101" s="949"/>
      <c r="G101" s="949"/>
      <c r="H101" s="949"/>
      <c r="I101" s="949"/>
      <c r="J101" s="671">
        <f>'1-ABA-DE-CARREGAMENTO'!I79/12</f>
        <v>0</v>
      </c>
      <c r="K101" s="663"/>
    </row>
    <row r="102" spans="1:11" ht="33.75" customHeight="1" outlineLevel="1">
      <c r="A102" s="579"/>
      <c r="B102" s="682" t="s">
        <v>436</v>
      </c>
      <c r="C102" s="1051" t="s">
        <v>954</v>
      </c>
      <c r="D102" s="949"/>
      <c r="E102" s="949"/>
      <c r="F102" s="949"/>
      <c r="G102" s="949"/>
      <c r="H102" s="949"/>
      <c r="I102" s="949"/>
      <c r="J102" s="671">
        <v>0</v>
      </c>
      <c r="K102" s="663"/>
    </row>
    <row r="103" spans="1:11" ht="33.75" customHeight="1" outlineLevel="1">
      <c r="A103" s="579"/>
      <c r="B103" s="682" t="s">
        <v>481</v>
      </c>
      <c r="C103" s="1051" t="s">
        <v>955</v>
      </c>
      <c r="D103" s="949"/>
      <c r="E103" s="949"/>
      <c r="F103" s="949"/>
      <c r="G103" s="949"/>
      <c r="H103" s="949"/>
      <c r="I103" s="950"/>
      <c r="J103" s="671">
        <v>0</v>
      </c>
      <c r="K103" s="663"/>
    </row>
    <row r="104" spans="1:11" ht="16.5" customHeight="1" outlineLevel="1">
      <c r="A104" s="579"/>
      <c r="B104" s="682" t="s">
        <v>483</v>
      </c>
      <c r="C104" s="1051" t="s">
        <v>718</v>
      </c>
      <c r="D104" s="949"/>
      <c r="E104" s="949"/>
      <c r="F104" s="949"/>
      <c r="G104" s="949"/>
      <c r="H104" s="949"/>
      <c r="I104" s="950"/>
      <c r="J104" s="671">
        <f>'1-ABA-DE-CARREGAMENTO'!I76</f>
        <v>17.32</v>
      </c>
      <c r="K104" s="663"/>
    </row>
    <row r="105" spans="1:11" ht="17.25" customHeight="1">
      <c r="A105" s="579"/>
      <c r="B105" s="682" t="s">
        <v>129</v>
      </c>
      <c r="C105" s="1111" t="s">
        <v>524</v>
      </c>
      <c r="D105" s="949"/>
      <c r="E105" s="949"/>
      <c r="F105" s="949"/>
      <c r="G105" s="949"/>
      <c r="H105" s="949"/>
      <c r="I105" s="949"/>
      <c r="J105" s="742">
        <v>0</v>
      </c>
      <c r="K105" s="704"/>
    </row>
    <row r="106" spans="1:11" ht="33.75" customHeight="1">
      <c r="A106" s="579"/>
      <c r="B106" s="705"/>
      <c r="C106" s="1108" t="s">
        <v>450</v>
      </c>
      <c r="D106" s="949"/>
      <c r="E106" s="949"/>
      <c r="F106" s="949"/>
      <c r="G106" s="949"/>
      <c r="H106" s="949"/>
      <c r="I106" s="949"/>
      <c r="J106" s="662">
        <f>SUM(J92:J105)</f>
        <v>17.32</v>
      </c>
      <c r="K106" s="663"/>
    </row>
    <row r="107" spans="1:11" ht="17.25" customHeight="1">
      <c r="A107" s="579"/>
      <c r="B107" s="1047"/>
      <c r="C107" s="949"/>
      <c r="D107" s="949"/>
      <c r="E107" s="949"/>
      <c r="F107" s="949"/>
      <c r="G107" s="949"/>
      <c r="H107" s="949"/>
      <c r="I107" s="949"/>
      <c r="J107" s="950"/>
      <c r="K107" s="362"/>
    </row>
    <row r="108" spans="1:11" ht="45" customHeight="1">
      <c r="A108" s="579"/>
      <c r="B108" s="1086" t="s">
        <v>486</v>
      </c>
      <c r="C108" s="949"/>
      <c r="D108" s="949"/>
      <c r="E108" s="949"/>
      <c r="F108" s="949"/>
      <c r="G108" s="949"/>
      <c r="H108" s="949"/>
      <c r="I108" s="949"/>
      <c r="J108" s="950"/>
      <c r="K108" s="617"/>
    </row>
    <row r="109" spans="1:11" ht="19.5" customHeight="1">
      <c r="A109" s="579"/>
      <c r="B109" s="1045"/>
      <c r="C109" s="949"/>
      <c r="D109" s="949"/>
      <c r="E109" s="949"/>
      <c r="F109" s="949"/>
      <c r="G109" s="949"/>
      <c r="H109" s="949"/>
      <c r="I109" s="949"/>
      <c r="J109" s="950"/>
      <c r="K109" s="593"/>
    </row>
    <row r="110" spans="1:11" ht="19.5" customHeight="1">
      <c r="A110" s="579"/>
      <c r="B110" s="1109" t="s">
        <v>487</v>
      </c>
      <c r="C110" s="949"/>
      <c r="D110" s="949"/>
      <c r="E110" s="949"/>
      <c r="F110" s="949"/>
      <c r="G110" s="949"/>
      <c r="H110" s="949"/>
      <c r="I110" s="949"/>
      <c r="J110" s="950"/>
      <c r="K110" s="706"/>
    </row>
    <row r="111" spans="1:11" ht="19.5" customHeight="1">
      <c r="A111" s="579"/>
      <c r="B111" s="668">
        <v>2</v>
      </c>
      <c r="C111" s="1110" t="s">
        <v>488</v>
      </c>
      <c r="D111" s="949"/>
      <c r="E111" s="949"/>
      <c r="F111" s="949"/>
      <c r="G111" s="949"/>
      <c r="H111" s="949"/>
      <c r="I111" s="950"/>
      <c r="J111" s="668" t="s">
        <v>447</v>
      </c>
      <c r="K111" s="657"/>
    </row>
    <row r="112" spans="1:11" ht="19.5" customHeight="1">
      <c r="A112" s="579"/>
      <c r="B112" s="600" t="s">
        <v>445</v>
      </c>
      <c r="C112" s="1092" t="s">
        <v>956</v>
      </c>
      <c r="D112" s="949"/>
      <c r="E112" s="949"/>
      <c r="F112" s="949"/>
      <c r="G112" s="949"/>
      <c r="H112" s="949"/>
      <c r="I112" s="950"/>
      <c r="J112" s="707">
        <f>J72</f>
        <v>188.5</v>
      </c>
      <c r="K112" s="708"/>
    </row>
    <row r="113" spans="1:11" ht="19.5" customHeight="1">
      <c r="A113" s="579"/>
      <c r="B113" s="600" t="s">
        <v>453</v>
      </c>
      <c r="C113" s="1092" t="s">
        <v>454</v>
      </c>
      <c r="D113" s="949"/>
      <c r="E113" s="949"/>
      <c r="F113" s="949"/>
      <c r="G113" s="949"/>
      <c r="H113" s="949"/>
      <c r="I113" s="950"/>
      <c r="J113" s="707">
        <f>J86</f>
        <v>680.26</v>
      </c>
      <c r="K113" s="708"/>
    </row>
    <row r="114" spans="1:11" ht="19.5" customHeight="1">
      <c r="A114" s="579"/>
      <c r="B114" s="600" t="s">
        <v>468</v>
      </c>
      <c r="C114" s="1092" t="s">
        <v>469</v>
      </c>
      <c r="D114" s="949"/>
      <c r="E114" s="949"/>
      <c r="F114" s="949"/>
      <c r="G114" s="949"/>
      <c r="H114" s="949"/>
      <c r="I114" s="950"/>
      <c r="J114" s="707">
        <f>J106</f>
        <v>17.32</v>
      </c>
      <c r="K114" s="708"/>
    </row>
    <row r="115" spans="1:11" ht="14.25" customHeight="1">
      <c r="A115" s="579"/>
      <c r="B115" s="1115" t="s">
        <v>450</v>
      </c>
      <c r="C115" s="949"/>
      <c r="D115" s="949"/>
      <c r="E115" s="949"/>
      <c r="F115" s="949"/>
      <c r="G115" s="949"/>
      <c r="H115" s="949"/>
      <c r="I115" s="950"/>
      <c r="J115" s="709">
        <f>SUM(J112+J113+J114)</f>
        <v>886.08</v>
      </c>
      <c r="K115" s="708"/>
    </row>
    <row r="116" spans="1:11" ht="14.25" customHeight="1">
      <c r="A116" s="579"/>
      <c r="B116" s="1116"/>
      <c r="C116" s="949"/>
      <c r="D116" s="949"/>
      <c r="E116" s="949"/>
      <c r="F116" s="949"/>
      <c r="G116" s="949"/>
      <c r="H116" s="949"/>
      <c r="I116" s="949"/>
      <c r="J116" s="950"/>
      <c r="K116" s="710"/>
    </row>
    <row r="117" spans="1:11" ht="18.75" customHeight="1">
      <c r="A117" s="579"/>
      <c r="B117" s="1117" t="s">
        <v>490</v>
      </c>
      <c r="C117" s="949"/>
      <c r="D117" s="949"/>
      <c r="E117" s="949"/>
      <c r="F117" s="949"/>
      <c r="G117" s="949"/>
      <c r="H117" s="949"/>
      <c r="I117" s="949"/>
      <c r="J117" s="950"/>
      <c r="K117" s="711"/>
    </row>
    <row r="118" spans="1:11" ht="15.75" customHeight="1">
      <c r="A118" s="579"/>
      <c r="B118" s="680">
        <v>3</v>
      </c>
      <c r="C118" s="1118" t="s">
        <v>491</v>
      </c>
      <c r="D118" s="949"/>
      <c r="E118" s="949"/>
      <c r="F118" s="949"/>
      <c r="G118" s="949"/>
      <c r="H118" s="949"/>
      <c r="I118" s="950"/>
      <c r="J118" s="680" t="s">
        <v>447</v>
      </c>
      <c r="K118" s="712"/>
    </row>
    <row r="119" spans="1:11" ht="42" customHeight="1">
      <c r="A119" s="579"/>
      <c r="B119" s="682" t="s">
        <v>369</v>
      </c>
      <c r="C119" s="1051" t="s">
        <v>957</v>
      </c>
      <c r="D119" s="949"/>
      <c r="E119" s="949"/>
      <c r="F119" s="949"/>
      <c r="G119" s="949"/>
      <c r="H119" s="949"/>
      <c r="I119" s="950"/>
      <c r="J119" s="671">
        <f>ROUND((($J$58/12)+($J$70/12)+(J58/12/12)+($J$71/12))*(30/30)*0.05,2)</f>
        <v>8.2799999999999994</v>
      </c>
      <c r="K119" s="663"/>
    </row>
    <row r="120" spans="1:11" ht="15.75" customHeight="1">
      <c r="A120" s="579"/>
      <c r="B120" s="682" t="s">
        <v>371</v>
      </c>
      <c r="C120" s="1111" t="s">
        <v>493</v>
      </c>
      <c r="D120" s="949"/>
      <c r="E120" s="949"/>
      <c r="F120" s="949"/>
      <c r="G120" s="949"/>
      <c r="H120" s="949"/>
      <c r="I120" s="950"/>
      <c r="J120" s="671">
        <f>ROUND($I$85*J119,2)</f>
        <v>0.66</v>
      </c>
      <c r="K120" s="663"/>
    </row>
    <row r="121" spans="1:11" ht="104.25" customHeight="1">
      <c r="A121" s="579"/>
      <c r="B121" s="682" t="s">
        <v>373</v>
      </c>
      <c r="C121" s="1106" t="s">
        <v>958</v>
      </c>
      <c r="D121" s="949"/>
      <c r="E121" s="949"/>
      <c r="F121" s="949"/>
      <c r="G121" s="949"/>
      <c r="H121" s="949"/>
      <c r="I121" s="950"/>
      <c r="J121" s="671">
        <f>ROUND(((7/30)/$I$11)*$J$58*1,2)</f>
        <v>12.91</v>
      </c>
      <c r="K121" s="663"/>
    </row>
    <row r="122" spans="1:11" ht="18.75" customHeight="1">
      <c r="A122" s="579"/>
      <c r="B122" s="682" t="s">
        <v>375</v>
      </c>
      <c r="C122" s="1111" t="s">
        <v>495</v>
      </c>
      <c r="D122" s="949"/>
      <c r="E122" s="949"/>
      <c r="F122" s="949"/>
      <c r="G122" s="949"/>
      <c r="H122" s="949"/>
      <c r="I122" s="950"/>
      <c r="J122" s="671">
        <f>ROUND($I$86*J121,2)</f>
        <v>4.75</v>
      </c>
      <c r="K122" s="663"/>
    </row>
    <row r="123" spans="1:11" ht="34.5" customHeight="1">
      <c r="A123" s="579"/>
      <c r="B123" s="682" t="s">
        <v>417</v>
      </c>
      <c r="C123" s="1051" t="s">
        <v>959</v>
      </c>
      <c r="D123" s="949"/>
      <c r="E123" s="949"/>
      <c r="F123" s="949"/>
      <c r="G123" s="949"/>
      <c r="H123" s="950"/>
      <c r="I123" s="714">
        <v>0.04</v>
      </c>
      <c r="J123" s="671">
        <f>ROUND(J58*I123,2)</f>
        <v>66.400000000000006</v>
      </c>
      <c r="K123" s="663"/>
    </row>
    <row r="124" spans="1:11" ht="19.5" customHeight="1">
      <c r="A124" s="579"/>
      <c r="B124" s="1108" t="s">
        <v>497</v>
      </c>
      <c r="C124" s="949"/>
      <c r="D124" s="949"/>
      <c r="E124" s="949"/>
      <c r="F124" s="949"/>
      <c r="G124" s="949"/>
      <c r="H124" s="949"/>
      <c r="I124" s="950"/>
      <c r="J124" s="662">
        <f>SUM(J119:J123)</f>
        <v>93</v>
      </c>
      <c r="K124" s="663"/>
    </row>
    <row r="125" spans="1:11" ht="15.75" customHeight="1">
      <c r="A125" s="579"/>
      <c r="B125" s="1112"/>
      <c r="C125" s="949"/>
      <c r="D125" s="949"/>
      <c r="E125" s="949"/>
      <c r="F125" s="949"/>
      <c r="G125" s="949"/>
      <c r="H125" s="949"/>
      <c r="I125" s="949"/>
      <c r="J125" s="950"/>
      <c r="K125" s="715"/>
    </row>
    <row r="126" spans="1:11" ht="17.25" customHeight="1">
      <c r="A126" s="579"/>
      <c r="B126" s="1113" t="s">
        <v>498</v>
      </c>
      <c r="C126" s="949"/>
      <c r="D126" s="949"/>
      <c r="E126" s="949"/>
      <c r="F126" s="949"/>
      <c r="G126" s="949"/>
      <c r="H126" s="949"/>
      <c r="I126" s="949"/>
      <c r="J126" s="950"/>
      <c r="K126" s="716"/>
    </row>
    <row r="127" spans="1:11" ht="42.75" customHeight="1">
      <c r="A127" s="579"/>
      <c r="B127" s="1086" t="s">
        <v>499</v>
      </c>
      <c r="C127" s="949"/>
      <c r="D127" s="949"/>
      <c r="E127" s="949"/>
      <c r="F127" s="949"/>
      <c r="G127" s="949"/>
      <c r="H127" s="949"/>
      <c r="I127" s="949"/>
      <c r="J127" s="950"/>
      <c r="K127" s="617"/>
    </row>
    <row r="128" spans="1:11" ht="66" customHeight="1">
      <c r="A128" s="579"/>
      <c r="B128" s="1105" t="s">
        <v>960</v>
      </c>
      <c r="C128" s="949"/>
      <c r="D128" s="949"/>
      <c r="E128" s="949"/>
      <c r="F128" s="949"/>
      <c r="G128" s="949"/>
      <c r="H128" s="949"/>
      <c r="I128" s="949"/>
      <c r="J128" s="950"/>
      <c r="K128" s="665"/>
    </row>
    <row r="129" spans="1:11" ht="43.5" customHeight="1">
      <c r="A129" s="579"/>
      <c r="B129" s="717" t="s">
        <v>501</v>
      </c>
      <c r="C129" s="718">
        <f>J58</f>
        <v>1660.01</v>
      </c>
      <c r="D129" s="719" t="s">
        <v>502</v>
      </c>
      <c r="E129" s="717" t="s">
        <v>961</v>
      </c>
      <c r="F129" s="718">
        <f>J115-J92-J97</f>
        <v>886.08</v>
      </c>
      <c r="G129" s="719" t="s">
        <v>502</v>
      </c>
      <c r="H129" s="717" t="s">
        <v>504</v>
      </c>
      <c r="I129" s="718">
        <f>J124</f>
        <v>93</v>
      </c>
      <c r="J129" s="720">
        <f>C129+F129+I129</f>
        <v>2639.09</v>
      </c>
      <c r="K129" s="721"/>
    </row>
    <row r="130" spans="1:11" ht="15" customHeight="1">
      <c r="A130" s="579"/>
      <c r="B130" s="1120"/>
      <c r="C130" s="949"/>
      <c r="D130" s="949"/>
      <c r="E130" s="949"/>
      <c r="F130" s="949"/>
      <c r="G130" s="949"/>
      <c r="H130" s="949"/>
      <c r="I130" s="949"/>
      <c r="J130" s="950"/>
      <c r="K130" s="722"/>
    </row>
    <row r="131" spans="1:11" ht="15.75" customHeight="1">
      <c r="A131" s="579"/>
      <c r="B131" s="1121" t="s">
        <v>505</v>
      </c>
      <c r="C131" s="949"/>
      <c r="D131" s="949"/>
      <c r="E131" s="949"/>
      <c r="F131" s="949"/>
      <c r="G131" s="949"/>
      <c r="H131" s="949"/>
      <c r="I131" s="949"/>
      <c r="J131" s="950"/>
      <c r="K131" s="723"/>
    </row>
    <row r="132" spans="1:11" ht="17.25" customHeight="1">
      <c r="A132" s="579"/>
      <c r="B132" s="724" t="s">
        <v>506</v>
      </c>
      <c r="C132" s="1118" t="s">
        <v>507</v>
      </c>
      <c r="D132" s="949"/>
      <c r="E132" s="949"/>
      <c r="F132" s="949"/>
      <c r="G132" s="949"/>
      <c r="H132" s="949"/>
      <c r="I132" s="950"/>
      <c r="J132" s="724" t="s">
        <v>447</v>
      </c>
      <c r="K132" s="726"/>
    </row>
    <row r="133" spans="1:11" ht="48" customHeight="1">
      <c r="A133" s="579"/>
      <c r="B133" s="682" t="s">
        <v>369</v>
      </c>
      <c r="C133" s="1092" t="s">
        <v>962</v>
      </c>
      <c r="D133" s="949"/>
      <c r="E133" s="949"/>
      <c r="F133" s="949"/>
      <c r="G133" s="949"/>
      <c r="H133" s="727">
        <v>9.0749999999999997E-2</v>
      </c>
      <c r="I133" s="873">
        <f>I86</f>
        <v>0.36800000000000005</v>
      </c>
      <c r="J133" s="671">
        <f>ROUND(H133*J58,2)*(1+I133)</f>
        <v>206.08920000000003</v>
      </c>
      <c r="K133" s="663"/>
    </row>
    <row r="134" spans="1:11" ht="18.75" customHeight="1">
      <c r="A134" s="579"/>
      <c r="B134" s="682" t="s">
        <v>371</v>
      </c>
      <c r="C134" s="1051" t="s">
        <v>963</v>
      </c>
      <c r="D134" s="949"/>
      <c r="E134" s="949"/>
      <c r="F134" s="949"/>
      <c r="G134" s="949"/>
      <c r="H134" s="949"/>
      <c r="I134" s="950"/>
      <c r="J134" s="671">
        <f>ROUND((1/30)/12*(J129),2)</f>
        <v>7.33</v>
      </c>
      <c r="K134" s="663"/>
    </row>
    <row r="135" spans="1:11" ht="31.5" customHeight="1">
      <c r="A135" s="579"/>
      <c r="B135" s="682" t="s">
        <v>373</v>
      </c>
      <c r="C135" s="1051" t="s">
        <v>964</v>
      </c>
      <c r="D135" s="949"/>
      <c r="E135" s="949"/>
      <c r="F135" s="949"/>
      <c r="G135" s="949"/>
      <c r="H135" s="949"/>
      <c r="I135" s="950"/>
      <c r="J135" s="671">
        <f>ROUND((5/30)/12*0.015*(J129),2)</f>
        <v>0.55000000000000004</v>
      </c>
      <c r="K135" s="663"/>
    </row>
    <row r="136" spans="1:11" ht="31.5" customHeight="1">
      <c r="A136" s="579"/>
      <c r="B136" s="682" t="s">
        <v>375</v>
      </c>
      <c r="C136" s="1051" t="s">
        <v>965</v>
      </c>
      <c r="D136" s="949"/>
      <c r="E136" s="949"/>
      <c r="F136" s="949"/>
      <c r="G136" s="949"/>
      <c r="H136" s="949"/>
      <c r="I136" s="950"/>
      <c r="J136" s="671">
        <f>ROUND(((15/30)/12)*0.0078*(J129),2)</f>
        <v>0.86</v>
      </c>
      <c r="K136" s="663"/>
    </row>
    <row r="137" spans="1:11" ht="31.5" customHeight="1">
      <c r="A137" s="579"/>
      <c r="B137" s="730" t="s">
        <v>417</v>
      </c>
      <c r="C137" s="1119" t="s">
        <v>966</v>
      </c>
      <c r="D137" s="949"/>
      <c r="E137" s="949"/>
      <c r="F137" s="949"/>
      <c r="G137" s="949"/>
      <c r="H137" s="949"/>
      <c r="I137" s="950"/>
      <c r="J137" s="731">
        <f>ROUND(((((C129+C129/3)+(I86)*(C129+C129/3))*(4/12))/12)*0.02,2) + ((J106 -J92-J97+ J124)*4/12)*0.02</f>
        <v>2.4154666666666667</v>
      </c>
      <c r="K137" s="732"/>
    </row>
    <row r="138" spans="1:11" ht="51.75" customHeight="1">
      <c r="A138" s="579"/>
      <c r="B138" s="682" t="s">
        <v>421</v>
      </c>
      <c r="C138" s="1051" t="s">
        <v>967</v>
      </c>
      <c r="D138" s="949"/>
      <c r="E138" s="949"/>
      <c r="F138" s="949"/>
      <c r="G138" s="949"/>
      <c r="H138" s="949"/>
      <c r="I138" s="950"/>
      <c r="J138" s="671">
        <f>ROUND(((3/30)/12)*(J129),2)</f>
        <v>21.99</v>
      </c>
      <c r="K138" s="663"/>
    </row>
    <row r="139" spans="1:11" ht="19.5" customHeight="1">
      <c r="A139" s="579"/>
      <c r="B139" s="1108" t="s">
        <v>450</v>
      </c>
      <c r="C139" s="949"/>
      <c r="D139" s="949"/>
      <c r="E139" s="949"/>
      <c r="F139" s="949"/>
      <c r="G139" s="949"/>
      <c r="H139" s="949"/>
      <c r="I139" s="950"/>
      <c r="J139" s="662">
        <f>SUM(J133:J138)</f>
        <v>239.23466666666675</v>
      </c>
      <c r="K139" s="663"/>
    </row>
    <row r="140" spans="1:11" ht="12.75" customHeight="1">
      <c r="A140" s="579"/>
      <c r="B140" s="1112"/>
      <c r="C140" s="949"/>
      <c r="D140" s="949"/>
      <c r="E140" s="949"/>
      <c r="F140" s="949"/>
      <c r="G140" s="949"/>
      <c r="H140" s="949"/>
      <c r="I140" s="949"/>
      <c r="J140" s="950"/>
      <c r="K140" s="715"/>
    </row>
    <row r="141" spans="1:11" ht="19.5" customHeight="1">
      <c r="A141" s="579"/>
      <c r="B141" s="1114" t="s">
        <v>514</v>
      </c>
      <c r="C141" s="949"/>
      <c r="D141" s="949"/>
      <c r="E141" s="949"/>
      <c r="F141" s="949"/>
      <c r="G141" s="949"/>
      <c r="H141" s="949"/>
      <c r="I141" s="949"/>
      <c r="J141" s="950"/>
      <c r="K141" s="654"/>
    </row>
    <row r="142" spans="1:11" ht="19.5" customHeight="1">
      <c r="A142" s="579"/>
      <c r="B142" s="733" t="s">
        <v>515</v>
      </c>
      <c r="C142" s="1122" t="s">
        <v>516</v>
      </c>
      <c r="D142" s="949"/>
      <c r="E142" s="949"/>
      <c r="F142" s="949"/>
      <c r="G142" s="949"/>
      <c r="H142" s="949"/>
      <c r="I142" s="950"/>
      <c r="J142" s="734" t="s">
        <v>447</v>
      </c>
      <c r="K142" s="735"/>
    </row>
    <row r="143" spans="1:11" ht="19.5" customHeight="1">
      <c r="A143" s="579"/>
      <c r="B143" s="736" t="s">
        <v>369</v>
      </c>
      <c r="C143" s="1125" t="s">
        <v>517</v>
      </c>
      <c r="D143" s="949"/>
      <c r="E143" s="949"/>
      <c r="F143" s="949"/>
      <c r="G143" s="949"/>
      <c r="H143" s="949"/>
      <c r="I143" s="950"/>
      <c r="J143" s="737">
        <v>0</v>
      </c>
      <c r="K143" s="738"/>
    </row>
    <row r="144" spans="1:11" ht="19.5" customHeight="1">
      <c r="A144" s="579"/>
      <c r="B144" s="1102" t="s">
        <v>450</v>
      </c>
      <c r="C144" s="949"/>
      <c r="D144" s="949"/>
      <c r="E144" s="949"/>
      <c r="F144" s="949"/>
      <c r="G144" s="949"/>
      <c r="H144" s="949"/>
      <c r="I144" s="950"/>
      <c r="J144" s="739">
        <v>0</v>
      </c>
      <c r="K144" s="738"/>
    </row>
    <row r="145" spans="1:11" ht="9" customHeight="1">
      <c r="A145" s="579"/>
      <c r="B145" s="1126"/>
      <c r="C145" s="949"/>
      <c r="D145" s="949"/>
      <c r="E145" s="949"/>
      <c r="F145" s="949"/>
      <c r="G145" s="949"/>
      <c r="H145" s="949"/>
      <c r="I145" s="949"/>
      <c r="J145" s="950"/>
      <c r="K145" s="740"/>
    </row>
    <row r="146" spans="1:11" ht="19.5" customHeight="1">
      <c r="A146" s="579"/>
      <c r="B146" s="1098" t="s">
        <v>518</v>
      </c>
      <c r="C146" s="949"/>
      <c r="D146" s="949"/>
      <c r="E146" s="949"/>
      <c r="F146" s="949"/>
      <c r="G146" s="949"/>
      <c r="H146" s="949"/>
      <c r="I146" s="949"/>
      <c r="J146" s="950"/>
      <c r="K146" s="653"/>
    </row>
    <row r="147" spans="1:11" ht="19.5" customHeight="1">
      <c r="A147" s="579"/>
      <c r="B147" s="668">
        <v>4</v>
      </c>
      <c r="C147" s="1122" t="s">
        <v>519</v>
      </c>
      <c r="D147" s="949"/>
      <c r="E147" s="949"/>
      <c r="F147" s="949"/>
      <c r="G147" s="949"/>
      <c r="H147" s="949"/>
      <c r="I147" s="950"/>
      <c r="J147" s="734" t="s">
        <v>447</v>
      </c>
      <c r="K147" s="735"/>
    </row>
    <row r="148" spans="1:11" ht="28.5" customHeight="1">
      <c r="A148" s="579"/>
      <c r="B148" s="600" t="s">
        <v>506</v>
      </c>
      <c r="C148" s="1125" t="s">
        <v>507</v>
      </c>
      <c r="D148" s="949"/>
      <c r="E148" s="949"/>
      <c r="F148" s="949"/>
      <c r="G148" s="949"/>
      <c r="H148" s="949"/>
      <c r="I148" s="950"/>
      <c r="J148" s="737">
        <f>J139</f>
        <v>239.23466666666675</v>
      </c>
      <c r="K148" s="738"/>
    </row>
    <row r="149" spans="1:11" ht="24" customHeight="1">
      <c r="A149" s="579"/>
      <c r="B149" s="600" t="s">
        <v>520</v>
      </c>
      <c r="C149" s="1125" t="s">
        <v>516</v>
      </c>
      <c r="D149" s="949"/>
      <c r="E149" s="949"/>
      <c r="F149" s="949"/>
      <c r="G149" s="949"/>
      <c r="H149" s="949"/>
      <c r="I149" s="950"/>
      <c r="J149" s="737">
        <f>J144</f>
        <v>0</v>
      </c>
      <c r="K149" s="738"/>
    </row>
    <row r="150" spans="1:11" ht="24" customHeight="1">
      <c r="A150" s="579"/>
      <c r="B150" s="1115" t="s">
        <v>450</v>
      </c>
      <c r="C150" s="949"/>
      <c r="D150" s="949"/>
      <c r="E150" s="949"/>
      <c r="F150" s="949"/>
      <c r="G150" s="949"/>
      <c r="H150" s="949"/>
      <c r="I150" s="950"/>
      <c r="J150" s="739">
        <f>SUM(J148+J149)</f>
        <v>239.23466666666675</v>
      </c>
      <c r="K150" s="738"/>
    </row>
    <row r="151" spans="1:11" ht="7.5" customHeight="1">
      <c r="A151" s="579"/>
      <c r="B151" s="1126"/>
      <c r="C151" s="949"/>
      <c r="D151" s="949"/>
      <c r="E151" s="949"/>
      <c r="F151" s="949"/>
      <c r="G151" s="949"/>
      <c r="H151" s="949"/>
      <c r="I151" s="949"/>
      <c r="J151" s="950"/>
      <c r="K151" s="740"/>
    </row>
    <row r="152" spans="1:11" ht="15.75" customHeight="1">
      <c r="A152" s="579"/>
      <c r="B152" s="1113" t="s">
        <v>521</v>
      </c>
      <c r="C152" s="949"/>
      <c r="D152" s="949"/>
      <c r="E152" s="949"/>
      <c r="F152" s="949"/>
      <c r="G152" s="949"/>
      <c r="H152" s="949"/>
      <c r="I152" s="949"/>
      <c r="J152" s="950"/>
      <c r="K152" s="716"/>
    </row>
    <row r="153" spans="1:11" ht="15.75" customHeight="1">
      <c r="A153" s="579"/>
      <c r="B153" s="680">
        <v>3</v>
      </c>
      <c r="C153" s="1089" t="s">
        <v>522</v>
      </c>
      <c r="D153" s="949"/>
      <c r="E153" s="949"/>
      <c r="F153" s="949"/>
      <c r="G153" s="949"/>
      <c r="H153" s="949"/>
      <c r="I153" s="950"/>
      <c r="J153" s="680" t="s">
        <v>447</v>
      </c>
      <c r="K153" s="712"/>
    </row>
    <row r="154" spans="1:11" ht="19.5" customHeight="1">
      <c r="A154" s="579"/>
      <c r="B154" s="682" t="s">
        <v>369</v>
      </c>
      <c r="C154" s="1051" t="s">
        <v>658</v>
      </c>
      <c r="D154" s="949"/>
      <c r="E154" s="949"/>
      <c r="F154" s="949"/>
      <c r="G154" s="949"/>
      <c r="H154" s="949"/>
      <c r="I154" s="950"/>
      <c r="J154" s="671" t="e">
        <f>#REF!+#REF!</f>
        <v>#REF!</v>
      </c>
      <c r="K154" s="663"/>
    </row>
    <row r="155" spans="1:11" ht="15.75" customHeight="1">
      <c r="A155" s="579"/>
      <c r="B155" s="682" t="s">
        <v>371</v>
      </c>
      <c r="C155" s="1051" t="s">
        <v>659</v>
      </c>
      <c r="D155" s="949"/>
      <c r="E155" s="949"/>
      <c r="F155" s="949"/>
      <c r="G155" s="949"/>
      <c r="H155" s="949"/>
      <c r="I155" s="950"/>
      <c r="J155" s="742">
        <v>0</v>
      </c>
      <c r="K155" s="704"/>
    </row>
    <row r="156" spans="1:11" ht="15.75" customHeight="1">
      <c r="A156" s="579"/>
      <c r="B156" s="682" t="s">
        <v>373</v>
      </c>
      <c r="C156" s="1051" t="s">
        <v>524</v>
      </c>
      <c r="D156" s="949"/>
      <c r="E156" s="949"/>
      <c r="F156" s="949"/>
      <c r="G156" s="949"/>
      <c r="H156" s="949"/>
      <c r="I156" s="950"/>
      <c r="J156" s="742">
        <v>0</v>
      </c>
      <c r="K156" s="704"/>
    </row>
    <row r="157" spans="1:11" ht="19.5" customHeight="1">
      <c r="A157" s="579"/>
      <c r="B157" s="1108" t="s">
        <v>526</v>
      </c>
      <c r="C157" s="949"/>
      <c r="D157" s="949"/>
      <c r="E157" s="949"/>
      <c r="F157" s="949"/>
      <c r="G157" s="949"/>
      <c r="H157" s="949"/>
      <c r="I157" s="950"/>
      <c r="J157" s="743" t="e">
        <f>ROUND(SUM(J154:J156),2)</f>
        <v>#REF!</v>
      </c>
      <c r="K157" s="704"/>
    </row>
    <row r="158" spans="1:11" ht="15.75" customHeight="1">
      <c r="A158" s="579"/>
      <c r="B158" s="1153"/>
      <c r="C158" s="949"/>
      <c r="D158" s="949"/>
      <c r="E158" s="949"/>
      <c r="F158" s="949"/>
      <c r="G158" s="949"/>
      <c r="H158" s="949"/>
      <c r="I158" s="949"/>
      <c r="J158" s="950"/>
      <c r="K158" s="744"/>
    </row>
    <row r="159" spans="1:11" ht="27.75" customHeight="1">
      <c r="A159" s="579"/>
      <c r="B159" s="1154" t="s">
        <v>527</v>
      </c>
      <c r="C159" s="949"/>
      <c r="D159" s="949"/>
      <c r="E159" s="949"/>
      <c r="F159" s="949"/>
      <c r="G159" s="949"/>
      <c r="H159" s="949"/>
      <c r="I159" s="949"/>
      <c r="J159" s="950"/>
      <c r="K159" s="745"/>
    </row>
    <row r="160" spans="1:11" ht="19.5" customHeight="1">
      <c r="A160" s="579"/>
      <c r="B160" s="746"/>
      <c r="C160" s="747"/>
      <c r="D160" s="747"/>
      <c r="E160" s="747"/>
      <c r="F160" s="747"/>
      <c r="G160" s="747"/>
      <c r="H160" s="747"/>
      <c r="I160" s="747"/>
      <c r="J160" s="748"/>
      <c r="K160" s="314"/>
    </row>
    <row r="161" spans="1:11" ht="24" customHeight="1">
      <c r="A161" s="579"/>
      <c r="B161" s="1117" t="s">
        <v>528</v>
      </c>
      <c r="C161" s="949"/>
      <c r="D161" s="949"/>
      <c r="E161" s="949"/>
      <c r="F161" s="949"/>
      <c r="G161" s="949"/>
      <c r="H161" s="949"/>
      <c r="I161" s="949"/>
      <c r="J161" s="950"/>
      <c r="K161" s="711"/>
    </row>
    <row r="162" spans="1:11" ht="35.25" customHeight="1">
      <c r="A162" s="579"/>
      <c r="B162" s="680">
        <v>6</v>
      </c>
      <c r="C162" s="1118" t="s">
        <v>529</v>
      </c>
      <c r="D162" s="949"/>
      <c r="E162" s="949"/>
      <c r="F162" s="949"/>
      <c r="G162" s="949"/>
      <c r="H162" s="950"/>
      <c r="I162" s="749" t="s">
        <v>411</v>
      </c>
      <c r="J162" s="750" t="s">
        <v>455</v>
      </c>
      <c r="K162" s="751"/>
    </row>
    <row r="163" spans="1:11" ht="57" customHeight="1">
      <c r="A163" s="579"/>
      <c r="B163" s="1062" t="s">
        <v>530</v>
      </c>
      <c r="C163" s="949"/>
      <c r="D163" s="949"/>
      <c r="E163" s="949"/>
      <c r="F163" s="949"/>
      <c r="G163" s="949"/>
      <c r="H163" s="950"/>
      <c r="I163" s="341" t="s">
        <v>382</v>
      </c>
      <c r="J163" s="752" t="e">
        <f>SUM(J63+J115+J124+J150+J157)</f>
        <v>#REF!</v>
      </c>
      <c r="K163" s="753"/>
    </row>
    <row r="164" spans="1:11" ht="26.25" customHeight="1">
      <c r="A164" s="579"/>
      <c r="B164" s="682" t="s">
        <v>369</v>
      </c>
      <c r="C164" s="1155" t="s">
        <v>531</v>
      </c>
      <c r="D164" s="949"/>
      <c r="E164" s="949"/>
      <c r="F164" s="949"/>
      <c r="G164" s="949"/>
      <c r="H164" s="950"/>
      <c r="I164" s="670">
        <f>'1-ABA-DE-CARREGAMENTO'!I85</f>
        <v>0.06</v>
      </c>
      <c r="J164" s="671" t="e">
        <f>ROUND(I164*J163,2)</f>
        <v>#REF!</v>
      </c>
      <c r="K164" s="663"/>
    </row>
    <row r="165" spans="1:11" ht="51.75" customHeight="1">
      <c r="A165" s="579"/>
      <c r="B165" s="1062" t="s">
        <v>532</v>
      </c>
      <c r="C165" s="949"/>
      <c r="D165" s="949"/>
      <c r="E165" s="949"/>
      <c r="F165" s="949"/>
      <c r="G165" s="949"/>
      <c r="H165" s="950"/>
      <c r="I165" s="754" t="s">
        <v>382</v>
      </c>
      <c r="J165" s="752" t="e">
        <f>SUM(J63+J115+J124+J150+J157+J164)</f>
        <v>#REF!</v>
      </c>
      <c r="K165" s="753"/>
    </row>
    <row r="166" spans="1:11" ht="19.5" customHeight="1">
      <c r="A166" s="579"/>
      <c r="B166" s="682" t="s">
        <v>371</v>
      </c>
      <c r="C166" s="1155" t="s">
        <v>312</v>
      </c>
      <c r="D166" s="949"/>
      <c r="E166" s="949"/>
      <c r="F166" s="949"/>
      <c r="G166" s="949"/>
      <c r="H166" s="950"/>
      <c r="I166" s="670">
        <f>'1-ABA-DE-CARREGAMENTO'!I86</f>
        <v>0.06</v>
      </c>
      <c r="J166" s="671" t="e">
        <f>ROUND(I166*J165,2)</f>
        <v>#REF!</v>
      </c>
      <c r="K166" s="663"/>
    </row>
    <row r="167" spans="1:11" ht="49.5" customHeight="1">
      <c r="A167" s="579"/>
      <c r="B167" s="1062" t="s">
        <v>533</v>
      </c>
      <c r="C167" s="949"/>
      <c r="D167" s="949"/>
      <c r="E167" s="949"/>
      <c r="F167" s="949"/>
      <c r="G167" s="949"/>
      <c r="H167" s="950"/>
      <c r="I167" s="754" t="s">
        <v>382</v>
      </c>
      <c r="J167" s="752" t="e">
        <f>SUM(J163+J164+J166)</f>
        <v>#REF!</v>
      </c>
      <c r="K167" s="753"/>
    </row>
    <row r="168" spans="1:11" ht="18.75" customHeight="1">
      <c r="A168" s="579"/>
      <c r="B168" s="755" t="s">
        <v>373</v>
      </c>
      <c r="C168" s="1117" t="s">
        <v>534</v>
      </c>
      <c r="D168" s="949"/>
      <c r="E168" s="949"/>
      <c r="F168" s="949"/>
      <c r="G168" s="949"/>
      <c r="H168" s="950"/>
      <c r="I168" s="756" t="s">
        <v>382</v>
      </c>
      <c r="J168" s="643" t="s">
        <v>382</v>
      </c>
      <c r="K168" s="644"/>
    </row>
    <row r="169" spans="1:11" ht="30" customHeight="1">
      <c r="A169" s="579"/>
      <c r="B169" s="682"/>
      <c r="C169" s="1111" t="s">
        <v>535</v>
      </c>
      <c r="D169" s="949"/>
      <c r="E169" s="949"/>
      <c r="F169" s="949"/>
      <c r="G169" s="949"/>
      <c r="H169" s="950"/>
      <c r="I169" s="756" t="s">
        <v>382</v>
      </c>
      <c r="J169" s="643" t="s">
        <v>382</v>
      </c>
      <c r="K169" s="644"/>
    </row>
    <row r="170" spans="1:11" ht="24" customHeight="1">
      <c r="A170" s="579"/>
      <c r="B170" s="682"/>
      <c r="C170" s="1156" t="s">
        <v>968</v>
      </c>
      <c r="D170" s="949"/>
      <c r="E170" s="949"/>
      <c r="F170" s="949"/>
      <c r="G170" s="949"/>
      <c r="H170" s="950"/>
      <c r="I170" s="629">
        <f>'1-ABA-DE-CARREGAMENTO'!E28</f>
        <v>1.6500000000000001E-2</v>
      </c>
      <c r="J170" s="757" t="e">
        <f t="shared" ref="J170:J171" si="3">ROUND(($J$167/(1-$I$179))*I170,2)</f>
        <v>#REF!</v>
      </c>
      <c r="K170" s="758"/>
    </row>
    <row r="171" spans="1:11" ht="24" customHeight="1">
      <c r="A171" s="579"/>
      <c r="B171" s="682"/>
      <c r="C171" s="1156" t="s">
        <v>969</v>
      </c>
      <c r="D171" s="949"/>
      <c r="E171" s="949"/>
      <c r="F171" s="949"/>
      <c r="G171" s="949"/>
      <c r="H171" s="950"/>
      <c r="I171" s="629">
        <f>'1-ABA-DE-CARREGAMENTO'!F28</f>
        <v>7.5999999999999998E-2</v>
      </c>
      <c r="J171" s="757" t="e">
        <f t="shared" si="3"/>
        <v>#REF!</v>
      </c>
      <c r="K171" s="758"/>
    </row>
    <row r="172" spans="1:11" ht="27.75" customHeight="1">
      <c r="A172" s="579"/>
      <c r="B172" s="682"/>
      <c r="C172" s="1051" t="s">
        <v>970</v>
      </c>
      <c r="D172" s="949"/>
      <c r="E172" s="949"/>
      <c r="F172" s="949"/>
      <c r="G172" s="949"/>
      <c r="H172" s="950"/>
      <c r="I172" s="759" t="s">
        <v>382</v>
      </c>
      <c r="J172" s="643" t="s">
        <v>382</v>
      </c>
      <c r="K172" s="644"/>
    </row>
    <row r="173" spans="1:11" ht="27.75" customHeight="1">
      <c r="A173" s="579"/>
      <c r="B173" s="682"/>
      <c r="C173" s="1051" t="s">
        <v>971</v>
      </c>
      <c r="D173" s="949"/>
      <c r="E173" s="949"/>
      <c r="F173" s="949"/>
      <c r="G173" s="949"/>
      <c r="H173" s="950"/>
      <c r="I173" s="759" t="s">
        <v>382</v>
      </c>
      <c r="J173" s="643" t="s">
        <v>382</v>
      </c>
      <c r="K173" s="644"/>
    </row>
    <row r="174" spans="1:11" ht="15.75" customHeight="1">
      <c r="A174" s="579"/>
      <c r="B174" s="682"/>
      <c r="C174" s="1051" t="s">
        <v>540</v>
      </c>
      <c r="D174" s="949"/>
      <c r="E174" s="949"/>
      <c r="F174" s="949"/>
      <c r="G174" s="949"/>
      <c r="H174" s="949"/>
      <c r="I174" s="760" t="s">
        <v>382</v>
      </c>
      <c r="J174" s="761" t="s">
        <v>382</v>
      </c>
      <c r="K174" s="762"/>
    </row>
    <row r="175" spans="1:11" ht="15.75" customHeight="1">
      <c r="A175" s="579"/>
      <c r="B175" s="682"/>
      <c r="C175" s="1051" t="s">
        <v>541</v>
      </c>
      <c r="D175" s="949"/>
      <c r="E175" s="949"/>
      <c r="F175" s="949"/>
      <c r="G175" s="949"/>
      <c r="H175" s="949"/>
      <c r="I175" s="760" t="s">
        <v>382</v>
      </c>
      <c r="J175" s="761" t="s">
        <v>382</v>
      </c>
      <c r="K175" s="762"/>
    </row>
    <row r="176" spans="1:11" ht="15.75" customHeight="1">
      <c r="A176" s="579"/>
      <c r="B176" s="682"/>
      <c r="C176" s="1051" t="s">
        <v>972</v>
      </c>
      <c r="D176" s="949"/>
      <c r="E176" s="949"/>
      <c r="F176" s="949"/>
      <c r="G176" s="949"/>
      <c r="H176" s="950"/>
      <c r="I176" s="763">
        <f>'1-ABA-DE-CARREGAMENTO'!D87</f>
        <v>0.03</v>
      </c>
      <c r="J176" s="757" t="e">
        <f>ROUND(($J$167/(1-$I$179))*I176,2)</f>
        <v>#REF!</v>
      </c>
      <c r="K176" s="758"/>
    </row>
    <row r="177" spans="1:11" ht="15.75" customHeight="1">
      <c r="A177" s="579"/>
      <c r="B177" s="1108" t="s">
        <v>497</v>
      </c>
      <c r="C177" s="949"/>
      <c r="D177" s="949"/>
      <c r="E177" s="949"/>
      <c r="F177" s="949"/>
      <c r="G177" s="949"/>
      <c r="H177" s="949"/>
      <c r="I177" s="950"/>
      <c r="J177" s="662" t="e">
        <f>SUM(J164+J166+J170+J171+J176)</f>
        <v>#REF!</v>
      </c>
      <c r="K177" s="663"/>
    </row>
    <row r="178" spans="1:11" ht="6" customHeight="1">
      <c r="A178" s="579"/>
      <c r="B178" s="1112"/>
      <c r="C178" s="949"/>
      <c r="D178" s="949"/>
      <c r="E178" s="949"/>
      <c r="F178" s="949"/>
      <c r="G178" s="949"/>
      <c r="H178" s="949"/>
      <c r="I178" s="949"/>
      <c r="J178" s="950"/>
      <c r="K178" s="715"/>
    </row>
    <row r="179" spans="1:11" ht="15.75" customHeight="1">
      <c r="A179" s="579"/>
      <c r="B179" s="1157" t="s">
        <v>543</v>
      </c>
      <c r="C179" s="949"/>
      <c r="D179" s="949"/>
      <c r="E179" s="949"/>
      <c r="F179" s="949"/>
      <c r="G179" s="949"/>
      <c r="H179" s="950"/>
      <c r="I179" s="764">
        <f t="shared" ref="I179:J179" si="4">SUM(I170:I176)</f>
        <v>0.1225</v>
      </c>
      <c r="J179" s="752" t="e">
        <f t="shared" si="4"/>
        <v>#REF!</v>
      </c>
      <c r="K179" s="753"/>
    </row>
    <row r="180" spans="1:11" ht="15.75" customHeight="1">
      <c r="A180" s="579"/>
      <c r="B180" s="1158" t="s">
        <v>544</v>
      </c>
      <c r="C180" s="947"/>
      <c r="D180" s="1159" t="s">
        <v>545</v>
      </c>
      <c r="E180" s="947"/>
      <c r="F180" s="947"/>
      <c r="G180" s="947"/>
      <c r="H180" s="947"/>
      <c r="I180" s="947"/>
      <c r="J180" s="1020"/>
      <c r="K180" s="765"/>
    </row>
    <row r="181" spans="1:11" ht="15.75" customHeight="1">
      <c r="A181" s="579"/>
      <c r="B181" s="1151"/>
      <c r="C181" s="947"/>
      <c r="D181" s="1160" t="s">
        <v>546</v>
      </c>
      <c r="E181" s="947"/>
      <c r="F181" s="947"/>
      <c r="G181" s="947"/>
      <c r="H181" s="947"/>
      <c r="I181" s="947"/>
      <c r="J181" s="1020"/>
      <c r="K181" s="766"/>
    </row>
    <row r="182" spans="1:11" ht="15.75" customHeight="1">
      <c r="A182" s="579"/>
      <c r="B182" s="1134"/>
      <c r="C182" s="1037"/>
      <c r="D182" s="1161" t="s">
        <v>547</v>
      </c>
      <c r="E182" s="1037"/>
      <c r="F182" s="1037"/>
      <c r="G182" s="1037"/>
      <c r="H182" s="1037"/>
      <c r="I182" s="1037"/>
      <c r="J182" s="1038"/>
      <c r="K182" s="765"/>
    </row>
    <row r="183" spans="1:11" ht="9.75" customHeight="1">
      <c r="A183" s="579"/>
      <c r="B183" s="1162"/>
      <c r="C183" s="949"/>
      <c r="D183" s="949"/>
      <c r="E183" s="949"/>
      <c r="F183" s="949"/>
      <c r="G183" s="949"/>
      <c r="H183" s="949"/>
      <c r="I183" s="949"/>
      <c r="J183" s="950"/>
      <c r="K183" s="767"/>
    </row>
    <row r="184" spans="1:11" ht="23.25" customHeight="1">
      <c r="A184" s="579"/>
      <c r="B184" s="1046" t="s">
        <v>548</v>
      </c>
      <c r="C184" s="949"/>
      <c r="D184" s="949"/>
      <c r="E184" s="949"/>
      <c r="F184" s="949"/>
      <c r="G184" s="949"/>
      <c r="H184" s="949"/>
      <c r="I184" s="949"/>
      <c r="J184" s="950"/>
      <c r="K184" s="596"/>
    </row>
    <row r="185" spans="1:11" ht="9" customHeight="1">
      <c r="A185" s="579"/>
      <c r="B185" s="1112"/>
      <c r="C185" s="949"/>
      <c r="D185" s="949"/>
      <c r="E185" s="949"/>
      <c r="F185" s="949"/>
      <c r="G185" s="949"/>
      <c r="H185" s="949"/>
      <c r="I185" s="949"/>
      <c r="J185" s="950"/>
      <c r="K185" s="715"/>
    </row>
    <row r="186" spans="1:11" ht="15.75" customHeight="1">
      <c r="A186" s="579"/>
      <c r="B186" s="1113" t="s">
        <v>973</v>
      </c>
      <c r="C186" s="949"/>
      <c r="D186" s="949"/>
      <c r="E186" s="949"/>
      <c r="F186" s="949"/>
      <c r="G186" s="949"/>
      <c r="H186" s="949"/>
      <c r="I186" s="949"/>
      <c r="J186" s="950"/>
      <c r="K186" s="716"/>
    </row>
    <row r="187" spans="1:11" ht="15.75" customHeight="1">
      <c r="A187" s="579"/>
      <c r="B187" s="1050" t="s">
        <v>550</v>
      </c>
      <c r="C187" s="949"/>
      <c r="D187" s="949"/>
      <c r="E187" s="949"/>
      <c r="F187" s="949"/>
      <c r="G187" s="949"/>
      <c r="H187" s="949"/>
      <c r="I187" s="950"/>
      <c r="J187" s="749" t="s">
        <v>447</v>
      </c>
      <c r="K187" s="593"/>
    </row>
    <row r="188" spans="1:11" ht="15.75" customHeight="1">
      <c r="A188" s="579"/>
      <c r="B188" s="768" t="s">
        <v>369</v>
      </c>
      <c r="C188" s="1123" t="s">
        <v>551</v>
      </c>
      <c r="D188" s="949"/>
      <c r="E188" s="949"/>
      <c r="F188" s="949"/>
      <c r="G188" s="949"/>
      <c r="H188" s="949"/>
      <c r="I188" s="949"/>
      <c r="J188" s="742">
        <f>J63</f>
        <v>1660.01</v>
      </c>
      <c r="K188" s="704"/>
    </row>
    <row r="189" spans="1:11" ht="15.75" customHeight="1">
      <c r="A189" s="579"/>
      <c r="B189" s="768" t="s">
        <v>371</v>
      </c>
      <c r="C189" s="1123" t="s">
        <v>552</v>
      </c>
      <c r="D189" s="949"/>
      <c r="E189" s="949"/>
      <c r="F189" s="949"/>
      <c r="G189" s="949"/>
      <c r="H189" s="949"/>
      <c r="I189" s="949"/>
      <c r="J189" s="742">
        <f>J115</f>
        <v>886.08</v>
      </c>
      <c r="K189" s="704"/>
    </row>
    <row r="190" spans="1:11" ht="15.75" customHeight="1">
      <c r="A190" s="579"/>
      <c r="B190" s="768" t="s">
        <v>373</v>
      </c>
      <c r="C190" s="1123" t="s">
        <v>553</v>
      </c>
      <c r="D190" s="949"/>
      <c r="E190" s="949"/>
      <c r="F190" s="949"/>
      <c r="G190" s="949"/>
      <c r="H190" s="949"/>
      <c r="I190" s="949"/>
      <c r="J190" s="742">
        <f>J124</f>
        <v>93</v>
      </c>
      <c r="K190" s="704"/>
    </row>
    <row r="191" spans="1:11" ht="15.75" customHeight="1">
      <c r="A191" s="579"/>
      <c r="B191" s="768" t="s">
        <v>375</v>
      </c>
      <c r="C191" s="1123" t="s">
        <v>554</v>
      </c>
      <c r="D191" s="949"/>
      <c r="E191" s="949"/>
      <c r="F191" s="949"/>
      <c r="G191" s="949"/>
      <c r="H191" s="949"/>
      <c r="I191" s="949"/>
      <c r="J191" s="742">
        <f>J150</f>
        <v>239.23466666666675</v>
      </c>
      <c r="K191" s="704"/>
    </row>
    <row r="192" spans="1:11" ht="15.75" customHeight="1">
      <c r="A192" s="579"/>
      <c r="B192" s="768" t="s">
        <v>417</v>
      </c>
      <c r="C192" s="1123" t="s">
        <v>555</v>
      </c>
      <c r="D192" s="949"/>
      <c r="E192" s="949"/>
      <c r="F192" s="949"/>
      <c r="G192" s="949"/>
      <c r="H192" s="949"/>
      <c r="I192" s="949"/>
      <c r="J192" s="742" t="e">
        <f>J157</f>
        <v>#REF!</v>
      </c>
      <c r="K192" s="704"/>
    </row>
    <row r="193" spans="1:11" ht="15.75" customHeight="1">
      <c r="A193" s="579"/>
      <c r="B193" s="1124" t="s">
        <v>556</v>
      </c>
      <c r="C193" s="949"/>
      <c r="D193" s="949"/>
      <c r="E193" s="949"/>
      <c r="F193" s="949"/>
      <c r="G193" s="949"/>
      <c r="H193" s="949"/>
      <c r="I193" s="949"/>
      <c r="J193" s="743" t="e">
        <f>ROUND(SUM(J188:J192),2)</f>
        <v>#REF!</v>
      </c>
      <c r="K193" s="704"/>
    </row>
    <row r="194" spans="1:11" ht="15.75" customHeight="1">
      <c r="A194" s="579"/>
      <c r="B194" s="769" t="s">
        <v>421</v>
      </c>
      <c r="C194" s="1123" t="s">
        <v>528</v>
      </c>
      <c r="D194" s="949"/>
      <c r="E194" s="949"/>
      <c r="F194" s="949"/>
      <c r="G194" s="949"/>
      <c r="H194" s="949"/>
      <c r="I194" s="949"/>
      <c r="J194" s="742" t="e">
        <f>J177</f>
        <v>#REF!</v>
      </c>
      <c r="K194" s="704"/>
    </row>
    <row r="195" spans="1:11" ht="15.75" customHeight="1">
      <c r="A195" s="579"/>
      <c r="B195" s="1124" t="s">
        <v>666</v>
      </c>
      <c r="C195" s="949"/>
      <c r="D195" s="949"/>
      <c r="E195" s="949"/>
      <c r="F195" s="949"/>
      <c r="G195" s="949"/>
      <c r="H195" s="949"/>
      <c r="I195" s="949"/>
      <c r="J195" s="743" t="e">
        <f>J193+J194</f>
        <v>#REF!</v>
      </c>
      <c r="K195" s="704"/>
    </row>
    <row r="196" spans="1:11" ht="33.75" customHeight="1">
      <c r="A196" s="579"/>
      <c r="B196" s="1169" t="s">
        <v>558</v>
      </c>
      <c r="C196" s="949"/>
      <c r="D196" s="949"/>
      <c r="E196" s="949"/>
      <c r="F196" s="949"/>
      <c r="G196" s="949"/>
      <c r="H196" s="949"/>
      <c r="I196" s="949"/>
      <c r="J196" s="950"/>
      <c r="K196" s="874"/>
    </row>
    <row r="197" spans="1:11" ht="10.5" customHeight="1">
      <c r="A197" s="579"/>
      <c r="B197" s="1170"/>
      <c r="C197" s="949"/>
      <c r="D197" s="949"/>
      <c r="E197" s="949"/>
      <c r="F197" s="949"/>
      <c r="G197" s="949"/>
      <c r="H197" s="949"/>
      <c r="I197" s="949"/>
      <c r="J197" s="950"/>
      <c r="K197" s="771"/>
    </row>
    <row r="198" spans="1:11" ht="15.75" customHeight="1">
      <c r="A198" s="579"/>
      <c r="B198" s="772"/>
      <c r="C198" s="587"/>
      <c r="D198" s="587"/>
      <c r="E198" s="587"/>
      <c r="F198" s="587"/>
      <c r="G198" s="587"/>
      <c r="H198" s="587"/>
      <c r="I198" s="773"/>
      <c r="J198" s="774"/>
      <c r="K198" s="773"/>
    </row>
    <row r="199" spans="1:11" ht="15.75" customHeight="1">
      <c r="A199" s="579"/>
      <c r="B199" s="1129" t="s">
        <v>559</v>
      </c>
      <c r="C199" s="947"/>
      <c r="D199" s="947"/>
      <c r="E199" s="947"/>
      <c r="F199" s="947"/>
      <c r="G199" s="947"/>
      <c r="H199" s="947"/>
      <c r="I199" s="947"/>
      <c r="J199" s="1020"/>
      <c r="K199" s="588"/>
    </row>
    <row r="200" spans="1:11" ht="38.25" customHeight="1">
      <c r="A200" s="579"/>
      <c r="B200" s="1075" t="s">
        <v>560</v>
      </c>
      <c r="C200" s="949"/>
      <c r="D200" s="949"/>
      <c r="E200" s="950"/>
      <c r="F200" s="1075" t="s">
        <v>667</v>
      </c>
      <c r="G200" s="950"/>
      <c r="H200" s="749" t="s">
        <v>563</v>
      </c>
      <c r="I200" s="1075" t="s">
        <v>564</v>
      </c>
      <c r="J200" s="950"/>
      <c r="K200" s="593"/>
    </row>
    <row r="201" spans="1:11" ht="39" hidden="1" customHeight="1" outlineLevel="1">
      <c r="A201" s="579"/>
      <c r="B201" s="1051" t="s">
        <v>565</v>
      </c>
      <c r="C201" s="949"/>
      <c r="D201" s="949"/>
      <c r="E201" s="950"/>
      <c r="F201" s="1140">
        <v>0</v>
      </c>
      <c r="G201" s="950"/>
      <c r="H201" s="875">
        <f t="shared" ref="H201:H202" si="5">E201*F201</f>
        <v>0</v>
      </c>
      <c r="I201" s="1140">
        <f t="shared" ref="I201:I203" si="6">F201*H201</f>
        <v>0</v>
      </c>
      <c r="J201" s="950"/>
      <c r="K201" s="779"/>
    </row>
    <row r="202" spans="1:11" ht="39" hidden="1" customHeight="1" outlineLevel="1">
      <c r="A202" s="579"/>
      <c r="B202" s="1051" t="s">
        <v>566</v>
      </c>
      <c r="C202" s="949"/>
      <c r="D202" s="949"/>
      <c r="E202" s="950"/>
      <c r="F202" s="1140">
        <v>0</v>
      </c>
      <c r="G202" s="950"/>
      <c r="H202" s="875">
        <f t="shared" si="5"/>
        <v>0</v>
      </c>
      <c r="I202" s="1140">
        <f t="shared" si="6"/>
        <v>0</v>
      </c>
      <c r="J202" s="950"/>
      <c r="K202" s="779"/>
    </row>
    <row r="203" spans="1:11" ht="39" customHeight="1" collapsed="1">
      <c r="A203" s="579"/>
      <c r="B203" s="1141" t="str">
        <f>B3</f>
        <v>A NÃO TEM MAIS POSTOS-44</v>
      </c>
      <c r="C203" s="949"/>
      <c r="D203" s="949"/>
      <c r="E203" s="950"/>
      <c r="F203" s="1131" t="e">
        <f>J195</f>
        <v>#REF!</v>
      </c>
      <c r="G203" s="950"/>
      <c r="H203" s="875">
        <f>I17</f>
        <v>0</v>
      </c>
      <c r="I203" s="1140" t="e">
        <f t="shared" si="6"/>
        <v>#REF!</v>
      </c>
      <c r="J203" s="950"/>
      <c r="K203" s="779"/>
    </row>
    <row r="204" spans="1:11" ht="39" hidden="1" customHeight="1" outlineLevel="1">
      <c r="A204" s="579"/>
      <c r="B204" s="1051" t="s">
        <v>567</v>
      </c>
      <c r="C204" s="949"/>
      <c r="D204" s="949"/>
      <c r="E204" s="950"/>
      <c r="F204" s="1131">
        <v>0</v>
      </c>
      <c r="G204" s="950"/>
      <c r="H204" s="875">
        <f t="shared" ref="H204:I204" si="7">E204*G204</f>
        <v>0</v>
      </c>
      <c r="I204" s="1140">
        <f t="shared" si="7"/>
        <v>0</v>
      </c>
      <c r="J204" s="950"/>
      <c r="K204" s="779"/>
    </row>
    <row r="205" spans="1:11" ht="39" hidden="1" customHeight="1" outlineLevel="1">
      <c r="A205" s="579"/>
      <c r="B205" s="1051" t="s">
        <v>568</v>
      </c>
      <c r="C205" s="949"/>
      <c r="D205" s="949"/>
      <c r="E205" s="950"/>
      <c r="F205" s="1131">
        <v>0</v>
      </c>
      <c r="G205" s="950"/>
      <c r="H205" s="875">
        <f t="shared" ref="H205:I205" si="8">E205*G205</f>
        <v>0</v>
      </c>
      <c r="I205" s="1140">
        <f t="shared" si="8"/>
        <v>0</v>
      </c>
      <c r="J205" s="950"/>
      <c r="K205" s="779"/>
    </row>
    <row r="206" spans="1:11" ht="15.75" hidden="1" customHeight="1" outlineLevel="1">
      <c r="A206" s="579"/>
      <c r="B206" s="1142" t="s">
        <v>974</v>
      </c>
      <c r="C206" s="949"/>
      <c r="D206" s="949"/>
      <c r="E206" s="950"/>
      <c r="F206" s="1140">
        <v>0</v>
      </c>
      <c r="G206" s="950"/>
      <c r="H206" s="875">
        <f t="shared" ref="H206:I206" si="9">E206*G206</f>
        <v>0</v>
      </c>
      <c r="I206" s="1140">
        <f t="shared" si="9"/>
        <v>0</v>
      </c>
      <c r="J206" s="950"/>
      <c r="K206" s="779"/>
    </row>
    <row r="207" spans="1:11" ht="15.75" customHeight="1" collapsed="1">
      <c r="A207" s="579"/>
      <c r="B207" s="1143" t="s">
        <v>570</v>
      </c>
      <c r="C207" s="949"/>
      <c r="D207" s="949"/>
      <c r="E207" s="949"/>
      <c r="F207" s="949"/>
      <c r="G207" s="950"/>
      <c r="H207" s="906">
        <f>SUM(H201:H206)</f>
        <v>0</v>
      </c>
      <c r="I207" s="1176" t="e">
        <f>SUM(I201:J206)</f>
        <v>#REF!</v>
      </c>
      <c r="J207" s="950"/>
      <c r="K207" s="786"/>
    </row>
    <row r="208" spans="1:11" ht="6" customHeight="1">
      <c r="A208" s="579"/>
      <c r="B208" s="1144"/>
      <c r="C208" s="1145"/>
      <c r="D208" s="1145"/>
      <c r="E208" s="1145"/>
      <c r="F208" s="1145"/>
      <c r="G208" s="1145"/>
      <c r="H208" s="1145"/>
      <c r="I208" s="1145"/>
      <c r="J208" s="1146"/>
      <c r="K208" s="715"/>
    </row>
    <row r="209" spans="1:11" ht="15.75" customHeight="1">
      <c r="A209" s="579"/>
      <c r="B209" s="1147" t="s">
        <v>571</v>
      </c>
      <c r="C209" s="1037"/>
      <c r="D209" s="1037"/>
      <c r="E209" s="1037"/>
      <c r="F209" s="1037"/>
      <c r="G209" s="1037"/>
      <c r="H209" s="1037"/>
      <c r="I209" s="1037"/>
      <c r="J209" s="1038"/>
      <c r="K209" s="596"/>
    </row>
    <row r="210" spans="1:11" ht="6" customHeight="1">
      <c r="A210" s="579"/>
      <c r="B210" s="1148"/>
      <c r="C210" s="949"/>
      <c r="D210" s="949"/>
      <c r="E210" s="949"/>
      <c r="F210" s="949"/>
      <c r="G210" s="949"/>
      <c r="H210" s="949"/>
      <c r="I210" s="949"/>
      <c r="J210" s="950"/>
      <c r="K210" s="787"/>
    </row>
    <row r="211" spans="1:11" ht="15.75" customHeight="1">
      <c r="A211" s="579"/>
      <c r="B211" s="1072" t="s">
        <v>572</v>
      </c>
      <c r="C211" s="949"/>
      <c r="D211" s="949"/>
      <c r="E211" s="949"/>
      <c r="F211" s="949"/>
      <c r="G211" s="950"/>
      <c r="H211" s="1149" t="e">
        <f>$I$207</f>
        <v>#REF!</v>
      </c>
      <c r="I211" s="949"/>
      <c r="J211" s="950"/>
      <c r="K211" s="788"/>
    </row>
    <row r="212" spans="1:11" ht="6" customHeight="1">
      <c r="A212" s="579"/>
      <c r="B212" s="1135"/>
      <c r="C212" s="954"/>
      <c r="D212" s="954"/>
      <c r="E212" s="954"/>
      <c r="F212" s="954"/>
      <c r="G212" s="954"/>
      <c r="H212" s="954"/>
      <c r="I212" s="954"/>
      <c r="J212" s="1136"/>
      <c r="K212" s="789"/>
    </row>
    <row r="213" spans="1:11" ht="15.75" customHeight="1">
      <c r="A213" s="579"/>
      <c r="B213" s="1072" t="s">
        <v>573</v>
      </c>
      <c r="C213" s="949"/>
      <c r="D213" s="949"/>
      <c r="E213" s="949"/>
      <c r="F213" s="949"/>
      <c r="G213" s="950"/>
      <c r="H213" s="1073">
        <f>$I$11</f>
        <v>30</v>
      </c>
      <c r="I213" s="949"/>
      <c r="J213" s="950"/>
      <c r="K213" s="790"/>
    </row>
    <row r="214" spans="1:11" ht="6" customHeight="1">
      <c r="A214" s="579"/>
      <c r="B214" s="1137"/>
      <c r="C214" s="949"/>
      <c r="D214" s="949"/>
      <c r="E214" s="949"/>
      <c r="F214" s="949"/>
      <c r="G214" s="949"/>
      <c r="H214" s="949"/>
      <c r="I214" s="949"/>
      <c r="J214" s="950"/>
      <c r="K214" s="791"/>
    </row>
    <row r="215" spans="1:11" ht="15.75" customHeight="1">
      <c r="A215" s="579"/>
      <c r="B215" s="1072" t="s">
        <v>975</v>
      </c>
      <c r="C215" s="949"/>
      <c r="D215" s="949"/>
      <c r="E215" s="949"/>
      <c r="F215" s="949"/>
      <c r="G215" s="950"/>
      <c r="H215" s="1138" t="e">
        <f>ROUND(H211*H213,2)</f>
        <v>#REF!</v>
      </c>
      <c r="I215" s="949"/>
      <c r="J215" s="950"/>
      <c r="K215" s="792"/>
    </row>
    <row r="216" spans="1:11" ht="6" customHeight="1">
      <c r="A216" s="579"/>
      <c r="B216" s="1139"/>
      <c r="C216" s="949"/>
      <c r="D216" s="949"/>
      <c r="E216" s="949"/>
      <c r="F216" s="949"/>
      <c r="G216" s="949"/>
      <c r="H216" s="949"/>
      <c r="I216" s="949"/>
      <c r="J216" s="950"/>
      <c r="K216" s="587"/>
    </row>
    <row r="217" spans="1:11" ht="15.75" customHeight="1">
      <c r="A217" s="579"/>
      <c r="B217" s="579"/>
      <c r="C217" s="579"/>
      <c r="D217" s="579"/>
      <c r="E217" s="579"/>
      <c r="F217" s="579"/>
      <c r="G217" s="579"/>
      <c r="H217" s="579"/>
      <c r="I217" s="579"/>
      <c r="J217" s="579"/>
      <c r="K217" s="579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1">
    <mergeCell ref="I206:J206"/>
    <mergeCell ref="I207:J207"/>
    <mergeCell ref="B202:E202"/>
    <mergeCell ref="F202:G202"/>
    <mergeCell ref="I202:J202"/>
    <mergeCell ref="B203:E203"/>
    <mergeCell ref="F203:G203"/>
    <mergeCell ref="B204:E204"/>
    <mergeCell ref="F204:G204"/>
    <mergeCell ref="B207:G207"/>
    <mergeCell ref="B200:E200"/>
    <mergeCell ref="F200:G200"/>
    <mergeCell ref="I200:J200"/>
    <mergeCell ref="B201:E201"/>
    <mergeCell ref="F201:G201"/>
    <mergeCell ref="I201:J201"/>
    <mergeCell ref="I203:J203"/>
    <mergeCell ref="I204:J204"/>
    <mergeCell ref="I205:J205"/>
    <mergeCell ref="C190:I190"/>
    <mergeCell ref="C191:I191"/>
    <mergeCell ref="C192:I192"/>
    <mergeCell ref="B193:I193"/>
    <mergeCell ref="C194:I194"/>
    <mergeCell ref="B195:I195"/>
    <mergeCell ref="B196:J196"/>
    <mergeCell ref="B197:J197"/>
    <mergeCell ref="B199:J199"/>
    <mergeCell ref="B208:J208"/>
    <mergeCell ref="B209:J209"/>
    <mergeCell ref="B215:G215"/>
    <mergeCell ref="H215:J215"/>
    <mergeCell ref="B216:J216"/>
    <mergeCell ref="B210:J210"/>
    <mergeCell ref="B211:G211"/>
    <mergeCell ref="H211:J211"/>
    <mergeCell ref="B212:J212"/>
    <mergeCell ref="B213:G213"/>
    <mergeCell ref="H213:J213"/>
    <mergeCell ref="B214:J214"/>
    <mergeCell ref="B205:E205"/>
    <mergeCell ref="F205:G205"/>
    <mergeCell ref="B206:E206"/>
    <mergeCell ref="F206:G206"/>
    <mergeCell ref="C171:H171"/>
    <mergeCell ref="C172:H172"/>
    <mergeCell ref="C173:H173"/>
    <mergeCell ref="C174:H174"/>
    <mergeCell ref="C175:H175"/>
    <mergeCell ref="C176:H176"/>
    <mergeCell ref="B177:I177"/>
    <mergeCell ref="B178:J178"/>
    <mergeCell ref="B179:H179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88:I188"/>
    <mergeCell ref="C189:I189"/>
    <mergeCell ref="B76:J76"/>
    <mergeCell ref="C120:I120"/>
    <mergeCell ref="C121:I121"/>
    <mergeCell ref="C122:I122"/>
    <mergeCell ref="C123:H123"/>
    <mergeCell ref="B124:I124"/>
    <mergeCell ref="B125:J125"/>
    <mergeCell ref="B126:J126"/>
    <mergeCell ref="B127:J127"/>
    <mergeCell ref="B115:I115"/>
    <mergeCell ref="B116:J116"/>
    <mergeCell ref="B117:J117"/>
    <mergeCell ref="C118:I118"/>
    <mergeCell ref="C119:I119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C114:I114"/>
    <mergeCell ref="C97:I97"/>
    <mergeCell ref="B67:J67"/>
    <mergeCell ref="B68:J68"/>
    <mergeCell ref="C69:I69"/>
    <mergeCell ref="C70:H70"/>
    <mergeCell ref="C71:H71"/>
    <mergeCell ref="B72:I72"/>
    <mergeCell ref="B73:J73"/>
    <mergeCell ref="B74:J74"/>
    <mergeCell ref="B75:J75"/>
    <mergeCell ref="B58:I58"/>
    <mergeCell ref="C59:I59"/>
    <mergeCell ref="C60:I60"/>
    <mergeCell ref="B61:I61"/>
    <mergeCell ref="B62:J62"/>
    <mergeCell ref="B63:I63"/>
    <mergeCell ref="B64:J64"/>
    <mergeCell ref="B65:J65"/>
    <mergeCell ref="B66:J66"/>
    <mergeCell ref="C50:F50"/>
    <mergeCell ref="G50:H50"/>
    <mergeCell ref="C51:E51"/>
    <mergeCell ref="C52:I52"/>
    <mergeCell ref="C53:I53"/>
    <mergeCell ref="C54:E54"/>
    <mergeCell ref="C55:E55"/>
    <mergeCell ref="C56:I56"/>
    <mergeCell ref="C57:I57"/>
    <mergeCell ref="B42:J42"/>
    <mergeCell ref="B43:J43"/>
    <mergeCell ref="B44:J44"/>
    <mergeCell ref="B45:J45"/>
    <mergeCell ref="C46:H46"/>
    <mergeCell ref="C47:F47"/>
    <mergeCell ref="C48:E48"/>
    <mergeCell ref="F48:H48"/>
    <mergeCell ref="C49:H49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C33:F33"/>
    <mergeCell ref="C34:F34"/>
    <mergeCell ref="G34:H34"/>
    <mergeCell ref="I34:J34"/>
    <mergeCell ref="C35:F35"/>
    <mergeCell ref="G35:H35"/>
    <mergeCell ref="I35:J35"/>
    <mergeCell ref="C36:H36"/>
    <mergeCell ref="I36:J36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B163:H163"/>
    <mergeCell ref="C168:H168"/>
    <mergeCell ref="C169:H169"/>
    <mergeCell ref="C170:H170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B158:J158"/>
    <mergeCell ref="B157:I157"/>
    <mergeCell ref="C164:H164"/>
    <mergeCell ref="B165:H165"/>
    <mergeCell ref="C166:H166"/>
    <mergeCell ref="B167:H167"/>
    <mergeCell ref="B128:J128"/>
    <mergeCell ref="B130:J130"/>
    <mergeCell ref="B131:J131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B141:J141"/>
    <mergeCell ref="C142:I142"/>
    <mergeCell ref="C143:I143"/>
    <mergeCell ref="B159:J159"/>
    <mergeCell ref="B161:J161"/>
    <mergeCell ref="C162:H162"/>
    <mergeCell ref="C77:H77"/>
    <mergeCell ref="C78:H78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B89:J89"/>
    <mergeCell ref="B90:J90"/>
    <mergeCell ref="C91:I91"/>
    <mergeCell ref="C92:H92"/>
    <mergeCell ref="C93:H93"/>
    <mergeCell ref="C94:H94"/>
    <mergeCell ref="C95:H95"/>
    <mergeCell ref="C96:H96"/>
    <mergeCell ref="C149:I149"/>
    <mergeCell ref="B150:I150"/>
    <mergeCell ref="B151:J151"/>
    <mergeCell ref="B152:J152"/>
    <mergeCell ref="C153:I153"/>
    <mergeCell ref="C154:I154"/>
    <mergeCell ref="C155:I155"/>
    <mergeCell ref="C156:I156"/>
    <mergeCell ref="C98:H98"/>
    <mergeCell ref="C99:H99"/>
    <mergeCell ref="C100:H100"/>
    <mergeCell ref="C101:I101"/>
    <mergeCell ref="C102:I102"/>
    <mergeCell ref="C103:I103"/>
    <mergeCell ref="C104:I104"/>
    <mergeCell ref="C105:I105"/>
    <mergeCell ref="B144:I144"/>
    <mergeCell ref="B145:J145"/>
    <mergeCell ref="B146:J146"/>
    <mergeCell ref="C147:I147"/>
    <mergeCell ref="C148:I148"/>
  </mergeCells>
  <conditionalFormatting sqref="I49:I50">
    <cfRule type="cellIs" dxfId="11" priority="1" operator="equal">
      <formula>0</formula>
    </cfRule>
  </conditionalFormatting>
  <conditionalFormatting sqref="I48">
    <cfRule type="cellIs" dxfId="10" priority="2" operator="equal">
      <formula>0</formula>
    </cfRule>
  </conditionalFormatting>
  <pageMargins left="0.511811024" right="0.511811024" top="0.78740157499999996" bottom="0.78740157499999996" header="0" footer="0"/>
  <pageSetup orientation="landscape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3FB25"/>
  </sheetPr>
  <dimension ref="A1:K1000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7" width="14.85546875" customWidth="1"/>
    <col min="8" max="8" width="14.42578125" customWidth="1"/>
    <col min="9" max="9" width="11.28515625" customWidth="1"/>
    <col min="10" max="10" width="18.5703125" customWidth="1"/>
    <col min="11" max="11" width="1.42578125" customWidth="1"/>
  </cols>
  <sheetData>
    <row r="1" spans="1:11" ht="11.25" customHeight="1">
      <c r="A1" s="579"/>
      <c r="B1" s="579"/>
      <c r="C1" s="579"/>
      <c r="D1" s="579"/>
      <c r="E1" s="579"/>
      <c r="F1" s="579"/>
      <c r="G1" s="579"/>
      <c r="H1" s="579"/>
      <c r="I1" s="579"/>
      <c r="J1" s="904"/>
      <c r="K1" s="579"/>
    </row>
    <row r="2" spans="1:11" ht="11.25" customHeight="1">
      <c r="A2" s="579"/>
      <c r="B2" s="1066" t="str">
        <f>'1-ABA-DE-CARREGAMENTO'!C11</f>
        <v xml:space="preserve"> S E R V I Ç O S     -    INTERPRETE DE LIBRAS e SINAIS </v>
      </c>
      <c r="C2" s="1054"/>
      <c r="D2" s="1054"/>
      <c r="E2" s="1054"/>
      <c r="F2" s="1054"/>
      <c r="G2" s="1054"/>
      <c r="H2" s="1054"/>
      <c r="I2" s="1054"/>
      <c r="J2" s="1055"/>
      <c r="K2" s="583"/>
    </row>
    <row r="3" spans="1:11" ht="11.25" customHeight="1">
      <c r="A3" s="579"/>
      <c r="B3" s="1067" t="str">
        <f>'1-ABA-DE-CARREGAMENTO'!J33</f>
        <v>A NÃO TEM MAIS POSTOS-55</v>
      </c>
      <c r="C3" s="1037"/>
      <c r="D3" s="1037"/>
      <c r="E3" s="1037"/>
      <c r="F3" s="1037"/>
      <c r="G3" s="1037"/>
      <c r="H3" s="1037"/>
      <c r="I3" s="1037"/>
      <c r="J3" s="1038"/>
      <c r="K3" s="584"/>
    </row>
    <row r="4" spans="1:11" ht="11.25" customHeight="1">
      <c r="A4" s="579"/>
      <c r="B4" s="1060" t="s">
        <v>366</v>
      </c>
      <c r="C4" s="1037"/>
      <c r="D4" s="1037"/>
      <c r="E4" s="1037"/>
      <c r="F4" s="1038"/>
      <c r="G4" s="1068">
        <f>'1-ABA-DE-CARREGAMENTO'!C12</f>
        <v>0</v>
      </c>
      <c r="H4" s="1037"/>
      <c r="I4" s="1037"/>
      <c r="J4" s="1038"/>
      <c r="K4" s="585"/>
    </row>
    <row r="5" spans="1:11" ht="11.25" customHeight="1">
      <c r="A5" s="579"/>
      <c r="B5" s="1051" t="s">
        <v>367</v>
      </c>
      <c r="C5" s="949"/>
      <c r="D5" s="949"/>
      <c r="E5" s="949"/>
      <c r="F5" s="950"/>
      <c r="G5" s="1069">
        <f>'1-ABA-DE-CARREGAMENTO'!C13</f>
        <v>0</v>
      </c>
      <c r="H5" s="949"/>
      <c r="I5" s="949"/>
      <c r="J5" s="950"/>
      <c r="K5" s="585"/>
    </row>
    <row r="6" spans="1:11" ht="11.25" customHeight="1">
      <c r="A6" s="579"/>
      <c r="B6" s="1070">
        <f>'1-ABA-DE-CARREGAMENTO'!C16</f>
        <v>0</v>
      </c>
      <c r="C6" s="949"/>
      <c r="D6" s="949"/>
      <c r="E6" s="949"/>
      <c r="F6" s="949"/>
      <c r="G6" s="949"/>
      <c r="H6" s="949"/>
      <c r="I6" s="949"/>
      <c r="J6" s="950"/>
      <c r="K6" s="587"/>
    </row>
    <row r="7" spans="1:11" ht="11.25" customHeight="1">
      <c r="A7" s="579"/>
      <c r="B7" s="1050" t="s">
        <v>368</v>
      </c>
      <c r="C7" s="949"/>
      <c r="D7" s="949"/>
      <c r="E7" s="949"/>
      <c r="F7" s="949"/>
      <c r="G7" s="949"/>
      <c r="H7" s="949"/>
      <c r="I7" s="949"/>
      <c r="J7" s="950"/>
      <c r="K7" s="588"/>
    </row>
    <row r="8" spans="1:11" ht="11.25" customHeight="1">
      <c r="A8" s="579"/>
      <c r="B8" s="589" t="s">
        <v>369</v>
      </c>
      <c r="C8" s="1051" t="s">
        <v>370</v>
      </c>
      <c r="D8" s="949"/>
      <c r="E8" s="949"/>
      <c r="F8" s="949"/>
      <c r="G8" s="949"/>
      <c r="H8" s="950"/>
      <c r="I8" s="1071">
        <f>'1-ABA-DE-CARREGAMENTO'!C16</f>
        <v>0</v>
      </c>
      <c r="J8" s="950"/>
      <c r="K8" s="590"/>
    </row>
    <row r="9" spans="1:11" ht="11.25" customHeight="1">
      <c r="A9" s="579"/>
      <c r="B9" s="589" t="s">
        <v>371</v>
      </c>
      <c r="C9" s="1051" t="s">
        <v>372</v>
      </c>
      <c r="D9" s="949"/>
      <c r="E9" s="949"/>
      <c r="F9" s="949"/>
      <c r="G9" s="949"/>
      <c r="H9" s="950"/>
      <c r="I9" s="1069" t="str">
        <f>'1-ABA-DE-CARREGAMENTO'!C14</f>
        <v xml:space="preserve">SANTO-AUGUSTO </v>
      </c>
      <c r="J9" s="950"/>
      <c r="K9" s="585"/>
    </row>
    <row r="10" spans="1:11" ht="11.25" customHeight="1">
      <c r="A10" s="579"/>
      <c r="B10" s="589" t="s">
        <v>373</v>
      </c>
      <c r="C10" s="1051" t="s">
        <v>374</v>
      </c>
      <c r="D10" s="949"/>
      <c r="E10" s="949"/>
      <c r="F10" s="949"/>
      <c r="G10" s="949"/>
      <c r="H10" s="950"/>
      <c r="I10" s="1069" t="str">
        <f>VLOOKUP('1-ABA-DE-CARREGAMENTO'!J35,'DADOS-CADASTRAIS'!C6:J16,1,0)</f>
        <v>RS000947/2019-</v>
      </c>
      <c r="J10" s="950"/>
      <c r="K10" s="585"/>
    </row>
    <row r="11" spans="1:11" ht="11.25" customHeight="1">
      <c r="A11" s="579"/>
      <c r="B11" s="589" t="s">
        <v>375</v>
      </c>
      <c r="C11" s="1051" t="s">
        <v>376</v>
      </c>
      <c r="D11" s="949"/>
      <c r="E11" s="949"/>
      <c r="F11" s="949"/>
      <c r="G11" s="949"/>
      <c r="H11" s="950"/>
      <c r="I11" s="1175">
        <f>'1-ABA-DE-CARREGAMENTO'!J94</f>
        <v>30</v>
      </c>
      <c r="J11" s="950"/>
      <c r="K11" s="585"/>
    </row>
    <row r="12" spans="1:11" ht="11.25" customHeight="1">
      <c r="A12" s="579"/>
      <c r="B12" s="1074" t="s">
        <v>377</v>
      </c>
      <c r="C12" s="949"/>
      <c r="D12" s="949"/>
      <c r="E12" s="949"/>
      <c r="F12" s="949"/>
      <c r="G12" s="949"/>
      <c r="H12" s="949"/>
      <c r="I12" s="949"/>
      <c r="J12" s="950"/>
      <c r="K12" s="592"/>
    </row>
    <row r="13" spans="1:11" ht="33.75" customHeight="1">
      <c r="A13" s="579"/>
      <c r="B13" s="1075" t="str">
        <f>'1-ABA-DE-CARREGAMENTO'!C11</f>
        <v xml:space="preserve"> S E R V I Ç O S     -    INTERPRETE DE LIBRAS e SINAIS </v>
      </c>
      <c r="C13" s="949"/>
      <c r="D13" s="949"/>
      <c r="E13" s="949"/>
      <c r="F13" s="949"/>
      <c r="G13" s="1075" t="s">
        <v>378</v>
      </c>
      <c r="H13" s="950"/>
      <c r="I13" s="1075" t="s">
        <v>379</v>
      </c>
      <c r="J13" s="950"/>
      <c r="K13" s="593"/>
    </row>
    <row r="14" spans="1:11" ht="11.25" hidden="1" customHeight="1" outlineLevel="1">
      <c r="A14" s="579"/>
      <c r="B14" s="1040" t="s">
        <v>380</v>
      </c>
      <c r="C14" s="949"/>
      <c r="D14" s="949"/>
      <c r="E14" s="949"/>
      <c r="F14" s="950"/>
      <c r="G14" s="1041" t="s">
        <v>381</v>
      </c>
      <c r="H14" s="950"/>
      <c r="I14" s="1042" t="s">
        <v>382</v>
      </c>
      <c r="J14" s="950"/>
      <c r="K14" s="594"/>
    </row>
    <row r="15" spans="1:11" ht="11.25" hidden="1" customHeight="1" outlineLevel="1">
      <c r="A15" s="579"/>
      <c r="B15" s="1040" t="s">
        <v>383</v>
      </c>
      <c r="C15" s="949"/>
      <c r="D15" s="949"/>
      <c r="E15" s="949"/>
      <c r="F15" s="950"/>
      <c r="G15" s="1041" t="s">
        <v>381</v>
      </c>
      <c r="H15" s="950"/>
      <c r="I15" s="1042" t="s">
        <v>382</v>
      </c>
      <c r="J15" s="950"/>
      <c r="K15" s="594"/>
    </row>
    <row r="16" spans="1:11" ht="11.25" hidden="1" customHeight="1" outlineLevel="1">
      <c r="A16" s="579"/>
      <c r="B16" s="1040" t="s">
        <v>384</v>
      </c>
      <c r="C16" s="949"/>
      <c r="D16" s="949"/>
      <c r="E16" s="949"/>
      <c r="F16" s="950"/>
      <c r="G16" s="1041" t="s">
        <v>381</v>
      </c>
      <c r="H16" s="950"/>
      <c r="I16" s="1042" t="s">
        <v>382</v>
      </c>
      <c r="J16" s="950"/>
      <c r="K16" s="594"/>
    </row>
    <row r="17" spans="1:11" ht="11.25" customHeight="1" collapsed="1">
      <c r="A17" s="579"/>
      <c r="B17" s="1040" t="str">
        <f>B3</f>
        <v>A NÃO TEM MAIS POSTOS-55</v>
      </c>
      <c r="C17" s="949"/>
      <c r="D17" s="949"/>
      <c r="E17" s="949"/>
      <c r="F17" s="950"/>
      <c r="G17" s="1041" t="s">
        <v>381</v>
      </c>
      <c r="H17" s="950"/>
      <c r="I17" s="1042">
        <f>'1-ABA-DE-CARREGAMENTO'!J92</f>
        <v>0</v>
      </c>
      <c r="J17" s="950"/>
      <c r="K17" s="594"/>
    </row>
    <row r="18" spans="1:11" ht="11.25" hidden="1" customHeight="1" outlineLevel="1">
      <c r="A18" s="579"/>
      <c r="B18" s="1040" t="s">
        <v>385</v>
      </c>
      <c r="C18" s="949"/>
      <c r="D18" s="949"/>
      <c r="E18" s="949"/>
      <c r="F18" s="950"/>
      <c r="G18" s="1041" t="s">
        <v>381</v>
      </c>
      <c r="H18" s="950"/>
      <c r="I18" s="1042" t="s">
        <v>382</v>
      </c>
      <c r="J18" s="950"/>
      <c r="K18" s="594"/>
    </row>
    <row r="19" spans="1:11" ht="11.25" hidden="1" customHeight="1" outlineLevel="1">
      <c r="A19" s="579"/>
      <c r="B19" s="1040" t="s">
        <v>976</v>
      </c>
      <c r="C19" s="949"/>
      <c r="D19" s="949"/>
      <c r="E19" s="949"/>
      <c r="F19" s="950"/>
      <c r="G19" s="1041" t="s">
        <v>381</v>
      </c>
      <c r="H19" s="950"/>
      <c r="I19" s="1042" t="s">
        <v>382</v>
      </c>
      <c r="J19" s="950"/>
      <c r="K19" s="594"/>
    </row>
    <row r="20" spans="1:11" ht="11.25" customHeight="1" collapsed="1">
      <c r="A20" s="579"/>
      <c r="B20" s="1044" t="s">
        <v>387</v>
      </c>
      <c r="C20" s="949"/>
      <c r="D20" s="949"/>
      <c r="E20" s="949"/>
      <c r="F20" s="949"/>
      <c r="G20" s="949"/>
      <c r="H20" s="950"/>
      <c r="I20" s="1043">
        <f>SUM(I14:I19)</f>
        <v>0</v>
      </c>
      <c r="J20" s="950"/>
      <c r="K20" s="595"/>
    </row>
    <row r="21" spans="1:11" ht="11.25" customHeight="1">
      <c r="A21" s="579"/>
      <c r="B21" s="1045"/>
      <c r="C21" s="949"/>
      <c r="D21" s="949"/>
      <c r="E21" s="949"/>
      <c r="F21" s="949"/>
      <c r="G21" s="949"/>
      <c r="H21" s="949"/>
      <c r="I21" s="949"/>
      <c r="J21" s="950"/>
      <c r="K21" s="593"/>
    </row>
    <row r="22" spans="1:11" ht="11.25" customHeight="1">
      <c r="A22" s="579"/>
      <c r="B22" s="1046" t="s">
        <v>388</v>
      </c>
      <c r="C22" s="949"/>
      <c r="D22" s="949"/>
      <c r="E22" s="949"/>
      <c r="F22" s="949"/>
      <c r="G22" s="949"/>
      <c r="H22" s="949"/>
      <c r="I22" s="949"/>
      <c r="J22" s="950"/>
      <c r="K22" s="596"/>
    </row>
    <row r="23" spans="1:11" ht="11.25" customHeight="1">
      <c r="A23" s="579"/>
      <c r="B23" s="1047"/>
      <c r="C23" s="949"/>
      <c r="D23" s="949"/>
      <c r="E23" s="949"/>
      <c r="F23" s="949"/>
      <c r="G23" s="949"/>
      <c r="H23" s="949"/>
      <c r="I23" s="949"/>
      <c r="J23" s="950"/>
      <c r="K23" s="362"/>
    </row>
    <row r="24" spans="1:11" ht="15" customHeight="1">
      <c r="A24" s="579"/>
      <c r="B24" s="1048" t="s">
        <v>977</v>
      </c>
      <c r="C24" s="949"/>
      <c r="D24" s="949"/>
      <c r="E24" s="949"/>
      <c r="F24" s="949"/>
      <c r="G24" s="949"/>
      <c r="H24" s="949"/>
      <c r="I24" s="949"/>
      <c r="J24" s="950"/>
      <c r="K24" s="597"/>
    </row>
    <row r="25" spans="1:11" ht="15" customHeight="1">
      <c r="A25" s="579"/>
      <c r="B25" s="1049"/>
      <c r="C25" s="949"/>
      <c r="D25" s="949"/>
      <c r="E25" s="949"/>
      <c r="F25" s="949"/>
      <c r="G25" s="949"/>
      <c r="H25" s="949"/>
      <c r="I25" s="949"/>
      <c r="J25" s="950"/>
      <c r="K25" s="598"/>
    </row>
    <row r="26" spans="1:11" ht="11.25" customHeight="1">
      <c r="A26" s="593"/>
      <c r="B26" s="1050" t="s">
        <v>390</v>
      </c>
      <c r="C26" s="949"/>
      <c r="D26" s="949"/>
      <c r="E26" s="949"/>
      <c r="F26" s="949"/>
      <c r="G26" s="949"/>
      <c r="H26" s="949"/>
      <c r="I26" s="949"/>
      <c r="J26" s="950"/>
      <c r="K26" s="588"/>
    </row>
    <row r="27" spans="1:11" ht="28.5" customHeight="1">
      <c r="A27" s="579"/>
      <c r="B27" s="589">
        <v>1</v>
      </c>
      <c r="C27" s="1051" t="s">
        <v>391</v>
      </c>
      <c r="D27" s="949"/>
      <c r="E27" s="949"/>
      <c r="F27" s="949"/>
      <c r="G27" s="949"/>
      <c r="H27" s="950"/>
      <c r="I27" s="1052" t="str">
        <f>'1-ABA-DE-CARREGAMENTO'!J33</f>
        <v>A NÃO TEM MAIS POSTOS-55</v>
      </c>
      <c r="J27" s="950"/>
      <c r="K27" s="599"/>
    </row>
    <row r="28" spans="1:11" ht="11.25" customHeight="1">
      <c r="A28" s="579"/>
      <c r="B28" s="600">
        <v>2</v>
      </c>
      <c r="C28" s="1092" t="s">
        <v>392</v>
      </c>
      <c r="D28" s="949"/>
      <c r="E28" s="949"/>
      <c r="F28" s="949"/>
      <c r="G28" s="949"/>
      <c r="H28" s="950"/>
      <c r="I28" s="1056"/>
      <c r="J28" s="950"/>
      <c r="K28" s="601"/>
    </row>
    <row r="29" spans="1:11" ht="30" customHeight="1">
      <c r="A29" s="579"/>
      <c r="B29" s="589">
        <v>3</v>
      </c>
      <c r="C29" s="1057" t="s">
        <v>862</v>
      </c>
      <c r="D29" s="929"/>
      <c r="E29" s="907">
        <v>220</v>
      </c>
      <c r="F29" s="604">
        <f>'1-ABA-DE-CARREGAMENTO'!J37</f>
        <v>4128.0200000000004</v>
      </c>
      <c r="G29" s="586" t="s">
        <v>394</v>
      </c>
      <c r="H29" s="864">
        <f>'1-ABA-DE-CARREGAMENTO'!J52</f>
        <v>220</v>
      </c>
      <c r="I29" s="1058">
        <f>F29/E29*H29</f>
        <v>4128.0200000000004</v>
      </c>
      <c r="J29" s="950"/>
      <c r="K29" s="606"/>
    </row>
    <row r="30" spans="1:11" ht="11.25" customHeight="1">
      <c r="A30" s="579"/>
      <c r="B30" s="589">
        <v>4</v>
      </c>
      <c r="C30" s="1051" t="s">
        <v>395</v>
      </c>
      <c r="D30" s="949"/>
      <c r="E30" s="949"/>
      <c r="F30" s="949"/>
      <c r="G30" s="949"/>
      <c r="H30" s="950"/>
      <c r="I30" s="1059"/>
      <c r="J30" s="950"/>
      <c r="K30" s="607"/>
    </row>
    <row r="31" spans="1:11" ht="11.25" customHeight="1">
      <c r="A31" s="579"/>
      <c r="B31" s="589">
        <v>5</v>
      </c>
      <c r="C31" s="1051" t="s">
        <v>396</v>
      </c>
      <c r="D31" s="949"/>
      <c r="E31" s="949"/>
      <c r="F31" s="949"/>
      <c r="G31" s="949"/>
      <c r="H31" s="950"/>
      <c r="I31" s="1061" t="str">
        <f>'1-ABA-DE-CARREGAMENTO'!J36</f>
        <v>01 de FEVEREIRO</v>
      </c>
      <c r="J31" s="950"/>
      <c r="K31" s="608"/>
    </row>
    <row r="32" spans="1:11" ht="12.75" customHeight="1">
      <c r="A32" s="579"/>
      <c r="B32" s="609">
        <v>6</v>
      </c>
      <c r="C32" s="1062" t="s">
        <v>978</v>
      </c>
      <c r="D32" s="949"/>
      <c r="E32" s="949"/>
      <c r="F32" s="949"/>
      <c r="G32" s="949"/>
      <c r="H32" s="950"/>
      <c r="I32" s="1063">
        <f>ROUND(I29/220,2)*0</f>
        <v>0</v>
      </c>
      <c r="J32" s="950"/>
      <c r="K32" s="610"/>
    </row>
    <row r="33" spans="1:11" ht="26.25" customHeight="1">
      <c r="A33" s="579"/>
      <c r="B33" s="609">
        <v>7</v>
      </c>
      <c r="C33" s="1062" t="s">
        <v>979</v>
      </c>
      <c r="D33" s="949"/>
      <c r="E33" s="949"/>
      <c r="F33" s="950"/>
      <c r="G33" s="1064"/>
      <c r="H33" s="950"/>
      <c r="I33" s="1063">
        <f>SUM(J47:J50)/220</f>
        <v>18.763727272727273</v>
      </c>
      <c r="J33" s="950"/>
      <c r="K33" s="610"/>
    </row>
    <row r="34" spans="1:11" ht="26.25" customHeight="1">
      <c r="A34" s="579"/>
      <c r="B34" s="609">
        <v>8</v>
      </c>
      <c r="C34" s="1062" t="s">
        <v>980</v>
      </c>
      <c r="D34" s="949"/>
      <c r="E34" s="949"/>
      <c r="F34" s="950"/>
      <c r="G34" s="1064"/>
      <c r="H34" s="950"/>
      <c r="I34" s="1063">
        <f>TRUNC(I33*1.5,2)*0</f>
        <v>0</v>
      </c>
      <c r="J34" s="950"/>
      <c r="K34" s="610"/>
    </row>
    <row r="35" spans="1:11" ht="26.25" customHeight="1">
      <c r="A35" s="579"/>
      <c r="B35" s="609">
        <v>9</v>
      </c>
      <c r="C35" s="1062" t="s">
        <v>981</v>
      </c>
      <c r="D35" s="949"/>
      <c r="E35" s="949"/>
      <c r="F35" s="950"/>
      <c r="G35" s="1064" t="s">
        <v>401</v>
      </c>
      <c r="H35" s="950"/>
      <c r="I35" s="1184">
        <f>I33*1.5</f>
        <v>28.14559090909091</v>
      </c>
      <c r="J35" s="950"/>
      <c r="K35" s="611"/>
    </row>
    <row r="36" spans="1:11" ht="26.25" customHeight="1">
      <c r="A36" s="579"/>
      <c r="B36" s="609">
        <v>10</v>
      </c>
      <c r="C36" s="1062" t="s">
        <v>982</v>
      </c>
      <c r="D36" s="949"/>
      <c r="E36" s="949"/>
      <c r="F36" s="949"/>
      <c r="G36" s="949"/>
      <c r="H36" s="950"/>
      <c r="I36" s="1063">
        <f>TRUNC(1.3*I32*0.2,2)</f>
        <v>0</v>
      </c>
      <c r="J36" s="950"/>
      <c r="K36" s="610"/>
    </row>
    <row r="37" spans="1:11" ht="26.25" customHeight="1">
      <c r="A37" s="579"/>
      <c r="B37" s="609">
        <v>11</v>
      </c>
      <c r="C37" s="1062" t="s">
        <v>983</v>
      </c>
      <c r="D37" s="949"/>
      <c r="E37" s="949"/>
      <c r="F37" s="949"/>
      <c r="G37" s="949"/>
      <c r="H37" s="950"/>
      <c r="I37" s="1063">
        <f>I33*2</f>
        <v>37.527454545454546</v>
      </c>
      <c r="J37" s="950"/>
      <c r="K37" s="610"/>
    </row>
    <row r="38" spans="1:11" ht="14.25" customHeight="1">
      <c r="A38" s="579"/>
      <c r="B38" s="609">
        <v>12</v>
      </c>
      <c r="C38" s="1062" t="s">
        <v>984</v>
      </c>
      <c r="D38" s="949"/>
      <c r="E38" s="949"/>
      <c r="F38" s="949"/>
      <c r="G38" s="949"/>
      <c r="H38" s="950"/>
      <c r="I38" s="1063">
        <f>I29*'1-ABA-DE-CARREGAMENTO'!D44</f>
        <v>0</v>
      </c>
      <c r="J38" s="950"/>
      <c r="K38" s="610"/>
    </row>
    <row r="39" spans="1:11" ht="14.25" customHeight="1">
      <c r="A39" s="579"/>
      <c r="B39" s="609">
        <v>13</v>
      </c>
      <c r="C39" s="1062" t="s">
        <v>405</v>
      </c>
      <c r="D39" s="949"/>
      <c r="E39" s="949"/>
      <c r="F39" s="949"/>
      <c r="G39" s="949"/>
      <c r="H39" s="950"/>
      <c r="I39" s="1063">
        <f>ROUND(I32/6,2)*1.3</f>
        <v>0</v>
      </c>
      <c r="J39" s="950"/>
      <c r="K39" s="610"/>
    </row>
    <row r="40" spans="1:11" ht="11.25" customHeight="1">
      <c r="A40" s="579"/>
      <c r="B40" s="609">
        <v>14</v>
      </c>
      <c r="C40" s="1164" t="s">
        <v>406</v>
      </c>
      <c r="D40" s="949"/>
      <c r="E40" s="949"/>
      <c r="F40" s="949"/>
      <c r="G40" s="949"/>
      <c r="H40" s="950"/>
      <c r="I40" s="1182">
        <f>'1-ABA-DE-CARREGAMENTO'!J93</f>
        <v>1</v>
      </c>
      <c r="J40" s="950"/>
      <c r="K40" s="614"/>
    </row>
    <row r="41" spans="1:11" ht="11.25" customHeight="1">
      <c r="A41" s="579"/>
      <c r="B41" s="609">
        <v>15</v>
      </c>
      <c r="C41" s="1164" t="s">
        <v>687</v>
      </c>
      <c r="D41" s="949"/>
      <c r="E41" s="949"/>
      <c r="F41" s="949"/>
      <c r="G41" s="949"/>
      <c r="H41" s="950"/>
      <c r="I41" s="1165">
        <f>'1-ABA-DE-CARREGAMENTO'!E42</f>
        <v>1320</v>
      </c>
      <c r="J41" s="950"/>
      <c r="K41" s="616"/>
    </row>
    <row r="42" spans="1:11" ht="11.25" customHeight="1">
      <c r="A42" s="579"/>
      <c r="B42" s="1047"/>
      <c r="C42" s="949"/>
      <c r="D42" s="949"/>
      <c r="E42" s="949"/>
      <c r="F42" s="949"/>
      <c r="G42" s="949"/>
      <c r="H42" s="949"/>
      <c r="I42" s="949"/>
      <c r="J42" s="950"/>
      <c r="K42" s="362"/>
    </row>
    <row r="43" spans="1:11" ht="24" customHeight="1">
      <c r="A43" s="579"/>
      <c r="B43" s="1086" t="s">
        <v>408</v>
      </c>
      <c r="C43" s="949"/>
      <c r="D43" s="949"/>
      <c r="E43" s="949"/>
      <c r="F43" s="949"/>
      <c r="G43" s="949"/>
      <c r="H43" s="949"/>
      <c r="I43" s="949"/>
      <c r="J43" s="950"/>
      <c r="K43" s="617"/>
    </row>
    <row r="44" spans="1:11" ht="14.25" customHeight="1">
      <c r="A44" s="579"/>
      <c r="B44" s="1087"/>
      <c r="C44" s="949"/>
      <c r="D44" s="949"/>
      <c r="E44" s="949"/>
      <c r="F44" s="949"/>
      <c r="G44" s="949"/>
      <c r="H44" s="949"/>
      <c r="I44" s="949"/>
      <c r="J44" s="950"/>
      <c r="K44" s="618"/>
    </row>
    <row r="45" spans="1:11" ht="11.25" customHeight="1">
      <c r="A45" s="579"/>
      <c r="B45" s="1088" t="s">
        <v>409</v>
      </c>
      <c r="C45" s="949"/>
      <c r="D45" s="949"/>
      <c r="E45" s="949"/>
      <c r="F45" s="949"/>
      <c r="G45" s="949"/>
      <c r="H45" s="949"/>
      <c r="I45" s="949"/>
      <c r="J45" s="950"/>
      <c r="K45" s="620"/>
    </row>
    <row r="46" spans="1:11" ht="11.25" customHeight="1">
      <c r="A46" s="621"/>
      <c r="B46" s="622">
        <v>1</v>
      </c>
      <c r="C46" s="1089" t="s">
        <v>410</v>
      </c>
      <c r="D46" s="949"/>
      <c r="E46" s="949"/>
      <c r="F46" s="949"/>
      <c r="G46" s="949"/>
      <c r="H46" s="950"/>
      <c r="I46" s="623" t="s">
        <v>411</v>
      </c>
      <c r="J46" s="622" t="s">
        <v>412</v>
      </c>
      <c r="K46" s="592"/>
    </row>
    <row r="47" spans="1:11" ht="12.75" customHeight="1">
      <c r="A47" s="579"/>
      <c r="B47" s="589" t="s">
        <v>369</v>
      </c>
      <c r="C47" s="1051" t="s">
        <v>413</v>
      </c>
      <c r="D47" s="949"/>
      <c r="E47" s="949"/>
      <c r="F47" s="950"/>
      <c r="G47" s="624" t="s">
        <v>184</v>
      </c>
      <c r="H47" s="625">
        <f>'1-ABA-DE-CARREGAMENTO'!J52</f>
        <v>220</v>
      </c>
      <c r="I47" s="624"/>
      <c r="J47" s="627">
        <f>I29*I40</f>
        <v>4128.0200000000004</v>
      </c>
      <c r="K47" s="628"/>
    </row>
    <row r="48" spans="1:11" ht="11.25" customHeight="1">
      <c r="A48" s="579"/>
      <c r="B48" s="589" t="s">
        <v>371</v>
      </c>
      <c r="C48" s="1051" t="s">
        <v>688</v>
      </c>
      <c r="D48" s="949"/>
      <c r="E48" s="949"/>
      <c r="F48" s="1090" t="str">
        <f>'1-ABA-DE-CARREGAMENTO'!J38</f>
        <v>SEM ADICIONAL DE FUNÇÃO</v>
      </c>
      <c r="G48" s="949"/>
      <c r="H48" s="950"/>
      <c r="I48" s="867">
        <f>'1-ABA-DE-CARREGAMENTO'!J39</f>
        <v>0</v>
      </c>
      <c r="J48" s="627">
        <f>J47*I48</f>
        <v>0</v>
      </c>
      <c r="K48" s="628"/>
    </row>
    <row r="49" spans="1:11" ht="25.5" customHeight="1">
      <c r="A49" s="579"/>
      <c r="B49" s="589" t="s">
        <v>373</v>
      </c>
      <c r="C49" s="1051" t="s">
        <v>985</v>
      </c>
      <c r="D49" s="949"/>
      <c r="E49" s="949"/>
      <c r="F49" s="949"/>
      <c r="G49" s="949"/>
      <c r="H49" s="950"/>
      <c r="I49" s="756">
        <f>'1-ABA-DE-CARREGAMENTO'!J44</f>
        <v>0</v>
      </c>
      <c r="J49" s="627">
        <f>ROUND(J47*I49,2)</f>
        <v>0</v>
      </c>
      <c r="K49" s="628"/>
    </row>
    <row r="50" spans="1:11" ht="18.75" customHeight="1">
      <c r="A50" s="579"/>
      <c r="B50" s="589" t="s">
        <v>375</v>
      </c>
      <c r="C50" s="1051" t="s">
        <v>986</v>
      </c>
      <c r="D50" s="949"/>
      <c r="E50" s="949"/>
      <c r="F50" s="949"/>
      <c r="G50" s="1090" t="str">
        <f>'1-ABA-DE-CARREGAMENTO'!J40</f>
        <v>SEM ADICIONAL DE RISCO</v>
      </c>
      <c r="H50" s="950"/>
      <c r="I50" s="869">
        <f>'1-ABA-DE-CARREGAMENTO'!J41</f>
        <v>0</v>
      </c>
      <c r="J50" s="627">
        <f>ROUND(I50*I41,2)</f>
        <v>0</v>
      </c>
      <c r="K50" s="628"/>
    </row>
    <row r="51" spans="1:11" ht="29.25" customHeight="1">
      <c r="A51" s="579"/>
      <c r="B51" s="589" t="s">
        <v>417</v>
      </c>
      <c r="C51" s="1051" t="s">
        <v>987</v>
      </c>
      <c r="D51" s="949"/>
      <c r="E51" s="949"/>
      <c r="F51" s="949"/>
      <c r="G51" s="949"/>
      <c r="H51" s="949"/>
      <c r="I51" s="950"/>
      <c r="J51" s="627">
        <f>ROUND(2*8*15*I36,2)*0</f>
        <v>0</v>
      </c>
      <c r="K51" s="628"/>
    </row>
    <row r="52" spans="1:11" ht="42.75" customHeight="1">
      <c r="A52" s="579"/>
      <c r="B52" s="589" t="s">
        <v>421</v>
      </c>
      <c r="C52" s="1092" t="s">
        <v>988</v>
      </c>
      <c r="D52" s="949"/>
      <c r="E52" s="949"/>
      <c r="F52" s="949"/>
      <c r="G52" s="949"/>
      <c r="H52" s="949"/>
      <c r="I52" s="950"/>
      <c r="J52" s="627">
        <f>ROUND(I38*(((12*15)+15)-((44/6)*26))*I35,2)*0+ROUND(2*4.33*I35,2)*0</f>
        <v>0</v>
      </c>
      <c r="K52" s="628"/>
    </row>
    <row r="53" spans="1:11" ht="32.25" customHeight="1">
      <c r="A53" s="579"/>
      <c r="B53" s="589" t="s">
        <v>423</v>
      </c>
      <c r="C53" s="1092" t="s">
        <v>989</v>
      </c>
      <c r="D53" s="949"/>
      <c r="E53" s="949"/>
      <c r="F53" s="949"/>
      <c r="G53" s="949"/>
      <c r="H53" s="949"/>
      <c r="I53" s="950"/>
      <c r="J53" s="627">
        <f>ROUND(I39*I40*15,2)*0</f>
        <v>0</v>
      </c>
      <c r="K53" s="628"/>
    </row>
    <row r="54" spans="1:11" ht="27.75" customHeight="1">
      <c r="A54" s="579"/>
      <c r="B54" s="589" t="s">
        <v>425</v>
      </c>
      <c r="C54" s="1092" t="s">
        <v>990</v>
      </c>
      <c r="D54" s="949"/>
      <c r="E54" s="949"/>
      <c r="F54" s="1185" t="s">
        <v>991</v>
      </c>
      <c r="G54" s="949"/>
      <c r="H54" s="949"/>
      <c r="I54" s="919">
        <f>'1-ABA-DE-CARREGAMENTO'!J65</f>
        <v>0</v>
      </c>
      <c r="J54" s="627">
        <f>ROUND((((SUM(J47:J50))/220)*1.5)*I54,2)</f>
        <v>0</v>
      </c>
      <c r="K54" s="628"/>
    </row>
    <row r="55" spans="1:11" ht="27.75" customHeight="1">
      <c r="A55" s="579"/>
      <c r="B55" s="589" t="s">
        <v>429</v>
      </c>
      <c r="C55" s="1092" t="s">
        <v>992</v>
      </c>
      <c r="D55" s="949"/>
      <c r="E55" s="949"/>
      <c r="F55" s="1185" t="s">
        <v>993</v>
      </c>
      <c r="G55" s="949"/>
      <c r="H55" s="949"/>
      <c r="I55" s="919">
        <f>'1-ABA-DE-CARREGAMENTO'!J68</f>
        <v>0</v>
      </c>
      <c r="J55" s="627">
        <f>ROUND((((SUM(J47:J50))/220)*2)*I55,2)</f>
        <v>0</v>
      </c>
      <c r="K55" s="628"/>
    </row>
    <row r="56" spans="1:11" ht="39.75" customHeight="1">
      <c r="A56" s="579"/>
      <c r="B56" s="589" t="s">
        <v>433</v>
      </c>
      <c r="C56" s="1051" t="s">
        <v>994</v>
      </c>
      <c r="D56" s="949"/>
      <c r="E56" s="949"/>
      <c r="F56" s="949"/>
      <c r="G56" s="949"/>
      <c r="H56" s="949"/>
      <c r="I56" s="950"/>
      <c r="J56" s="627">
        <f>ROUND(((J54+J55)/25)*5,2)</f>
        <v>0</v>
      </c>
      <c r="K56" s="628"/>
    </row>
    <row r="57" spans="1:11" ht="11.25" customHeight="1">
      <c r="A57" s="579"/>
      <c r="B57" s="589" t="s">
        <v>436</v>
      </c>
      <c r="C57" s="1051" t="s">
        <v>437</v>
      </c>
      <c r="D57" s="949"/>
      <c r="E57" s="949"/>
      <c r="F57" s="949"/>
      <c r="G57" s="949"/>
      <c r="H57" s="949"/>
      <c r="I57" s="950"/>
      <c r="J57" s="643" t="s">
        <v>382</v>
      </c>
      <c r="K57" s="644"/>
    </row>
    <row r="58" spans="1:11" ht="11.25" customHeight="1">
      <c r="A58" s="579"/>
      <c r="B58" s="1050" t="s">
        <v>438</v>
      </c>
      <c r="C58" s="949"/>
      <c r="D58" s="949"/>
      <c r="E58" s="949"/>
      <c r="F58" s="949"/>
      <c r="G58" s="949"/>
      <c r="H58" s="949"/>
      <c r="I58" s="950"/>
      <c r="J58" s="645">
        <f>SUM(J47:J57)</f>
        <v>4128.0200000000004</v>
      </c>
      <c r="K58" s="646"/>
    </row>
    <row r="59" spans="1:11" ht="14.25" customHeight="1">
      <c r="A59" s="579"/>
      <c r="B59" s="647"/>
      <c r="C59" s="1095"/>
      <c r="D59" s="949"/>
      <c r="E59" s="949"/>
      <c r="F59" s="949"/>
      <c r="G59" s="949"/>
      <c r="H59" s="949"/>
      <c r="I59" s="950"/>
      <c r="J59" s="648"/>
      <c r="K59" s="646"/>
    </row>
    <row r="60" spans="1:11" ht="11.25" customHeight="1">
      <c r="A60" s="579"/>
      <c r="B60" s="589" t="s">
        <v>425</v>
      </c>
      <c r="C60" s="1051" t="s">
        <v>995</v>
      </c>
      <c r="D60" s="949"/>
      <c r="E60" s="949"/>
      <c r="F60" s="949"/>
      <c r="G60" s="949"/>
      <c r="H60" s="949"/>
      <c r="I60" s="950"/>
      <c r="J60" s="627">
        <f>ROUND(I34*15*I40*0.5,2)*0</f>
        <v>0</v>
      </c>
      <c r="K60" s="628"/>
    </row>
    <row r="61" spans="1:11" ht="11.25" customHeight="1">
      <c r="A61" s="579"/>
      <c r="B61" s="1050" t="s">
        <v>996</v>
      </c>
      <c r="C61" s="949"/>
      <c r="D61" s="949"/>
      <c r="E61" s="949"/>
      <c r="F61" s="949"/>
      <c r="G61" s="949"/>
      <c r="H61" s="949"/>
      <c r="I61" s="950"/>
      <c r="J61" s="645">
        <f>J60</f>
        <v>0</v>
      </c>
      <c r="K61" s="646"/>
    </row>
    <row r="62" spans="1:11" ht="11.25" customHeight="1">
      <c r="A62" s="579"/>
      <c r="B62" s="1045"/>
      <c r="C62" s="949"/>
      <c r="D62" s="949"/>
      <c r="E62" s="949"/>
      <c r="F62" s="949"/>
      <c r="G62" s="949"/>
      <c r="H62" s="949"/>
      <c r="I62" s="949"/>
      <c r="J62" s="950"/>
      <c r="K62" s="593"/>
    </row>
    <row r="63" spans="1:11" ht="11.25" customHeight="1">
      <c r="A63" s="579"/>
      <c r="B63" s="1096" t="s">
        <v>997</v>
      </c>
      <c r="C63" s="949"/>
      <c r="D63" s="949"/>
      <c r="E63" s="949"/>
      <c r="F63" s="949"/>
      <c r="G63" s="949"/>
      <c r="H63" s="949"/>
      <c r="I63" s="950"/>
      <c r="J63" s="649">
        <f>J58+J61</f>
        <v>4128.0200000000004</v>
      </c>
      <c r="K63" s="650"/>
    </row>
    <row r="64" spans="1:11" ht="11.25" customHeight="1">
      <c r="A64" s="579"/>
      <c r="B64" s="1095"/>
      <c r="C64" s="949"/>
      <c r="D64" s="949"/>
      <c r="E64" s="949"/>
      <c r="F64" s="949"/>
      <c r="G64" s="949"/>
      <c r="H64" s="949"/>
      <c r="I64" s="949"/>
      <c r="J64" s="950"/>
      <c r="K64" s="651"/>
    </row>
    <row r="65" spans="1:11" ht="11.25" customHeight="1">
      <c r="A65" s="579"/>
      <c r="B65" s="1097" t="s">
        <v>442</v>
      </c>
      <c r="C65" s="949"/>
      <c r="D65" s="949"/>
      <c r="E65" s="949"/>
      <c r="F65" s="949"/>
      <c r="G65" s="949"/>
      <c r="H65" s="949"/>
      <c r="I65" s="949"/>
      <c r="J65" s="950"/>
      <c r="K65" s="652"/>
    </row>
    <row r="66" spans="1:11" ht="11.25" customHeight="1">
      <c r="A66" s="579"/>
      <c r="B66" s="1095"/>
      <c r="C66" s="949"/>
      <c r="D66" s="949"/>
      <c r="E66" s="949"/>
      <c r="F66" s="949"/>
      <c r="G66" s="949"/>
      <c r="H66" s="949"/>
      <c r="I66" s="949"/>
      <c r="J66" s="950"/>
      <c r="K66" s="651"/>
    </row>
    <row r="67" spans="1:11" ht="11.25" customHeight="1">
      <c r="A67" s="579"/>
      <c r="B67" s="1098" t="s">
        <v>443</v>
      </c>
      <c r="C67" s="949"/>
      <c r="D67" s="949"/>
      <c r="E67" s="949"/>
      <c r="F67" s="949"/>
      <c r="G67" s="949"/>
      <c r="H67" s="949"/>
      <c r="I67" s="949"/>
      <c r="J67" s="950"/>
      <c r="K67" s="653"/>
    </row>
    <row r="68" spans="1:11" ht="11.25" customHeight="1">
      <c r="A68" s="579"/>
      <c r="B68" s="1099" t="s">
        <v>998</v>
      </c>
      <c r="C68" s="949"/>
      <c r="D68" s="949"/>
      <c r="E68" s="949"/>
      <c r="F68" s="949"/>
      <c r="G68" s="949"/>
      <c r="H68" s="949"/>
      <c r="I68" s="949"/>
      <c r="J68" s="950"/>
      <c r="K68" s="654"/>
    </row>
    <row r="69" spans="1:11" ht="15" customHeight="1">
      <c r="A69" s="579"/>
      <c r="B69" s="655" t="s">
        <v>445</v>
      </c>
      <c r="C69" s="1100" t="s">
        <v>999</v>
      </c>
      <c r="D69" s="949"/>
      <c r="E69" s="949"/>
      <c r="F69" s="949"/>
      <c r="G69" s="949"/>
      <c r="H69" s="949"/>
      <c r="I69" s="950"/>
      <c r="J69" s="656" t="s">
        <v>447</v>
      </c>
      <c r="K69" s="657"/>
    </row>
    <row r="70" spans="1:11" ht="11.25" customHeight="1">
      <c r="A70" s="579"/>
      <c r="B70" s="655" t="s">
        <v>369</v>
      </c>
      <c r="C70" s="1092" t="s">
        <v>1000</v>
      </c>
      <c r="D70" s="949"/>
      <c r="E70" s="949"/>
      <c r="F70" s="949"/>
      <c r="G70" s="949"/>
      <c r="H70" s="950"/>
      <c r="I70" s="658">
        <v>8.3299999999999999E-2</v>
      </c>
      <c r="J70" s="659">
        <f>ROUND(J58*I70,2)</f>
        <v>343.86</v>
      </c>
      <c r="K70" s="660"/>
    </row>
    <row r="71" spans="1:11" ht="14.25" customHeight="1">
      <c r="A71" s="579"/>
      <c r="B71" s="655" t="s">
        <v>371</v>
      </c>
      <c r="C71" s="1101" t="s">
        <v>1001</v>
      </c>
      <c r="D71" s="949"/>
      <c r="E71" s="949"/>
      <c r="F71" s="949"/>
      <c r="G71" s="949"/>
      <c r="H71" s="950"/>
      <c r="I71" s="661">
        <v>3.0249999999999999E-2</v>
      </c>
      <c r="J71" s="659">
        <f>ROUND(J58*I71,2)</f>
        <v>124.87</v>
      </c>
      <c r="K71" s="660"/>
    </row>
    <row r="72" spans="1:11" ht="11.25" customHeight="1">
      <c r="A72" s="579"/>
      <c r="B72" s="1102" t="s">
        <v>450</v>
      </c>
      <c r="C72" s="949"/>
      <c r="D72" s="949"/>
      <c r="E72" s="949"/>
      <c r="F72" s="949"/>
      <c r="G72" s="949"/>
      <c r="H72" s="949"/>
      <c r="I72" s="950"/>
      <c r="J72" s="662">
        <f>SUM(J70+J71)</f>
        <v>468.73</v>
      </c>
      <c r="K72" s="663"/>
    </row>
    <row r="73" spans="1:11" ht="11.25" customHeight="1">
      <c r="A73" s="579"/>
      <c r="B73" s="1103"/>
      <c r="C73" s="949"/>
      <c r="D73" s="949"/>
      <c r="E73" s="949"/>
      <c r="F73" s="949"/>
      <c r="G73" s="949"/>
      <c r="H73" s="949"/>
      <c r="I73" s="949"/>
      <c r="J73" s="950"/>
      <c r="K73" s="664"/>
    </row>
    <row r="74" spans="1:11" ht="33.75" customHeight="1">
      <c r="A74" s="579"/>
      <c r="B74" s="1086" t="s">
        <v>1002</v>
      </c>
      <c r="C74" s="949"/>
      <c r="D74" s="949"/>
      <c r="E74" s="949"/>
      <c r="F74" s="949"/>
      <c r="G74" s="949"/>
      <c r="H74" s="949"/>
      <c r="I74" s="949"/>
      <c r="J74" s="950"/>
      <c r="K74" s="617"/>
    </row>
    <row r="75" spans="1:11" ht="10.5" customHeight="1">
      <c r="A75" s="579"/>
      <c r="B75" s="1104"/>
      <c r="C75" s="949"/>
      <c r="D75" s="949"/>
      <c r="E75" s="949"/>
      <c r="F75" s="949"/>
      <c r="G75" s="949"/>
      <c r="H75" s="949"/>
      <c r="I75" s="949"/>
      <c r="J75" s="950"/>
      <c r="K75" s="617"/>
    </row>
    <row r="76" spans="1:11" ht="14.25" customHeight="1">
      <c r="A76" s="579"/>
      <c r="B76" s="1105" t="s">
        <v>1003</v>
      </c>
      <c r="C76" s="949"/>
      <c r="D76" s="949"/>
      <c r="E76" s="949"/>
      <c r="F76" s="949"/>
      <c r="G76" s="949"/>
      <c r="H76" s="949"/>
      <c r="I76" s="949"/>
      <c r="J76" s="950"/>
      <c r="K76" s="665"/>
    </row>
    <row r="77" spans="1:11" ht="11.25" customHeight="1">
      <c r="A77" s="579"/>
      <c r="B77" s="666" t="s">
        <v>453</v>
      </c>
      <c r="C77" s="1110" t="s">
        <v>454</v>
      </c>
      <c r="D77" s="949"/>
      <c r="E77" s="949"/>
      <c r="F77" s="949"/>
      <c r="G77" s="949"/>
      <c r="H77" s="950"/>
      <c r="I77" s="667" t="s">
        <v>411</v>
      </c>
      <c r="J77" s="668" t="s">
        <v>455</v>
      </c>
      <c r="K77" s="657"/>
    </row>
    <row r="78" spans="1:11" ht="11.25" customHeight="1">
      <c r="A78" s="579"/>
      <c r="B78" s="669" t="s">
        <v>369</v>
      </c>
      <c r="C78" s="1051" t="s">
        <v>456</v>
      </c>
      <c r="D78" s="949"/>
      <c r="E78" s="949"/>
      <c r="F78" s="949"/>
      <c r="G78" s="949"/>
      <c r="H78" s="950"/>
      <c r="I78" s="670">
        <v>0.2</v>
      </c>
      <c r="J78" s="671">
        <f>ROUND((J58+J72)*I78,2)</f>
        <v>919.35</v>
      </c>
      <c r="K78" s="663"/>
    </row>
    <row r="79" spans="1:11" ht="11.25" customHeight="1">
      <c r="A79" s="579"/>
      <c r="B79" s="669" t="s">
        <v>371</v>
      </c>
      <c r="C79" s="1051" t="s">
        <v>457</v>
      </c>
      <c r="D79" s="949"/>
      <c r="E79" s="949"/>
      <c r="F79" s="949"/>
      <c r="G79" s="949"/>
      <c r="H79" s="950"/>
      <c r="I79" s="670">
        <v>2.5000000000000001E-2</v>
      </c>
      <c r="J79" s="671">
        <f>ROUND((J58+J72)*I79,2)</f>
        <v>114.92</v>
      </c>
      <c r="K79" s="663"/>
    </row>
    <row r="80" spans="1:11" ht="11.25" customHeight="1">
      <c r="A80" s="579"/>
      <c r="B80" s="669" t="s">
        <v>373</v>
      </c>
      <c r="C80" s="1051" t="s">
        <v>1004</v>
      </c>
      <c r="D80" s="950"/>
      <c r="E80" s="912" t="s">
        <v>459</v>
      </c>
      <c r="F80" s="913">
        <f>'1-ABA-DE-CARREGAMENTO'!J57</f>
        <v>0.03</v>
      </c>
      <c r="G80" s="912" t="s">
        <v>460</v>
      </c>
      <c r="H80" s="914">
        <f>'1-ABA-DE-CARREGAMENTO'!J58</f>
        <v>1</v>
      </c>
      <c r="I80" s="674">
        <f>ROUND((F80*H80),6)</f>
        <v>0.03</v>
      </c>
      <c r="J80" s="671">
        <f>ROUND((J58+J72)*I80,2)</f>
        <v>137.9</v>
      </c>
      <c r="K80" s="663"/>
    </row>
    <row r="81" spans="1:11" ht="16.5" customHeight="1">
      <c r="A81" s="579"/>
      <c r="B81" s="669" t="s">
        <v>375</v>
      </c>
      <c r="C81" s="1051" t="s">
        <v>461</v>
      </c>
      <c r="D81" s="949"/>
      <c r="E81" s="949"/>
      <c r="F81" s="949"/>
      <c r="G81" s="949"/>
      <c r="H81" s="950"/>
      <c r="I81" s="670">
        <v>1.4999999999999999E-2</v>
      </c>
      <c r="J81" s="671">
        <f>ROUND((J58+J72)*I81,2)</f>
        <v>68.95</v>
      </c>
      <c r="K81" s="663"/>
    </row>
    <row r="82" spans="1:11" ht="16.5" customHeight="1">
      <c r="A82" s="579"/>
      <c r="B82" s="669" t="s">
        <v>417</v>
      </c>
      <c r="C82" s="1051" t="s">
        <v>462</v>
      </c>
      <c r="D82" s="949"/>
      <c r="E82" s="949"/>
      <c r="F82" s="949"/>
      <c r="G82" s="949"/>
      <c r="H82" s="950"/>
      <c r="I82" s="670">
        <v>0.01</v>
      </c>
      <c r="J82" s="671">
        <f>ROUND((J58+J72)*I82,2)</f>
        <v>45.97</v>
      </c>
      <c r="K82" s="663"/>
    </row>
    <row r="83" spans="1:11" ht="16.5" customHeight="1">
      <c r="A83" s="579"/>
      <c r="B83" s="669" t="s">
        <v>421</v>
      </c>
      <c r="C83" s="1051" t="s">
        <v>463</v>
      </c>
      <c r="D83" s="949"/>
      <c r="E83" s="949"/>
      <c r="F83" s="949"/>
      <c r="G83" s="949"/>
      <c r="H83" s="950"/>
      <c r="I83" s="670">
        <v>6.0000000000000001E-3</v>
      </c>
      <c r="J83" s="671">
        <f>ROUND((J58+J72)*I83,2)</f>
        <v>27.58</v>
      </c>
      <c r="K83" s="663"/>
    </row>
    <row r="84" spans="1:11" ht="16.5" customHeight="1">
      <c r="A84" s="579"/>
      <c r="B84" s="669" t="s">
        <v>423</v>
      </c>
      <c r="C84" s="1051" t="s">
        <v>464</v>
      </c>
      <c r="D84" s="949"/>
      <c r="E84" s="949"/>
      <c r="F84" s="949"/>
      <c r="G84" s="949"/>
      <c r="H84" s="950"/>
      <c r="I84" s="670">
        <v>2E-3</v>
      </c>
      <c r="J84" s="671">
        <f>ROUND((J58+J72)*I84,2)</f>
        <v>9.19</v>
      </c>
      <c r="K84" s="663"/>
    </row>
    <row r="85" spans="1:11" ht="28.5" customHeight="1">
      <c r="A85" s="579"/>
      <c r="B85" s="669" t="s">
        <v>425</v>
      </c>
      <c r="C85" s="1051" t="s">
        <v>465</v>
      </c>
      <c r="D85" s="949"/>
      <c r="E85" s="949"/>
      <c r="F85" s="949"/>
      <c r="G85" s="949"/>
      <c r="H85" s="950"/>
      <c r="I85" s="670">
        <v>0.08</v>
      </c>
      <c r="J85" s="671">
        <f>ROUND((J58+J72)*I85,2)</f>
        <v>367.74</v>
      </c>
      <c r="K85" s="663"/>
    </row>
    <row r="86" spans="1:11" ht="12" customHeight="1">
      <c r="A86" s="579"/>
      <c r="B86" s="1108" t="s">
        <v>450</v>
      </c>
      <c r="C86" s="949"/>
      <c r="D86" s="949"/>
      <c r="E86" s="949"/>
      <c r="F86" s="949"/>
      <c r="G86" s="949"/>
      <c r="H86" s="950"/>
      <c r="I86" s="675">
        <f t="shared" ref="I86:J86" si="0">SUM(I78:I85)</f>
        <v>0.36800000000000005</v>
      </c>
      <c r="J86" s="662">
        <f t="shared" si="0"/>
        <v>1691.6000000000001</v>
      </c>
      <c r="K86" s="663"/>
    </row>
    <row r="87" spans="1:11" ht="12" customHeight="1">
      <c r="A87" s="579"/>
      <c r="B87" s="676"/>
      <c r="C87" s="677"/>
      <c r="D87" s="677"/>
      <c r="E87" s="677"/>
      <c r="F87" s="677"/>
      <c r="G87" s="677"/>
      <c r="H87" s="677"/>
      <c r="I87" s="678"/>
      <c r="J87" s="679"/>
      <c r="K87" s="663"/>
    </row>
    <row r="88" spans="1:11" ht="38.25" customHeight="1">
      <c r="A88" s="579"/>
      <c r="B88" s="1086" t="s">
        <v>466</v>
      </c>
      <c r="C88" s="949"/>
      <c r="D88" s="949"/>
      <c r="E88" s="949"/>
      <c r="F88" s="949"/>
      <c r="G88" s="949"/>
      <c r="H88" s="949"/>
      <c r="I88" s="949"/>
      <c r="J88" s="950"/>
      <c r="K88" s="617"/>
    </row>
    <row r="89" spans="1:11" ht="18.75" customHeight="1">
      <c r="A89" s="579"/>
      <c r="B89" s="1047"/>
      <c r="C89" s="949"/>
      <c r="D89" s="949"/>
      <c r="E89" s="949"/>
      <c r="F89" s="949"/>
      <c r="G89" s="949"/>
      <c r="H89" s="949"/>
      <c r="I89" s="949"/>
      <c r="J89" s="950"/>
      <c r="K89" s="362"/>
    </row>
    <row r="90" spans="1:11" ht="15" customHeight="1">
      <c r="A90" s="579"/>
      <c r="B90" s="1114" t="s">
        <v>467</v>
      </c>
      <c r="C90" s="949"/>
      <c r="D90" s="949"/>
      <c r="E90" s="949"/>
      <c r="F90" s="949"/>
      <c r="G90" s="949"/>
      <c r="H90" s="949"/>
      <c r="I90" s="949"/>
      <c r="J90" s="950"/>
      <c r="K90" s="654"/>
    </row>
    <row r="91" spans="1:11" ht="15" customHeight="1">
      <c r="A91" s="579"/>
      <c r="B91" s="680" t="s">
        <v>468</v>
      </c>
      <c r="C91" s="1089" t="s">
        <v>469</v>
      </c>
      <c r="D91" s="949"/>
      <c r="E91" s="949"/>
      <c r="F91" s="949"/>
      <c r="G91" s="949"/>
      <c r="H91" s="949"/>
      <c r="I91" s="950"/>
      <c r="J91" s="681" t="s">
        <v>447</v>
      </c>
      <c r="K91" s="592"/>
    </row>
    <row r="92" spans="1:11" ht="15" customHeight="1">
      <c r="A92" s="579"/>
      <c r="B92" s="682" t="s">
        <v>369</v>
      </c>
      <c r="C92" s="1051" t="s">
        <v>1005</v>
      </c>
      <c r="D92" s="949"/>
      <c r="E92" s="949"/>
      <c r="F92" s="949"/>
      <c r="G92" s="949"/>
      <c r="H92" s="950"/>
      <c r="I92" s="683">
        <f>J47</f>
        <v>4128.0200000000004</v>
      </c>
      <c r="J92" s="684">
        <f>IF(ROUND((I93*I95*I94)-(J47*I96),2)&lt;0,0,ROUND((I93*I95*I94)-(J47*I96),2))</f>
        <v>0</v>
      </c>
      <c r="K92" s="663"/>
    </row>
    <row r="93" spans="1:11" ht="28.5" customHeight="1">
      <c r="A93" s="579"/>
      <c r="B93" s="682" t="s">
        <v>371</v>
      </c>
      <c r="C93" s="1051" t="s">
        <v>1006</v>
      </c>
      <c r="D93" s="949"/>
      <c r="E93" s="949"/>
      <c r="F93" s="949"/>
      <c r="G93" s="949"/>
      <c r="H93" s="949"/>
      <c r="I93" s="685">
        <f>'1-ABA-DE-CARREGAMENTO'!J72</f>
        <v>0</v>
      </c>
      <c r="J93" s="686" t="s">
        <v>382</v>
      </c>
      <c r="K93" s="644"/>
    </row>
    <row r="94" spans="1:11" ht="22.5" customHeight="1">
      <c r="A94" s="579"/>
      <c r="B94" s="682" t="s">
        <v>373</v>
      </c>
      <c r="C94" s="1051" t="s">
        <v>1007</v>
      </c>
      <c r="D94" s="949"/>
      <c r="E94" s="949"/>
      <c r="F94" s="949"/>
      <c r="G94" s="949"/>
      <c r="H94" s="950"/>
      <c r="I94" s="687">
        <f>'1-ABA-DE-CARREGAMENTO'!J73</f>
        <v>2</v>
      </c>
      <c r="J94" s="686" t="s">
        <v>382</v>
      </c>
      <c r="K94" s="644"/>
    </row>
    <row r="95" spans="1:11" ht="19.5" customHeight="1">
      <c r="A95" s="579"/>
      <c r="B95" s="682" t="s">
        <v>375</v>
      </c>
      <c r="C95" s="1062" t="s">
        <v>473</v>
      </c>
      <c r="D95" s="949"/>
      <c r="E95" s="949"/>
      <c r="F95" s="949"/>
      <c r="G95" s="949"/>
      <c r="H95" s="950"/>
      <c r="I95" s="687">
        <f>'1-ABA-DE-CARREGAMENTO'!J74</f>
        <v>22</v>
      </c>
      <c r="J95" s="686" t="s">
        <v>382</v>
      </c>
      <c r="K95" s="644"/>
    </row>
    <row r="96" spans="1:11" ht="27.75" customHeight="1">
      <c r="A96" s="579"/>
      <c r="B96" s="682" t="s">
        <v>417</v>
      </c>
      <c r="C96" s="1062" t="s">
        <v>1008</v>
      </c>
      <c r="D96" s="949"/>
      <c r="E96" s="949"/>
      <c r="F96" s="949"/>
      <c r="G96" s="949"/>
      <c r="H96" s="950"/>
      <c r="I96" s="688">
        <f>'1-ABA-DE-CARREGAMENTO'!J75</f>
        <v>0.06</v>
      </c>
      <c r="J96" s="689" t="s">
        <v>382</v>
      </c>
      <c r="K96" s="644"/>
    </row>
    <row r="97" spans="1:11" ht="15" customHeight="1">
      <c r="A97" s="579"/>
      <c r="B97" s="682" t="s">
        <v>421</v>
      </c>
      <c r="C97" s="1051" t="s">
        <v>1009</v>
      </c>
      <c r="D97" s="949"/>
      <c r="E97" s="949"/>
      <c r="F97" s="949"/>
      <c r="G97" s="949"/>
      <c r="H97" s="949"/>
      <c r="I97" s="949"/>
      <c r="J97" s="684">
        <f>ROUND(I98*I99,2)-ROUND((I98*I99)*I100,2)</f>
        <v>0</v>
      </c>
      <c r="K97" s="663"/>
    </row>
    <row r="98" spans="1:11" ht="15" customHeight="1">
      <c r="A98" s="579"/>
      <c r="B98" s="682" t="s">
        <v>423</v>
      </c>
      <c r="C98" s="1051" t="s">
        <v>1010</v>
      </c>
      <c r="D98" s="949"/>
      <c r="E98" s="949"/>
      <c r="F98" s="949"/>
      <c r="G98" s="949"/>
      <c r="H98" s="949"/>
      <c r="I98" s="685">
        <f>IF('1-ABA-DE-CARREGAMENTO'!J60&gt;0,'1-ABA-DE-CARREGAMENTO'!J60,'1-ABA-DE-CARREGAMENTO'!J63)</f>
        <v>0</v>
      </c>
      <c r="J98" s="691"/>
      <c r="K98" s="644"/>
    </row>
    <row r="99" spans="1:11" ht="15" customHeight="1">
      <c r="A99" s="579"/>
      <c r="B99" s="682" t="s">
        <v>425</v>
      </c>
      <c r="C99" s="1051" t="s">
        <v>1011</v>
      </c>
      <c r="D99" s="949"/>
      <c r="E99" s="949"/>
      <c r="F99" s="949"/>
      <c r="G99" s="949"/>
      <c r="H99" s="949"/>
      <c r="I99" s="687">
        <f>'1-ABA-DE-CARREGAMENTO'!J62</f>
        <v>22</v>
      </c>
      <c r="J99" s="691"/>
      <c r="K99" s="644"/>
    </row>
    <row r="100" spans="1:11" ht="25.5" customHeight="1">
      <c r="A100" s="579"/>
      <c r="B100" s="682" t="s">
        <v>429</v>
      </c>
      <c r="C100" s="1107" t="s">
        <v>1012</v>
      </c>
      <c r="D100" s="949"/>
      <c r="E100" s="949"/>
      <c r="F100" s="949"/>
      <c r="G100" s="949"/>
      <c r="H100" s="950"/>
      <c r="I100" s="688">
        <f>'1-ABA-DE-CARREGAMENTO'!J61</f>
        <v>0</v>
      </c>
      <c r="J100" s="693"/>
      <c r="K100" s="644"/>
    </row>
    <row r="101" spans="1:11" ht="15" customHeight="1">
      <c r="A101" s="579"/>
      <c r="B101" s="682" t="s">
        <v>433</v>
      </c>
      <c r="C101" s="1051" t="s">
        <v>715</v>
      </c>
      <c r="D101" s="949"/>
      <c r="E101" s="949"/>
      <c r="F101" s="949"/>
      <c r="G101" s="949"/>
      <c r="H101" s="949"/>
      <c r="I101" s="949"/>
      <c r="J101" s="671">
        <v>0</v>
      </c>
      <c r="K101" s="663"/>
    </row>
    <row r="102" spans="1:11" ht="34.5" customHeight="1">
      <c r="A102" s="579"/>
      <c r="B102" s="682" t="s">
        <v>436</v>
      </c>
      <c r="C102" s="1051" t="s">
        <v>1013</v>
      </c>
      <c r="D102" s="949"/>
      <c r="E102" s="949"/>
      <c r="F102" s="949"/>
      <c r="G102" s="949"/>
      <c r="H102" s="949"/>
      <c r="I102" s="949"/>
      <c r="J102" s="671">
        <f>'1-ABA-DE-CARREGAMENTO'!J77</f>
        <v>0</v>
      </c>
      <c r="K102" s="663"/>
    </row>
    <row r="103" spans="1:11" ht="34.5" customHeight="1">
      <c r="A103" s="579"/>
      <c r="B103" s="682" t="s">
        <v>481</v>
      </c>
      <c r="C103" s="1051" t="s">
        <v>1014</v>
      </c>
      <c r="D103" s="949"/>
      <c r="E103" s="949"/>
      <c r="F103" s="949"/>
      <c r="G103" s="949"/>
      <c r="H103" s="949"/>
      <c r="I103" s="950"/>
      <c r="J103" s="671">
        <f>'1-ABA-DE-CARREGAMENTO'!J78</f>
        <v>0</v>
      </c>
      <c r="K103" s="663"/>
    </row>
    <row r="104" spans="1:11" ht="16.5" customHeight="1">
      <c r="A104" s="579"/>
      <c r="B104" s="682" t="s">
        <v>483</v>
      </c>
      <c r="C104" s="1051" t="s">
        <v>718</v>
      </c>
      <c r="D104" s="949"/>
      <c r="E104" s="949"/>
      <c r="F104" s="949"/>
      <c r="G104" s="949"/>
      <c r="H104" s="949"/>
      <c r="I104" s="950"/>
      <c r="J104" s="671">
        <f>'1-ABA-DE-CARREGAMENTO'!J76</f>
        <v>0</v>
      </c>
      <c r="K104" s="663"/>
    </row>
    <row r="105" spans="1:11" ht="17.25" customHeight="1">
      <c r="A105" s="579"/>
      <c r="B105" s="682" t="s">
        <v>129</v>
      </c>
      <c r="C105" s="1111" t="s">
        <v>524</v>
      </c>
      <c r="D105" s="949"/>
      <c r="E105" s="949"/>
      <c r="F105" s="949"/>
      <c r="G105" s="949"/>
      <c r="H105" s="949"/>
      <c r="I105" s="949"/>
      <c r="J105" s="742">
        <v>0</v>
      </c>
      <c r="K105" s="704"/>
    </row>
    <row r="106" spans="1:11" ht="33.75" customHeight="1">
      <c r="A106" s="579"/>
      <c r="B106" s="705"/>
      <c r="C106" s="1108" t="s">
        <v>450</v>
      </c>
      <c r="D106" s="949"/>
      <c r="E106" s="949"/>
      <c r="F106" s="949"/>
      <c r="G106" s="949"/>
      <c r="H106" s="949"/>
      <c r="I106" s="949"/>
      <c r="J106" s="662">
        <f>SUM(J92:J105)</f>
        <v>0</v>
      </c>
      <c r="K106" s="663"/>
    </row>
    <row r="107" spans="1:11" ht="12" customHeight="1">
      <c r="A107" s="579"/>
      <c r="B107" s="1047"/>
      <c r="C107" s="949"/>
      <c r="D107" s="949"/>
      <c r="E107" s="949"/>
      <c r="F107" s="949"/>
      <c r="G107" s="949"/>
      <c r="H107" s="949"/>
      <c r="I107" s="949"/>
      <c r="J107" s="950"/>
      <c r="K107" s="362"/>
    </row>
    <row r="108" spans="1:11" ht="34.5" customHeight="1">
      <c r="A108" s="579"/>
      <c r="B108" s="1086" t="s">
        <v>486</v>
      </c>
      <c r="C108" s="949"/>
      <c r="D108" s="949"/>
      <c r="E108" s="949"/>
      <c r="F108" s="949"/>
      <c r="G108" s="949"/>
      <c r="H108" s="949"/>
      <c r="I108" s="949"/>
      <c r="J108" s="950"/>
      <c r="K108" s="617"/>
    </row>
    <row r="109" spans="1:11" ht="10.5" customHeight="1">
      <c r="A109" s="579"/>
      <c r="B109" s="1045"/>
      <c r="C109" s="949"/>
      <c r="D109" s="949"/>
      <c r="E109" s="949"/>
      <c r="F109" s="949"/>
      <c r="G109" s="949"/>
      <c r="H109" s="949"/>
      <c r="I109" s="949"/>
      <c r="J109" s="950"/>
      <c r="K109" s="593"/>
    </row>
    <row r="110" spans="1:11" ht="19.5" customHeight="1">
      <c r="A110" s="579"/>
      <c r="B110" s="1109" t="s">
        <v>487</v>
      </c>
      <c r="C110" s="949"/>
      <c r="D110" s="949"/>
      <c r="E110" s="949"/>
      <c r="F110" s="949"/>
      <c r="G110" s="949"/>
      <c r="H110" s="949"/>
      <c r="I110" s="949"/>
      <c r="J110" s="950"/>
      <c r="K110" s="706"/>
    </row>
    <row r="111" spans="1:11" ht="19.5" customHeight="1">
      <c r="A111" s="579"/>
      <c r="B111" s="668">
        <v>2</v>
      </c>
      <c r="C111" s="1110" t="s">
        <v>488</v>
      </c>
      <c r="D111" s="949"/>
      <c r="E111" s="949"/>
      <c r="F111" s="949"/>
      <c r="G111" s="949"/>
      <c r="H111" s="949"/>
      <c r="I111" s="950"/>
      <c r="J111" s="668" t="s">
        <v>447</v>
      </c>
      <c r="K111" s="657"/>
    </row>
    <row r="112" spans="1:11" ht="19.5" customHeight="1">
      <c r="A112" s="579"/>
      <c r="B112" s="600" t="s">
        <v>445</v>
      </c>
      <c r="C112" s="1092" t="s">
        <v>1015</v>
      </c>
      <c r="D112" s="949"/>
      <c r="E112" s="949"/>
      <c r="F112" s="949"/>
      <c r="G112" s="949"/>
      <c r="H112" s="949"/>
      <c r="I112" s="950"/>
      <c r="J112" s="707">
        <f>J72</f>
        <v>468.73</v>
      </c>
      <c r="K112" s="708"/>
    </row>
    <row r="113" spans="1:11" ht="19.5" customHeight="1">
      <c r="A113" s="579"/>
      <c r="B113" s="600" t="s">
        <v>453</v>
      </c>
      <c r="C113" s="1092" t="s">
        <v>454</v>
      </c>
      <c r="D113" s="949"/>
      <c r="E113" s="949"/>
      <c r="F113" s="949"/>
      <c r="G113" s="949"/>
      <c r="H113" s="949"/>
      <c r="I113" s="950"/>
      <c r="J113" s="707">
        <f>J86</f>
        <v>1691.6000000000001</v>
      </c>
      <c r="K113" s="708"/>
    </row>
    <row r="114" spans="1:11" ht="19.5" customHeight="1">
      <c r="A114" s="579"/>
      <c r="B114" s="600" t="s">
        <v>468</v>
      </c>
      <c r="C114" s="1092" t="s">
        <v>469</v>
      </c>
      <c r="D114" s="949"/>
      <c r="E114" s="949"/>
      <c r="F114" s="949"/>
      <c r="G114" s="949"/>
      <c r="H114" s="949"/>
      <c r="I114" s="950"/>
      <c r="J114" s="707">
        <f>J106</f>
        <v>0</v>
      </c>
      <c r="K114" s="708"/>
    </row>
    <row r="115" spans="1:11" ht="14.25" customHeight="1">
      <c r="A115" s="579"/>
      <c r="B115" s="1115" t="s">
        <v>450</v>
      </c>
      <c r="C115" s="949"/>
      <c r="D115" s="949"/>
      <c r="E115" s="949"/>
      <c r="F115" s="949"/>
      <c r="G115" s="949"/>
      <c r="H115" s="949"/>
      <c r="I115" s="950"/>
      <c r="J115" s="709">
        <f>SUM(J112+J113+J114)</f>
        <v>2160.33</v>
      </c>
      <c r="K115" s="708"/>
    </row>
    <row r="116" spans="1:11" ht="14.25" customHeight="1">
      <c r="A116" s="579"/>
      <c r="B116" s="1116"/>
      <c r="C116" s="949"/>
      <c r="D116" s="949"/>
      <c r="E116" s="949"/>
      <c r="F116" s="949"/>
      <c r="G116" s="949"/>
      <c r="H116" s="949"/>
      <c r="I116" s="949"/>
      <c r="J116" s="950"/>
      <c r="K116" s="710"/>
    </row>
    <row r="117" spans="1:11" ht="18.75" customHeight="1">
      <c r="A117" s="579"/>
      <c r="B117" s="1117" t="s">
        <v>490</v>
      </c>
      <c r="C117" s="949"/>
      <c r="D117" s="949"/>
      <c r="E117" s="949"/>
      <c r="F117" s="949"/>
      <c r="G117" s="949"/>
      <c r="H117" s="949"/>
      <c r="I117" s="949"/>
      <c r="J117" s="950"/>
      <c r="K117" s="711"/>
    </row>
    <row r="118" spans="1:11" ht="15.75" customHeight="1">
      <c r="A118" s="579"/>
      <c r="B118" s="680">
        <v>3</v>
      </c>
      <c r="C118" s="1118" t="s">
        <v>491</v>
      </c>
      <c r="D118" s="949"/>
      <c r="E118" s="949"/>
      <c r="F118" s="949"/>
      <c r="G118" s="949"/>
      <c r="H118" s="949"/>
      <c r="I118" s="950"/>
      <c r="J118" s="680" t="s">
        <v>447</v>
      </c>
      <c r="K118" s="712"/>
    </row>
    <row r="119" spans="1:11" ht="45" customHeight="1">
      <c r="A119" s="579"/>
      <c r="B119" s="682" t="s">
        <v>369</v>
      </c>
      <c r="C119" s="1051" t="s">
        <v>1016</v>
      </c>
      <c r="D119" s="949"/>
      <c r="E119" s="949"/>
      <c r="F119" s="949"/>
      <c r="G119" s="949"/>
      <c r="H119" s="949"/>
      <c r="I119" s="950"/>
      <c r="J119" s="671">
        <f>ROUND((($J$58/12)+($J$70/12)+(J58/12/12)+($J$71/12))*(30/30)*0.05,2)</f>
        <v>20.59</v>
      </c>
      <c r="K119" s="663"/>
    </row>
    <row r="120" spans="1:11" ht="15.75" customHeight="1">
      <c r="A120" s="579"/>
      <c r="B120" s="682" t="s">
        <v>371</v>
      </c>
      <c r="C120" s="1111" t="s">
        <v>493</v>
      </c>
      <c r="D120" s="949"/>
      <c r="E120" s="949"/>
      <c r="F120" s="949"/>
      <c r="G120" s="949"/>
      <c r="H120" s="949"/>
      <c r="I120" s="950"/>
      <c r="J120" s="671">
        <f>ROUND($I$85*J119,2)</f>
        <v>1.65</v>
      </c>
      <c r="K120" s="663"/>
    </row>
    <row r="121" spans="1:11" ht="25.5" customHeight="1">
      <c r="A121" s="579"/>
      <c r="B121" s="682" t="s">
        <v>373</v>
      </c>
      <c r="C121" s="1051" t="s">
        <v>1017</v>
      </c>
      <c r="D121" s="949"/>
      <c r="E121" s="949"/>
      <c r="F121" s="949"/>
      <c r="G121" s="949"/>
      <c r="H121" s="949"/>
      <c r="I121" s="950"/>
      <c r="J121" s="671">
        <f>ROUND(((7/30)/$I$11)*$J$58*1,2)</f>
        <v>32.11</v>
      </c>
      <c r="K121" s="663"/>
    </row>
    <row r="122" spans="1:11" ht="18.75" customHeight="1">
      <c r="A122" s="579"/>
      <c r="B122" s="682" t="s">
        <v>375</v>
      </c>
      <c r="C122" s="1111" t="s">
        <v>495</v>
      </c>
      <c r="D122" s="949"/>
      <c r="E122" s="949"/>
      <c r="F122" s="949"/>
      <c r="G122" s="949"/>
      <c r="H122" s="949"/>
      <c r="I122" s="950"/>
      <c r="J122" s="671">
        <f>ROUND($I$86*J121,2)</f>
        <v>11.82</v>
      </c>
      <c r="K122" s="663"/>
    </row>
    <row r="123" spans="1:11" ht="36.75" customHeight="1">
      <c r="A123" s="579"/>
      <c r="B123" s="682" t="s">
        <v>417</v>
      </c>
      <c r="C123" s="1051" t="s">
        <v>1018</v>
      </c>
      <c r="D123" s="949"/>
      <c r="E123" s="949"/>
      <c r="F123" s="949"/>
      <c r="G123" s="949"/>
      <c r="H123" s="950"/>
      <c r="I123" s="714">
        <v>0.04</v>
      </c>
      <c r="J123" s="671">
        <f>ROUND(J58*I123,2)</f>
        <v>165.12</v>
      </c>
      <c r="K123" s="663"/>
    </row>
    <row r="124" spans="1:11" ht="19.5" customHeight="1">
      <c r="A124" s="579"/>
      <c r="B124" s="1108" t="s">
        <v>497</v>
      </c>
      <c r="C124" s="949"/>
      <c r="D124" s="949"/>
      <c r="E124" s="949"/>
      <c r="F124" s="949"/>
      <c r="G124" s="949"/>
      <c r="H124" s="949"/>
      <c r="I124" s="950"/>
      <c r="J124" s="662">
        <f>SUM(J119:J123)</f>
        <v>231.29</v>
      </c>
      <c r="K124" s="663"/>
    </row>
    <row r="125" spans="1:11" ht="15.75" customHeight="1">
      <c r="A125" s="579"/>
      <c r="B125" s="1112"/>
      <c r="C125" s="949"/>
      <c r="D125" s="949"/>
      <c r="E125" s="949"/>
      <c r="F125" s="949"/>
      <c r="G125" s="949"/>
      <c r="H125" s="949"/>
      <c r="I125" s="949"/>
      <c r="J125" s="950"/>
      <c r="K125" s="715"/>
    </row>
    <row r="126" spans="1:11" ht="17.25" customHeight="1">
      <c r="A126" s="579"/>
      <c r="B126" s="1113" t="s">
        <v>498</v>
      </c>
      <c r="C126" s="949"/>
      <c r="D126" s="949"/>
      <c r="E126" s="949"/>
      <c r="F126" s="949"/>
      <c r="G126" s="949"/>
      <c r="H126" s="949"/>
      <c r="I126" s="949"/>
      <c r="J126" s="950"/>
      <c r="K126" s="716"/>
    </row>
    <row r="127" spans="1:11" ht="24.75" customHeight="1">
      <c r="A127" s="579"/>
      <c r="B127" s="1086" t="s">
        <v>499</v>
      </c>
      <c r="C127" s="949"/>
      <c r="D127" s="949"/>
      <c r="E127" s="949"/>
      <c r="F127" s="949"/>
      <c r="G127" s="949"/>
      <c r="H127" s="949"/>
      <c r="I127" s="949"/>
      <c r="J127" s="950"/>
      <c r="K127" s="617"/>
    </row>
    <row r="128" spans="1:11" ht="28.5" customHeight="1">
      <c r="A128" s="579"/>
      <c r="B128" s="1105" t="s">
        <v>1019</v>
      </c>
      <c r="C128" s="949"/>
      <c r="D128" s="949"/>
      <c r="E128" s="949"/>
      <c r="F128" s="949"/>
      <c r="G128" s="949"/>
      <c r="H128" s="949"/>
      <c r="I128" s="949"/>
      <c r="J128" s="950"/>
      <c r="K128" s="665"/>
    </row>
    <row r="129" spans="1:11" ht="35.25" customHeight="1">
      <c r="A129" s="579"/>
      <c r="B129" s="717" t="s">
        <v>501</v>
      </c>
      <c r="C129" s="718">
        <f>J58</f>
        <v>4128.0200000000004</v>
      </c>
      <c r="D129" s="719" t="s">
        <v>502</v>
      </c>
      <c r="E129" s="717" t="s">
        <v>1020</v>
      </c>
      <c r="F129" s="718">
        <f>J115-J92-J97</f>
        <v>2160.33</v>
      </c>
      <c r="G129" s="719" t="s">
        <v>502</v>
      </c>
      <c r="H129" s="717" t="s">
        <v>504</v>
      </c>
      <c r="I129" s="718">
        <f>J124</f>
        <v>231.29</v>
      </c>
      <c r="J129" s="720">
        <f>C129+F129+I129</f>
        <v>6519.64</v>
      </c>
      <c r="K129" s="721"/>
    </row>
    <row r="130" spans="1:11" ht="30.75" customHeight="1">
      <c r="A130" s="579"/>
      <c r="B130" s="1120"/>
      <c r="C130" s="949"/>
      <c r="D130" s="949"/>
      <c r="E130" s="949"/>
      <c r="F130" s="949"/>
      <c r="G130" s="949"/>
      <c r="H130" s="949"/>
      <c r="I130" s="949"/>
      <c r="J130" s="950"/>
      <c r="K130" s="722"/>
    </row>
    <row r="131" spans="1:11" ht="15.75" customHeight="1">
      <c r="A131" s="579"/>
      <c r="B131" s="1121" t="s">
        <v>505</v>
      </c>
      <c r="C131" s="949"/>
      <c r="D131" s="949"/>
      <c r="E131" s="949"/>
      <c r="F131" s="949"/>
      <c r="G131" s="949"/>
      <c r="H131" s="949"/>
      <c r="I131" s="949"/>
      <c r="J131" s="950"/>
      <c r="K131" s="723"/>
    </row>
    <row r="132" spans="1:11" ht="17.25" customHeight="1">
      <c r="A132" s="579"/>
      <c r="B132" s="724" t="s">
        <v>506</v>
      </c>
      <c r="C132" s="1118" t="s">
        <v>507</v>
      </c>
      <c r="D132" s="949"/>
      <c r="E132" s="949"/>
      <c r="F132" s="949"/>
      <c r="G132" s="949"/>
      <c r="H132" s="949"/>
      <c r="I132" s="950"/>
      <c r="J132" s="724" t="s">
        <v>447</v>
      </c>
      <c r="K132" s="726"/>
    </row>
    <row r="133" spans="1:11" ht="45" customHeight="1">
      <c r="A133" s="579"/>
      <c r="B133" s="682" t="s">
        <v>369</v>
      </c>
      <c r="C133" s="1092" t="s">
        <v>1021</v>
      </c>
      <c r="D133" s="949"/>
      <c r="E133" s="949"/>
      <c r="F133" s="949"/>
      <c r="G133" s="949"/>
      <c r="H133" s="727">
        <v>9.0749999999999997E-2</v>
      </c>
      <c r="I133" s="873">
        <f>I86</f>
        <v>0.36800000000000005</v>
      </c>
      <c r="J133" s="671">
        <f>ROUND(H133*J58,2)*(1+I133)</f>
        <v>512.48016000000007</v>
      </c>
      <c r="K133" s="663"/>
    </row>
    <row r="134" spans="1:11" ht="17.25" customHeight="1">
      <c r="A134" s="579"/>
      <c r="B134" s="682" t="s">
        <v>371</v>
      </c>
      <c r="C134" s="1051" t="s">
        <v>1022</v>
      </c>
      <c r="D134" s="949"/>
      <c r="E134" s="949"/>
      <c r="F134" s="949"/>
      <c r="G134" s="949"/>
      <c r="H134" s="949"/>
      <c r="I134" s="950"/>
      <c r="J134" s="671">
        <f>ROUND((1/30)/12*(J129),2)</f>
        <v>18.11</v>
      </c>
      <c r="K134" s="663"/>
    </row>
    <row r="135" spans="1:11" ht="28.5" customHeight="1">
      <c r="A135" s="579"/>
      <c r="B135" s="682" t="s">
        <v>373</v>
      </c>
      <c r="C135" s="1051" t="s">
        <v>1023</v>
      </c>
      <c r="D135" s="949"/>
      <c r="E135" s="949"/>
      <c r="F135" s="949"/>
      <c r="G135" s="949"/>
      <c r="H135" s="949"/>
      <c r="I135" s="950"/>
      <c r="J135" s="671">
        <f>ROUND((5/30)/12*0.015*(J129),2)</f>
        <v>1.36</v>
      </c>
      <c r="K135" s="663"/>
    </row>
    <row r="136" spans="1:11" ht="33.75" customHeight="1">
      <c r="A136" s="579"/>
      <c r="B136" s="682" t="s">
        <v>375</v>
      </c>
      <c r="C136" s="1051" t="s">
        <v>1024</v>
      </c>
      <c r="D136" s="949"/>
      <c r="E136" s="949"/>
      <c r="F136" s="949"/>
      <c r="G136" s="949"/>
      <c r="H136" s="949"/>
      <c r="I136" s="950"/>
      <c r="J136" s="671">
        <f>ROUND(((15/30)/12)*0.0078*(J129),2)</f>
        <v>2.12</v>
      </c>
      <c r="K136" s="663"/>
    </row>
    <row r="137" spans="1:11" ht="30.75" customHeight="1">
      <c r="A137" s="579"/>
      <c r="B137" s="730" t="s">
        <v>417</v>
      </c>
      <c r="C137" s="1119" t="s">
        <v>1025</v>
      </c>
      <c r="D137" s="949"/>
      <c r="E137" s="949"/>
      <c r="F137" s="949"/>
      <c r="G137" s="949"/>
      <c r="H137" s="949"/>
      <c r="I137" s="950"/>
      <c r="J137" s="731">
        <f>ROUND(((((C129+C129/3)+(I86)*(C129+C129/3))*(4/12))/12)*0.02,2) + ((J106 -J92-J97+ J124)*4/12)*0.02</f>
        <v>5.7219333333333333</v>
      </c>
      <c r="K137" s="732"/>
    </row>
    <row r="138" spans="1:11" ht="53.25" customHeight="1">
      <c r="A138" s="579"/>
      <c r="B138" s="682" t="s">
        <v>421</v>
      </c>
      <c r="C138" s="1051" t="s">
        <v>1026</v>
      </c>
      <c r="D138" s="949"/>
      <c r="E138" s="949"/>
      <c r="F138" s="949"/>
      <c r="G138" s="949"/>
      <c r="H138" s="949"/>
      <c r="I138" s="950"/>
      <c r="J138" s="671">
        <f>ROUND(((3/30)/12)*(J129),2)</f>
        <v>54.33</v>
      </c>
      <c r="K138" s="663"/>
    </row>
    <row r="139" spans="1:11" ht="12" customHeight="1">
      <c r="A139" s="579"/>
      <c r="B139" s="1108" t="s">
        <v>450</v>
      </c>
      <c r="C139" s="949"/>
      <c r="D139" s="949"/>
      <c r="E139" s="949"/>
      <c r="F139" s="949"/>
      <c r="G139" s="949"/>
      <c r="H139" s="949"/>
      <c r="I139" s="950"/>
      <c r="J139" s="662">
        <f>SUM(J133:J138)</f>
        <v>594.12209333333351</v>
      </c>
      <c r="K139" s="663"/>
    </row>
    <row r="140" spans="1:11" ht="7.5" customHeight="1">
      <c r="A140" s="579"/>
      <c r="B140" s="1112"/>
      <c r="C140" s="949"/>
      <c r="D140" s="949"/>
      <c r="E140" s="949"/>
      <c r="F140" s="949"/>
      <c r="G140" s="949"/>
      <c r="H140" s="949"/>
      <c r="I140" s="949"/>
      <c r="J140" s="950"/>
      <c r="K140" s="715"/>
    </row>
    <row r="141" spans="1:11" ht="19.5" customHeight="1">
      <c r="A141" s="579"/>
      <c r="B141" s="1114" t="s">
        <v>514</v>
      </c>
      <c r="C141" s="949"/>
      <c r="D141" s="949"/>
      <c r="E141" s="949"/>
      <c r="F141" s="949"/>
      <c r="G141" s="949"/>
      <c r="H141" s="949"/>
      <c r="I141" s="949"/>
      <c r="J141" s="950"/>
      <c r="K141" s="654"/>
    </row>
    <row r="142" spans="1:11" ht="19.5" customHeight="1">
      <c r="A142" s="579"/>
      <c r="B142" s="733" t="s">
        <v>515</v>
      </c>
      <c r="C142" s="1122" t="s">
        <v>516</v>
      </c>
      <c r="D142" s="949"/>
      <c r="E142" s="949"/>
      <c r="F142" s="949"/>
      <c r="G142" s="949"/>
      <c r="H142" s="949"/>
      <c r="I142" s="950"/>
      <c r="J142" s="734" t="s">
        <v>447</v>
      </c>
      <c r="K142" s="735"/>
    </row>
    <row r="143" spans="1:11" ht="19.5" customHeight="1">
      <c r="A143" s="579"/>
      <c r="B143" s="736" t="s">
        <v>369</v>
      </c>
      <c r="C143" s="1125" t="s">
        <v>517</v>
      </c>
      <c r="D143" s="949"/>
      <c r="E143" s="949"/>
      <c r="F143" s="949"/>
      <c r="G143" s="949"/>
      <c r="H143" s="949"/>
      <c r="I143" s="950"/>
      <c r="J143" s="737">
        <v>0</v>
      </c>
      <c r="K143" s="738"/>
    </row>
    <row r="144" spans="1:11" ht="19.5" customHeight="1">
      <c r="A144" s="579"/>
      <c r="B144" s="1102" t="s">
        <v>450</v>
      </c>
      <c r="C144" s="949"/>
      <c r="D144" s="949"/>
      <c r="E144" s="949"/>
      <c r="F144" s="949"/>
      <c r="G144" s="949"/>
      <c r="H144" s="949"/>
      <c r="I144" s="950"/>
      <c r="J144" s="739">
        <v>0</v>
      </c>
      <c r="K144" s="738"/>
    </row>
    <row r="145" spans="1:11" ht="6.75" customHeight="1">
      <c r="A145" s="579"/>
      <c r="B145" s="1126"/>
      <c r="C145" s="949"/>
      <c r="D145" s="949"/>
      <c r="E145" s="949"/>
      <c r="F145" s="949"/>
      <c r="G145" s="949"/>
      <c r="H145" s="949"/>
      <c r="I145" s="949"/>
      <c r="J145" s="950"/>
      <c r="K145" s="740"/>
    </row>
    <row r="146" spans="1:11" ht="19.5" customHeight="1">
      <c r="A146" s="579"/>
      <c r="B146" s="1098" t="s">
        <v>518</v>
      </c>
      <c r="C146" s="949"/>
      <c r="D146" s="949"/>
      <c r="E146" s="949"/>
      <c r="F146" s="949"/>
      <c r="G146" s="949"/>
      <c r="H146" s="949"/>
      <c r="I146" s="949"/>
      <c r="J146" s="950"/>
      <c r="K146" s="653"/>
    </row>
    <row r="147" spans="1:11" ht="19.5" customHeight="1">
      <c r="A147" s="579"/>
      <c r="B147" s="668">
        <v>4</v>
      </c>
      <c r="C147" s="1122" t="s">
        <v>519</v>
      </c>
      <c r="D147" s="949"/>
      <c r="E147" s="949"/>
      <c r="F147" s="949"/>
      <c r="G147" s="949"/>
      <c r="H147" s="949"/>
      <c r="I147" s="950"/>
      <c r="J147" s="734" t="s">
        <v>447</v>
      </c>
      <c r="K147" s="735"/>
    </row>
    <row r="148" spans="1:11" ht="28.5" customHeight="1">
      <c r="A148" s="579"/>
      <c r="B148" s="600" t="s">
        <v>506</v>
      </c>
      <c r="C148" s="1125" t="s">
        <v>507</v>
      </c>
      <c r="D148" s="949"/>
      <c r="E148" s="949"/>
      <c r="F148" s="949"/>
      <c r="G148" s="949"/>
      <c r="H148" s="949"/>
      <c r="I148" s="950"/>
      <c r="J148" s="737">
        <f>J139</f>
        <v>594.12209333333351</v>
      </c>
      <c r="K148" s="738"/>
    </row>
    <row r="149" spans="1:11" ht="24" customHeight="1">
      <c r="A149" s="579"/>
      <c r="B149" s="600" t="s">
        <v>520</v>
      </c>
      <c r="C149" s="1125" t="s">
        <v>516</v>
      </c>
      <c r="D149" s="949"/>
      <c r="E149" s="949"/>
      <c r="F149" s="949"/>
      <c r="G149" s="949"/>
      <c r="H149" s="949"/>
      <c r="I149" s="950"/>
      <c r="J149" s="737">
        <f>J144</f>
        <v>0</v>
      </c>
      <c r="K149" s="738"/>
    </row>
    <row r="150" spans="1:11" ht="24" customHeight="1">
      <c r="A150" s="579"/>
      <c r="B150" s="1115" t="s">
        <v>450</v>
      </c>
      <c r="C150" s="949"/>
      <c r="D150" s="949"/>
      <c r="E150" s="949"/>
      <c r="F150" s="949"/>
      <c r="G150" s="949"/>
      <c r="H150" s="949"/>
      <c r="I150" s="950"/>
      <c r="J150" s="739">
        <f>SUM(J148+J149)</f>
        <v>594.12209333333351</v>
      </c>
      <c r="K150" s="738"/>
    </row>
    <row r="151" spans="1:11" ht="9.75" customHeight="1">
      <c r="A151" s="579"/>
      <c r="B151" s="1126"/>
      <c r="C151" s="949"/>
      <c r="D151" s="949"/>
      <c r="E151" s="949"/>
      <c r="F151" s="949"/>
      <c r="G151" s="949"/>
      <c r="H151" s="949"/>
      <c r="I151" s="949"/>
      <c r="J151" s="950"/>
      <c r="K151" s="740"/>
    </row>
    <row r="152" spans="1:11" ht="15.75" customHeight="1">
      <c r="A152" s="579"/>
      <c r="B152" s="1113" t="s">
        <v>521</v>
      </c>
      <c r="C152" s="949"/>
      <c r="D152" s="949"/>
      <c r="E152" s="949"/>
      <c r="F152" s="949"/>
      <c r="G152" s="949"/>
      <c r="H152" s="949"/>
      <c r="I152" s="949"/>
      <c r="J152" s="950"/>
      <c r="K152" s="716"/>
    </row>
    <row r="153" spans="1:11" ht="15.75" customHeight="1">
      <c r="A153" s="579"/>
      <c r="B153" s="680">
        <v>3</v>
      </c>
      <c r="C153" s="1089" t="s">
        <v>522</v>
      </c>
      <c r="D153" s="949"/>
      <c r="E153" s="949"/>
      <c r="F153" s="949"/>
      <c r="G153" s="949"/>
      <c r="H153" s="949"/>
      <c r="I153" s="950"/>
      <c r="J153" s="680" t="s">
        <v>447</v>
      </c>
      <c r="K153" s="712"/>
    </row>
    <row r="154" spans="1:11" ht="24" customHeight="1">
      <c r="A154" s="579"/>
      <c r="B154" s="682" t="s">
        <v>369</v>
      </c>
      <c r="C154" s="1051" t="s">
        <v>658</v>
      </c>
      <c r="D154" s="949"/>
      <c r="E154" s="949"/>
      <c r="F154" s="949"/>
      <c r="G154" s="949"/>
      <c r="H154" s="949"/>
      <c r="I154" s="950"/>
      <c r="J154" s="671">
        <v>0</v>
      </c>
      <c r="K154" s="663"/>
    </row>
    <row r="155" spans="1:11" ht="15.75" customHeight="1">
      <c r="A155" s="579"/>
      <c r="B155" s="682" t="s">
        <v>371</v>
      </c>
      <c r="C155" s="1051" t="s">
        <v>659</v>
      </c>
      <c r="D155" s="949"/>
      <c r="E155" s="949"/>
      <c r="F155" s="949"/>
      <c r="G155" s="949"/>
      <c r="H155" s="949"/>
      <c r="I155" s="950"/>
      <c r="J155" s="742">
        <v>0</v>
      </c>
      <c r="K155" s="704"/>
    </row>
    <row r="156" spans="1:11" ht="15.75" customHeight="1">
      <c r="A156" s="579"/>
      <c r="B156" s="682" t="s">
        <v>373</v>
      </c>
      <c r="C156" s="1051" t="s">
        <v>524</v>
      </c>
      <c r="D156" s="949"/>
      <c r="E156" s="949"/>
      <c r="F156" s="949"/>
      <c r="G156" s="949"/>
      <c r="H156" s="949"/>
      <c r="I156" s="950"/>
      <c r="J156" s="742" t="s">
        <v>525</v>
      </c>
      <c r="K156" s="704"/>
    </row>
    <row r="157" spans="1:11" ht="19.5" customHeight="1">
      <c r="A157" s="579"/>
      <c r="B157" s="1108" t="s">
        <v>526</v>
      </c>
      <c r="C157" s="949"/>
      <c r="D157" s="949"/>
      <c r="E157" s="949"/>
      <c r="F157" s="949"/>
      <c r="G157" s="949"/>
      <c r="H157" s="949"/>
      <c r="I157" s="950"/>
      <c r="J157" s="743">
        <f>ROUND(SUM(J154:J156),2)</f>
        <v>0</v>
      </c>
      <c r="K157" s="704"/>
    </row>
    <row r="158" spans="1:11" ht="7.5" customHeight="1">
      <c r="A158" s="579"/>
      <c r="B158" s="1153"/>
      <c r="C158" s="949"/>
      <c r="D158" s="949"/>
      <c r="E158" s="949"/>
      <c r="F158" s="949"/>
      <c r="G158" s="949"/>
      <c r="H158" s="949"/>
      <c r="I158" s="949"/>
      <c r="J158" s="950"/>
      <c r="K158" s="744"/>
    </row>
    <row r="159" spans="1:11" ht="18.75" customHeight="1">
      <c r="A159" s="579"/>
      <c r="B159" s="1154" t="s">
        <v>527</v>
      </c>
      <c r="C159" s="949"/>
      <c r="D159" s="949"/>
      <c r="E159" s="949"/>
      <c r="F159" s="949"/>
      <c r="G159" s="949"/>
      <c r="H159" s="949"/>
      <c r="I159" s="949"/>
      <c r="J159" s="950"/>
      <c r="K159" s="745"/>
    </row>
    <row r="160" spans="1:11" ht="10.5" customHeight="1">
      <c r="A160" s="579"/>
      <c r="B160" s="746"/>
      <c r="C160" s="747"/>
      <c r="D160" s="747"/>
      <c r="E160" s="747"/>
      <c r="F160" s="747"/>
      <c r="G160" s="747"/>
      <c r="H160" s="747"/>
      <c r="I160" s="747"/>
      <c r="J160" s="748"/>
      <c r="K160" s="314"/>
    </row>
    <row r="161" spans="1:11" ht="24" customHeight="1">
      <c r="A161" s="579"/>
      <c r="B161" s="1117" t="s">
        <v>528</v>
      </c>
      <c r="C161" s="949"/>
      <c r="D161" s="949"/>
      <c r="E161" s="949"/>
      <c r="F161" s="949"/>
      <c r="G161" s="949"/>
      <c r="H161" s="949"/>
      <c r="I161" s="949"/>
      <c r="J161" s="950"/>
      <c r="K161" s="711"/>
    </row>
    <row r="162" spans="1:11" ht="18.75" customHeight="1">
      <c r="A162" s="579"/>
      <c r="B162" s="680">
        <v>6</v>
      </c>
      <c r="C162" s="1118" t="s">
        <v>529</v>
      </c>
      <c r="D162" s="949"/>
      <c r="E162" s="949"/>
      <c r="F162" s="949"/>
      <c r="G162" s="949"/>
      <c r="H162" s="950"/>
      <c r="I162" s="749" t="s">
        <v>411</v>
      </c>
      <c r="J162" s="750" t="s">
        <v>455</v>
      </c>
      <c r="K162" s="751"/>
    </row>
    <row r="163" spans="1:11" ht="60" customHeight="1">
      <c r="A163" s="579"/>
      <c r="B163" s="1062" t="s">
        <v>530</v>
      </c>
      <c r="C163" s="949"/>
      <c r="D163" s="949"/>
      <c r="E163" s="949"/>
      <c r="F163" s="949"/>
      <c r="G163" s="949"/>
      <c r="H163" s="950"/>
      <c r="I163" s="341" t="s">
        <v>382</v>
      </c>
      <c r="J163" s="752">
        <f>SUM(J63+J115+J124+J150+J157)</f>
        <v>7113.7620933333337</v>
      </c>
      <c r="K163" s="753"/>
    </row>
    <row r="164" spans="1:11" ht="24" customHeight="1">
      <c r="A164" s="579"/>
      <c r="B164" s="682" t="s">
        <v>369</v>
      </c>
      <c r="C164" s="1155" t="s">
        <v>531</v>
      </c>
      <c r="D164" s="949"/>
      <c r="E164" s="949"/>
      <c r="F164" s="949"/>
      <c r="G164" s="949"/>
      <c r="H164" s="950"/>
      <c r="I164" s="670">
        <f>'1-ABA-DE-CARREGAMENTO'!J85</f>
        <v>0.06</v>
      </c>
      <c r="J164" s="671">
        <f>ROUND(I164*J163,2)</f>
        <v>426.83</v>
      </c>
      <c r="K164" s="663"/>
    </row>
    <row r="165" spans="1:11" ht="50.25" customHeight="1">
      <c r="A165" s="579"/>
      <c r="B165" s="1062" t="s">
        <v>532</v>
      </c>
      <c r="C165" s="949"/>
      <c r="D165" s="949"/>
      <c r="E165" s="949"/>
      <c r="F165" s="949"/>
      <c r="G165" s="949"/>
      <c r="H165" s="950"/>
      <c r="I165" s="754" t="s">
        <v>382</v>
      </c>
      <c r="J165" s="752">
        <f>SUM(J63+J115+J124+J150+J157+J164)</f>
        <v>7540.5920933333337</v>
      </c>
      <c r="K165" s="753"/>
    </row>
    <row r="166" spans="1:11" ht="19.5" customHeight="1">
      <c r="A166" s="579"/>
      <c r="B166" s="682" t="s">
        <v>371</v>
      </c>
      <c r="C166" s="1155" t="s">
        <v>312</v>
      </c>
      <c r="D166" s="949"/>
      <c r="E166" s="949"/>
      <c r="F166" s="949"/>
      <c r="G166" s="949"/>
      <c r="H166" s="950"/>
      <c r="I166" s="670">
        <f>'1-ABA-DE-CARREGAMENTO'!J86</f>
        <v>0.06</v>
      </c>
      <c r="J166" s="671">
        <f>ROUND(I166*J165,2)</f>
        <v>452.44</v>
      </c>
      <c r="K166" s="663"/>
    </row>
    <row r="167" spans="1:11" ht="54" customHeight="1">
      <c r="A167" s="579"/>
      <c r="B167" s="1062" t="s">
        <v>533</v>
      </c>
      <c r="C167" s="949"/>
      <c r="D167" s="949"/>
      <c r="E167" s="949"/>
      <c r="F167" s="949"/>
      <c r="G167" s="949"/>
      <c r="H167" s="950"/>
      <c r="I167" s="754" t="s">
        <v>382</v>
      </c>
      <c r="J167" s="752">
        <f>SUM(J163+J164+J166)</f>
        <v>7993.0320933333333</v>
      </c>
      <c r="K167" s="753"/>
    </row>
    <row r="168" spans="1:11" ht="18.75" customHeight="1">
      <c r="A168" s="579"/>
      <c r="B168" s="755" t="s">
        <v>373</v>
      </c>
      <c r="C168" s="1117" t="s">
        <v>534</v>
      </c>
      <c r="D168" s="949"/>
      <c r="E168" s="949"/>
      <c r="F168" s="949"/>
      <c r="G168" s="949"/>
      <c r="H168" s="950"/>
      <c r="I168" s="756" t="s">
        <v>382</v>
      </c>
      <c r="J168" s="643" t="s">
        <v>382</v>
      </c>
      <c r="K168" s="644"/>
    </row>
    <row r="169" spans="1:11" ht="30" customHeight="1">
      <c r="A169" s="579"/>
      <c r="B169" s="682"/>
      <c r="C169" s="1111" t="s">
        <v>535</v>
      </c>
      <c r="D169" s="949"/>
      <c r="E169" s="949"/>
      <c r="F169" s="949"/>
      <c r="G169" s="949"/>
      <c r="H169" s="950"/>
      <c r="I169" s="756" t="s">
        <v>382</v>
      </c>
      <c r="J169" s="643" t="s">
        <v>382</v>
      </c>
      <c r="K169" s="644"/>
    </row>
    <row r="170" spans="1:11" ht="23.25" customHeight="1">
      <c r="A170" s="579"/>
      <c r="B170" s="682"/>
      <c r="C170" s="1156" t="s">
        <v>1027</v>
      </c>
      <c r="D170" s="949"/>
      <c r="E170" s="949"/>
      <c r="F170" s="949"/>
      <c r="G170" s="949"/>
      <c r="H170" s="950"/>
      <c r="I170" s="629">
        <f>'1-ABA-DE-CARREGAMENTO'!E28</f>
        <v>1.6500000000000001E-2</v>
      </c>
      <c r="J170" s="757">
        <f t="shared" ref="J170:J171" si="1">ROUND(($J$167/(1-$I$179))*I170,2)</f>
        <v>150.30000000000001</v>
      </c>
      <c r="K170" s="758"/>
    </row>
    <row r="171" spans="1:11" ht="23.25" customHeight="1">
      <c r="A171" s="579"/>
      <c r="B171" s="682"/>
      <c r="C171" s="1156" t="s">
        <v>1028</v>
      </c>
      <c r="D171" s="949"/>
      <c r="E171" s="949"/>
      <c r="F171" s="949"/>
      <c r="G171" s="949"/>
      <c r="H171" s="950"/>
      <c r="I171" s="629">
        <f>'1-ABA-DE-CARREGAMENTO'!F28</f>
        <v>7.5999999999999998E-2</v>
      </c>
      <c r="J171" s="757">
        <f t="shared" si="1"/>
        <v>692.27</v>
      </c>
      <c r="K171" s="758"/>
    </row>
    <row r="172" spans="1:11" ht="23.25" customHeight="1">
      <c r="A172" s="579"/>
      <c r="B172" s="682"/>
      <c r="C172" s="1051" t="s">
        <v>1029</v>
      </c>
      <c r="D172" s="949"/>
      <c r="E172" s="949"/>
      <c r="F172" s="949"/>
      <c r="G172" s="949"/>
      <c r="H172" s="950"/>
      <c r="I172" s="759" t="s">
        <v>382</v>
      </c>
      <c r="J172" s="643" t="s">
        <v>382</v>
      </c>
      <c r="K172" s="644"/>
    </row>
    <row r="173" spans="1:11" ht="23.25" customHeight="1">
      <c r="A173" s="579"/>
      <c r="B173" s="682"/>
      <c r="C173" s="1051" t="s">
        <v>1030</v>
      </c>
      <c r="D173" s="949"/>
      <c r="E173" s="949"/>
      <c r="F173" s="949"/>
      <c r="G173" s="949"/>
      <c r="H173" s="950"/>
      <c r="I173" s="759" t="s">
        <v>382</v>
      </c>
      <c r="J173" s="643" t="s">
        <v>382</v>
      </c>
      <c r="K173" s="644"/>
    </row>
    <row r="174" spans="1:11" ht="15.75" customHeight="1">
      <c r="A174" s="579"/>
      <c r="B174" s="682"/>
      <c r="C174" s="1051" t="s">
        <v>540</v>
      </c>
      <c r="D174" s="949"/>
      <c r="E174" s="949"/>
      <c r="F174" s="949"/>
      <c r="G174" s="949"/>
      <c r="H174" s="949"/>
      <c r="I174" s="760" t="s">
        <v>382</v>
      </c>
      <c r="J174" s="761" t="s">
        <v>382</v>
      </c>
      <c r="K174" s="762"/>
    </row>
    <row r="175" spans="1:11" ht="15.75" customHeight="1">
      <c r="A175" s="579"/>
      <c r="B175" s="682"/>
      <c r="C175" s="1051" t="s">
        <v>541</v>
      </c>
      <c r="D175" s="949"/>
      <c r="E175" s="949"/>
      <c r="F175" s="949"/>
      <c r="G175" s="949"/>
      <c r="H175" s="949"/>
      <c r="I175" s="760" t="s">
        <v>382</v>
      </c>
      <c r="J175" s="761" t="s">
        <v>382</v>
      </c>
      <c r="K175" s="762"/>
    </row>
    <row r="176" spans="1:11" ht="15.75" customHeight="1">
      <c r="A176" s="579"/>
      <c r="B176" s="682"/>
      <c r="C176" s="1051" t="s">
        <v>1031</v>
      </c>
      <c r="D176" s="949"/>
      <c r="E176" s="949"/>
      <c r="F176" s="949"/>
      <c r="G176" s="949"/>
      <c r="H176" s="950"/>
      <c r="I176" s="763">
        <f>'1-ABA-DE-CARREGAMENTO'!D87</f>
        <v>0.03</v>
      </c>
      <c r="J176" s="757">
        <f>ROUND(($J$167/(1-$I$179))*I176,2)</f>
        <v>273.27</v>
      </c>
      <c r="K176" s="758"/>
    </row>
    <row r="177" spans="1:11" ht="15.75" customHeight="1">
      <c r="A177" s="579"/>
      <c r="B177" s="1108" t="s">
        <v>497</v>
      </c>
      <c r="C177" s="949"/>
      <c r="D177" s="949"/>
      <c r="E177" s="949"/>
      <c r="F177" s="949"/>
      <c r="G177" s="949"/>
      <c r="H177" s="949"/>
      <c r="I177" s="950"/>
      <c r="J177" s="662">
        <f>SUM(J164+J166+J170+J171+J176)</f>
        <v>1995.11</v>
      </c>
      <c r="K177" s="663"/>
    </row>
    <row r="178" spans="1:11" ht="15.75" customHeight="1">
      <c r="A178" s="579"/>
      <c r="B178" s="1112"/>
      <c r="C178" s="949"/>
      <c r="D178" s="949"/>
      <c r="E178" s="949"/>
      <c r="F178" s="949"/>
      <c r="G178" s="949"/>
      <c r="H178" s="949"/>
      <c r="I178" s="949"/>
      <c r="J178" s="950"/>
      <c r="K178" s="715"/>
    </row>
    <row r="179" spans="1:11" ht="15.75" customHeight="1">
      <c r="A179" s="579"/>
      <c r="B179" s="1157" t="s">
        <v>543</v>
      </c>
      <c r="C179" s="949"/>
      <c r="D179" s="949"/>
      <c r="E179" s="949"/>
      <c r="F179" s="949"/>
      <c r="G179" s="949"/>
      <c r="H179" s="950"/>
      <c r="I179" s="764">
        <f t="shared" ref="I179:J179" si="2">SUM(I170:I176)</f>
        <v>0.1225</v>
      </c>
      <c r="J179" s="752">
        <f t="shared" si="2"/>
        <v>1115.8399999999999</v>
      </c>
      <c r="K179" s="753"/>
    </row>
    <row r="180" spans="1:11" ht="15.75" customHeight="1">
      <c r="A180" s="579"/>
      <c r="B180" s="1158" t="s">
        <v>544</v>
      </c>
      <c r="C180" s="947"/>
      <c r="D180" s="1159" t="s">
        <v>545</v>
      </c>
      <c r="E180" s="947"/>
      <c r="F180" s="947"/>
      <c r="G180" s="947"/>
      <c r="H180" s="947"/>
      <c r="I180" s="947"/>
      <c r="J180" s="1020"/>
      <c r="K180" s="765"/>
    </row>
    <row r="181" spans="1:11" ht="15.75" customHeight="1">
      <c r="A181" s="579"/>
      <c r="B181" s="1151"/>
      <c r="C181" s="947"/>
      <c r="D181" s="1160" t="s">
        <v>546</v>
      </c>
      <c r="E181" s="947"/>
      <c r="F181" s="947"/>
      <c r="G181" s="947"/>
      <c r="H181" s="947"/>
      <c r="I181" s="947"/>
      <c r="J181" s="1020"/>
      <c r="K181" s="766"/>
    </row>
    <row r="182" spans="1:11" ht="15.75" customHeight="1">
      <c r="A182" s="579"/>
      <c r="B182" s="1134"/>
      <c r="C182" s="1037"/>
      <c r="D182" s="1161" t="s">
        <v>547</v>
      </c>
      <c r="E182" s="1037"/>
      <c r="F182" s="1037"/>
      <c r="G182" s="1037"/>
      <c r="H182" s="1037"/>
      <c r="I182" s="1037"/>
      <c r="J182" s="1038"/>
      <c r="K182" s="765"/>
    </row>
    <row r="183" spans="1:11" ht="9" customHeight="1">
      <c r="A183" s="579"/>
      <c r="B183" s="1162"/>
      <c r="C183" s="949"/>
      <c r="D183" s="949"/>
      <c r="E183" s="949"/>
      <c r="F183" s="949"/>
      <c r="G183" s="949"/>
      <c r="H183" s="949"/>
      <c r="I183" s="949"/>
      <c r="J183" s="950"/>
      <c r="K183" s="767"/>
    </row>
    <row r="184" spans="1:11" ht="25.5" customHeight="1">
      <c r="A184" s="579"/>
      <c r="B184" s="1046" t="s">
        <v>548</v>
      </c>
      <c r="C184" s="949"/>
      <c r="D184" s="949"/>
      <c r="E184" s="949"/>
      <c r="F184" s="949"/>
      <c r="G184" s="949"/>
      <c r="H184" s="949"/>
      <c r="I184" s="949"/>
      <c r="J184" s="950"/>
      <c r="K184" s="596"/>
    </row>
    <row r="185" spans="1:11" ht="12" customHeight="1">
      <c r="A185" s="579"/>
      <c r="B185" s="1112"/>
      <c r="C185" s="949"/>
      <c r="D185" s="949"/>
      <c r="E185" s="949"/>
      <c r="F185" s="949"/>
      <c r="G185" s="949"/>
      <c r="H185" s="949"/>
      <c r="I185" s="949"/>
      <c r="J185" s="950"/>
      <c r="K185" s="715"/>
    </row>
    <row r="186" spans="1:11" ht="15.75" customHeight="1">
      <c r="A186" s="579"/>
      <c r="B186" s="1113" t="s">
        <v>1032</v>
      </c>
      <c r="C186" s="949"/>
      <c r="D186" s="949"/>
      <c r="E186" s="949"/>
      <c r="F186" s="949"/>
      <c r="G186" s="949"/>
      <c r="H186" s="949"/>
      <c r="I186" s="949"/>
      <c r="J186" s="950"/>
      <c r="K186" s="716"/>
    </row>
    <row r="187" spans="1:11" ht="15.75" customHeight="1">
      <c r="A187" s="579"/>
      <c r="B187" s="1050" t="s">
        <v>550</v>
      </c>
      <c r="C187" s="949"/>
      <c r="D187" s="949"/>
      <c r="E187" s="949"/>
      <c r="F187" s="949"/>
      <c r="G187" s="949"/>
      <c r="H187" s="949"/>
      <c r="I187" s="950"/>
      <c r="J187" s="749" t="s">
        <v>447</v>
      </c>
      <c r="K187" s="593"/>
    </row>
    <row r="188" spans="1:11" ht="15.75" customHeight="1">
      <c r="A188" s="579"/>
      <c r="B188" s="768" t="s">
        <v>369</v>
      </c>
      <c r="C188" s="1123" t="s">
        <v>551</v>
      </c>
      <c r="D188" s="949"/>
      <c r="E188" s="949"/>
      <c r="F188" s="949"/>
      <c r="G188" s="949"/>
      <c r="H188" s="949"/>
      <c r="I188" s="949"/>
      <c r="J188" s="742">
        <f>J63</f>
        <v>4128.0200000000004</v>
      </c>
      <c r="K188" s="704"/>
    </row>
    <row r="189" spans="1:11" ht="15.75" customHeight="1">
      <c r="A189" s="579"/>
      <c r="B189" s="768" t="s">
        <v>371</v>
      </c>
      <c r="C189" s="1123" t="s">
        <v>552</v>
      </c>
      <c r="D189" s="949"/>
      <c r="E189" s="949"/>
      <c r="F189" s="949"/>
      <c r="G189" s="949"/>
      <c r="H189" s="949"/>
      <c r="I189" s="949"/>
      <c r="J189" s="742">
        <f>J115</f>
        <v>2160.33</v>
      </c>
      <c r="K189" s="704"/>
    </row>
    <row r="190" spans="1:11" ht="15.75" customHeight="1">
      <c r="A190" s="579"/>
      <c r="B190" s="768" t="s">
        <v>373</v>
      </c>
      <c r="C190" s="1123" t="s">
        <v>553</v>
      </c>
      <c r="D190" s="949"/>
      <c r="E190" s="949"/>
      <c r="F190" s="949"/>
      <c r="G190" s="949"/>
      <c r="H190" s="949"/>
      <c r="I190" s="949"/>
      <c r="J190" s="742">
        <f>J124</f>
        <v>231.29</v>
      </c>
      <c r="K190" s="704"/>
    </row>
    <row r="191" spans="1:11" ht="15.75" customHeight="1">
      <c r="A191" s="579"/>
      <c r="B191" s="768" t="s">
        <v>375</v>
      </c>
      <c r="C191" s="1123" t="s">
        <v>554</v>
      </c>
      <c r="D191" s="949"/>
      <c r="E191" s="949"/>
      <c r="F191" s="949"/>
      <c r="G191" s="949"/>
      <c r="H191" s="949"/>
      <c r="I191" s="949"/>
      <c r="J191" s="742">
        <f>J150</f>
        <v>594.12209333333351</v>
      </c>
      <c r="K191" s="704"/>
    </row>
    <row r="192" spans="1:11" ht="15.75" customHeight="1">
      <c r="A192" s="579"/>
      <c r="B192" s="768" t="s">
        <v>417</v>
      </c>
      <c r="C192" s="1123" t="s">
        <v>555</v>
      </c>
      <c r="D192" s="949"/>
      <c r="E192" s="949"/>
      <c r="F192" s="949"/>
      <c r="G192" s="949"/>
      <c r="H192" s="949"/>
      <c r="I192" s="949"/>
      <c r="J192" s="742">
        <f>J157</f>
        <v>0</v>
      </c>
      <c r="K192" s="704"/>
    </row>
    <row r="193" spans="1:11" ht="15.75" customHeight="1">
      <c r="A193" s="579"/>
      <c r="B193" s="1124" t="s">
        <v>556</v>
      </c>
      <c r="C193" s="949"/>
      <c r="D193" s="949"/>
      <c r="E193" s="949"/>
      <c r="F193" s="949"/>
      <c r="G193" s="949"/>
      <c r="H193" s="949"/>
      <c r="I193" s="949"/>
      <c r="J193" s="743">
        <f>ROUND(SUM(J188:J192),2)</f>
        <v>7113.76</v>
      </c>
      <c r="K193" s="704"/>
    </row>
    <row r="194" spans="1:11" ht="15.75" customHeight="1">
      <c r="A194" s="579"/>
      <c r="B194" s="769" t="s">
        <v>421</v>
      </c>
      <c r="C194" s="1123" t="s">
        <v>528</v>
      </c>
      <c r="D194" s="949"/>
      <c r="E194" s="949"/>
      <c r="F194" s="949"/>
      <c r="G194" s="949"/>
      <c r="H194" s="949"/>
      <c r="I194" s="949"/>
      <c r="J194" s="742">
        <f>J177</f>
        <v>1995.11</v>
      </c>
      <c r="K194" s="704"/>
    </row>
    <row r="195" spans="1:11" ht="15.75" customHeight="1">
      <c r="A195" s="579"/>
      <c r="B195" s="1124" t="s">
        <v>666</v>
      </c>
      <c r="C195" s="949"/>
      <c r="D195" s="949"/>
      <c r="E195" s="949"/>
      <c r="F195" s="949"/>
      <c r="G195" s="949"/>
      <c r="H195" s="949"/>
      <c r="I195" s="949"/>
      <c r="J195" s="743">
        <f>J193+J194</f>
        <v>9108.8700000000008</v>
      </c>
      <c r="K195" s="704"/>
    </row>
    <row r="196" spans="1:11" ht="34.5" customHeight="1">
      <c r="A196" s="579"/>
      <c r="B196" s="1169" t="s">
        <v>558</v>
      </c>
      <c r="C196" s="949"/>
      <c r="D196" s="949"/>
      <c r="E196" s="949"/>
      <c r="F196" s="949"/>
      <c r="G196" s="949"/>
      <c r="H196" s="949"/>
      <c r="I196" s="949"/>
      <c r="J196" s="950"/>
      <c r="K196" s="874"/>
    </row>
    <row r="197" spans="1:11" ht="8.25" customHeight="1">
      <c r="A197" s="579"/>
      <c r="B197" s="1170"/>
      <c r="C197" s="949"/>
      <c r="D197" s="949"/>
      <c r="E197" s="949"/>
      <c r="F197" s="949"/>
      <c r="G197" s="949"/>
      <c r="H197" s="949"/>
      <c r="I197" s="949"/>
      <c r="J197" s="950"/>
      <c r="K197" s="771"/>
    </row>
    <row r="198" spans="1:11" ht="15.75" customHeight="1">
      <c r="A198" s="579"/>
      <c r="B198" s="772"/>
      <c r="C198" s="587"/>
      <c r="D198" s="587"/>
      <c r="E198" s="587"/>
      <c r="F198" s="587"/>
      <c r="G198" s="587"/>
      <c r="H198" s="587"/>
      <c r="I198" s="773"/>
      <c r="J198" s="774"/>
      <c r="K198" s="773"/>
    </row>
    <row r="199" spans="1:11" ht="15.75" customHeight="1">
      <c r="A199" s="579"/>
      <c r="B199" s="1129" t="s">
        <v>1033</v>
      </c>
      <c r="C199" s="947"/>
      <c r="D199" s="947"/>
      <c r="E199" s="947"/>
      <c r="F199" s="947"/>
      <c r="G199" s="947"/>
      <c r="H199" s="947"/>
      <c r="I199" s="947"/>
      <c r="J199" s="1020"/>
      <c r="K199" s="588"/>
    </row>
    <row r="200" spans="1:11" ht="37.5" customHeight="1">
      <c r="A200" s="579"/>
      <c r="B200" s="1075" t="s">
        <v>560</v>
      </c>
      <c r="C200" s="949"/>
      <c r="D200" s="949"/>
      <c r="E200" s="950"/>
      <c r="F200" s="1075" t="s">
        <v>667</v>
      </c>
      <c r="G200" s="950"/>
      <c r="H200" s="749" t="s">
        <v>563</v>
      </c>
      <c r="I200" s="1075" t="s">
        <v>564</v>
      </c>
      <c r="J200" s="950"/>
      <c r="K200" s="593"/>
    </row>
    <row r="201" spans="1:11" ht="36" hidden="1" customHeight="1" outlineLevel="1">
      <c r="A201" s="579"/>
      <c r="B201" s="1051" t="s">
        <v>565</v>
      </c>
      <c r="C201" s="949"/>
      <c r="D201" s="949"/>
      <c r="E201" s="950"/>
      <c r="F201" s="1140">
        <v>0</v>
      </c>
      <c r="G201" s="950"/>
      <c r="H201" s="875">
        <f t="shared" ref="H201:H202" si="3">E201*F201</f>
        <v>0</v>
      </c>
      <c r="I201" s="1140">
        <f t="shared" ref="I201:I203" si="4">F201*H201</f>
        <v>0</v>
      </c>
      <c r="J201" s="950"/>
      <c r="K201" s="779"/>
    </row>
    <row r="202" spans="1:11" ht="36" hidden="1" customHeight="1" outlineLevel="1">
      <c r="A202" s="579"/>
      <c r="B202" s="1051" t="s">
        <v>566</v>
      </c>
      <c r="C202" s="949"/>
      <c r="D202" s="949"/>
      <c r="E202" s="950"/>
      <c r="F202" s="1140">
        <v>0</v>
      </c>
      <c r="G202" s="950"/>
      <c r="H202" s="875">
        <f t="shared" si="3"/>
        <v>0</v>
      </c>
      <c r="I202" s="1140">
        <f t="shared" si="4"/>
        <v>0</v>
      </c>
      <c r="J202" s="950"/>
      <c r="K202" s="779"/>
    </row>
    <row r="203" spans="1:11" ht="36" customHeight="1" collapsed="1">
      <c r="A203" s="579"/>
      <c r="B203" s="1141" t="str">
        <f>B3</f>
        <v>A NÃO TEM MAIS POSTOS-55</v>
      </c>
      <c r="C203" s="949"/>
      <c r="D203" s="949"/>
      <c r="E203" s="950"/>
      <c r="F203" s="1131">
        <f>J195</f>
        <v>9108.8700000000008</v>
      </c>
      <c r="G203" s="950"/>
      <c r="H203" s="875">
        <f>I17</f>
        <v>0</v>
      </c>
      <c r="I203" s="1140">
        <f t="shared" si="4"/>
        <v>0</v>
      </c>
      <c r="J203" s="950"/>
      <c r="K203" s="779"/>
    </row>
    <row r="204" spans="1:11" ht="36" hidden="1" customHeight="1" outlineLevel="1">
      <c r="A204" s="579"/>
      <c r="B204" s="1051" t="s">
        <v>567</v>
      </c>
      <c r="C204" s="949"/>
      <c r="D204" s="949"/>
      <c r="E204" s="950"/>
      <c r="F204" s="1131">
        <v>0</v>
      </c>
      <c r="G204" s="950"/>
      <c r="H204" s="875">
        <f t="shared" ref="H204:I204" si="5">E204*G204</f>
        <v>0</v>
      </c>
      <c r="I204" s="1140">
        <f t="shared" si="5"/>
        <v>0</v>
      </c>
      <c r="J204" s="950"/>
      <c r="K204" s="779"/>
    </row>
    <row r="205" spans="1:11" ht="36" hidden="1" customHeight="1" outlineLevel="1">
      <c r="A205" s="579"/>
      <c r="B205" s="1051" t="s">
        <v>568</v>
      </c>
      <c r="C205" s="949"/>
      <c r="D205" s="949"/>
      <c r="E205" s="950"/>
      <c r="F205" s="1131">
        <v>0</v>
      </c>
      <c r="G205" s="950"/>
      <c r="H205" s="875">
        <f t="shared" ref="H205:I205" si="6">E205*G205</f>
        <v>0</v>
      </c>
      <c r="I205" s="1140">
        <f t="shared" si="6"/>
        <v>0</v>
      </c>
      <c r="J205" s="950"/>
      <c r="K205" s="779"/>
    </row>
    <row r="206" spans="1:11" ht="15.75" hidden="1" customHeight="1" outlineLevel="1">
      <c r="A206" s="579"/>
      <c r="B206" s="1142" t="s">
        <v>1034</v>
      </c>
      <c r="C206" s="949"/>
      <c r="D206" s="949"/>
      <c r="E206" s="950"/>
      <c r="F206" s="1140">
        <v>0</v>
      </c>
      <c r="G206" s="950"/>
      <c r="H206" s="875">
        <f t="shared" ref="H206:I206" si="7">E206*G206</f>
        <v>0</v>
      </c>
      <c r="I206" s="1140">
        <f t="shared" si="7"/>
        <v>0</v>
      </c>
      <c r="J206" s="950"/>
      <c r="K206" s="779"/>
    </row>
    <row r="207" spans="1:11" ht="15.75" customHeight="1" collapsed="1">
      <c r="A207" s="579"/>
      <c r="B207" s="1143" t="s">
        <v>570</v>
      </c>
      <c r="C207" s="949"/>
      <c r="D207" s="949"/>
      <c r="E207" s="949"/>
      <c r="F207" s="949"/>
      <c r="G207" s="950"/>
      <c r="H207" s="906">
        <f>SUM(H201:H206)</f>
        <v>0</v>
      </c>
      <c r="I207" s="1176">
        <f>SUM(I201:J206)</f>
        <v>0</v>
      </c>
      <c r="J207" s="950"/>
      <c r="K207" s="786"/>
    </row>
    <row r="208" spans="1:11" ht="7.5" customHeight="1">
      <c r="A208" s="579"/>
      <c r="B208" s="1144"/>
      <c r="C208" s="1145"/>
      <c r="D208" s="1145"/>
      <c r="E208" s="1145"/>
      <c r="F208" s="1145"/>
      <c r="G208" s="1145"/>
      <c r="H208" s="1145"/>
      <c r="I208" s="1145"/>
      <c r="J208" s="1146"/>
      <c r="K208" s="715"/>
    </row>
    <row r="209" spans="1:11" ht="15.75" customHeight="1">
      <c r="A209" s="579"/>
      <c r="B209" s="1147" t="s">
        <v>571</v>
      </c>
      <c r="C209" s="1037"/>
      <c r="D209" s="1037"/>
      <c r="E209" s="1037"/>
      <c r="F209" s="1037"/>
      <c r="G209" s="1037"/>
      <c r="H209" s="1037"/>
      <c r="I209" s="1037"/>
      <c r="J209" s="1038"/>
      <c r="K209" s="596"/>
    </row>
    <row r="210" spans="1:11" ht="7.5" customHeight="1">
      <c r="A210" s="579"/>
      <c r="B210" s="1148"/>
      <c r="C210" s="949"/>
      <c r="D210" s="949"/>
      <c r="E210" s="949"/>
      <c r="F210" s="949"/>
      <c r="G210" s="949"/>
      <c r="H210" s="949"/>
      <c r="I210" s="949"/>
      <c r="J210" s="950"/>
      <c r="K210" s="787"/>
    </row>
    <row r="211" spans="1:11" ht="15.75" customHeight="1">
      <c r="A211" s="579"/>
      <c r="B211" s="1072" t="s">
        <v>572</v>
      </c>
      <c r="C211" s="949"/>
      <c r="D211" s="949"/>
      <c r="E211" s="949"/>
      <c r="F211" s="949"/>
      <c r="G211" s="950"/>
      <c r="H211" s="1149">
        <f>$I$207</f>
        <v>0</v>
      </c>
      <c r="I211" s="949"/>
      <c r="J211" s="950"/>
      <c r="K211" s="788"/>
    </row>
    <row r="212" spans="1:11" ht="7.5" customHeight="1">
      <c r="A212" s="579"/>
      <c r="B212" s="1135"/>
      <c r="C212" s="954"/>
      <c r="D212" s="954"/>
      <c r="E212" s="954"/>
      <c r="F212" s="954"/>
      <c r="G212" s="954"/>
      <c r="H212" s="954"/>
      <c r="I212" s="954"/>
      <c r="J212" s="1136"/>
      <c r="K212" s="789"/>
    </row>
    <row r="213" spans="1:11" ht="15.75" customHeight="1">
      <c r="A213" s="579"/>
      <c r="B213" s="1072" t="s">
        <v>573</v>
      </c>
      <c r="C213" s="949"/>
      <c r="D213" s="949"/>
      <c r="E213" s="949"/>
      <c r="F213" s="949"/>
      <c r="G213" s="950"/>
      <c r="H213" s="1073">
        <f>$I$11</f>
        <v>30</v>
      </c>
      <c r="I213" s="949"/>
      <c r="J213" s="950"/>
      <c r="K213" s="790"/>
    </row>
    <row r="214" spans="1:11" ht="7.5" customHeight="1">
      <c r="A214" s="579"/>
      <c r="B214" s="1137"/>
      <c r="C214" s="949"/>
      <c r="D214" s="949"/>
      <c r="E214" s="949"/>
      <c r="F214" s="949"/>
      <c r="G214" s="949"/>
      <c r="H214" s="949"/>
      <c r="I214" s="949"/>
      <c r="J214" s="950"/>
      <c r="K214" s="791"/>
    </row>
    <row r="215" spans="1:11" ht="15.75" customHeight="1">
      <c r="A215" s="579"/>
      <c r="B215" s="1072" t="s">
        <v>1035</v>
      </c>
      <c r="C215" s="949"/>
      <c r="D215" s="949"/>
      <c r="E215" s="949"/>
      <c r="F215" s="949"/>
      <c r="G215" s="950"/>
      <c r="H215" s="1138">
        <f>ROUND(H211*H213,2)</f>
        <v>0</v>
      </c>
      <c r="I215" s="949"/>
      <c r="J215" s="950"/>
      <c r="K215" s="792"/>
    </row>
    <row r="216" spans="1:11" ht="7.5" customHeight="1">
      <c r="A216" s="579"/>
      <c r="B216" s="1139"/>
      <c r="C216" s="949"/>
      <c r="D216" s="949"/>
      <c r="E216" s="949"/>
      <c r="F216" s="949"/>
      <c r="G216" s="949"/>
      <c r="H216" s="949"/>
      <c r="I216" s="949"/>
      <c r="J216" s="950"/>
      <c r="K216" s="587"/>
    </row>
    <row r="217" spans="1:11" ht="15.75" customHeight="1">
      <c r="A217" s="579"/>
      <c r="B217" s="579"/>
      <c r="C217" s="579"/>
      <c r="D217" s="579"/>
      <c r="E217" s="579"/>
      <c r="F217" s="579"/>
      <c r="G217" s="579"/>
      <c r="H217" s="579"/>
      <c r="I217" s="579"/>
      <c r="J217" s="579"/>
      <c r="K217" s="579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3">
    <mergeCell ref="C101:I101"/>
    <mergeCell ref="C102:I102"/>
    <mergeCell ref="C103:I103"/>
    <mergeCell ref="B89:J89"/>
    <mergeCell ref="B90:J90"/>
    <mergeCell ref="C91:I91"/>
    <mergeCell ref="C92:H92"/>
    <mergeCell ref="C93:H93"/>
    <mergeCell ref="C94:H94"/>
    <mergeCell ref="C95:H95"/>
    <mergeCell ref="C96:H96"/>
    <mergeCell ref="B63:I63"/>
    <mergeCell ref="B64:J64"/>
    <mergeCell ref="B65:J65"/>
    <mergeCell ref="B66:J66"/>
    <mergeCell ref="B67:J67"/>
    <mergeCell ref="C97:I97"/>
    <mergeCell ref="C98:H98"/>
    <mergeCell ref="C99:H99"/>
    <mergeCell ref="C100:H100"/>
    <mergeCell ref="C82:H82"/>
    <mergeCell ref="C83:H83"/>
    <mergeCell ref="C84:H84"/>
    <mergeCell ref="C85:H85"/>
    <mergeCell ref="B86:H86"/>
    <mergeCell ref="B88:J88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79:H79"/>
    <mergeCell ref="C80:D80"/>
    <mergeCell ref="C81:H81"/>
    <mergeCell ref="C70:H70"/>
    <mergeCell ref="C71:H71"/>
    <mergeCell ref="B72:I72"/>
    <mergeCell ref="B73:J73"/>
    <mergeCell ref="B74:J74"/>
    <mergeCell ref="B75:J75"/>
    <mergeCell ref="B76:J76"/>
    <mergeCell ref="C77:H77"/>
    <mergeCell ref="C78:H78"/>
    <mergeCell ref="C57:I57"/>
    <mergeCell ref="B58:I58"/>
    <mergeCell ref="C59:I59"/>
    <mergeCell ref="C60:I60"/>
    <mergeCell ref="B61:I61"/>
    <mergeCell ref="B62:J62"/>
    <mergeCell ref="C33:F33"/>
    <mergeCell ref="C34:F34"/>
    <mergeCell ref="G34:H34"/>
    <mergeCell ref="I34:J34"/>
    <mergeCell ref="C35:F35"/>
    <mergeCell ref="G35:H35"/>
    <mergeCell ref="I35:J35"/>
    <mergeCell ref="B68:J68"/>
    <mergeCell ref="C69:I69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C54:E54"/>
    <mergeCell ref="F54:H54"/>
    <mergeCell ref="C55:E55"/>
    <mergeCell ref="F55:H55"/>
    <mergeCell ref="C56:I56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92:I192"/>
    <mergeCell ref="B193:I193"/>
    <mergeCell ref="C194:I194"/>
    <mergeCell ref="B195:I19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B141:J141"/>
    <mergeCell ref="C142:I142"/>
    <mergeCell ref="C143:I143"/>
    <mergeCell ref="B144:I144"/>
    <mergeCell ref="B145:J145"/>
    <mergeCell ref="B146:J146"/>
    <mergeCell ref="C189:I189"/>
    <mergeCell ref="C190:I190"/>
    <mergeCell ref="C191:I191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88:I188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F206:G206"/>
    <mergeCell ref="B207:G207"/>
    <mergeCell ref="B208:J208"/>
    <mergeCell ref="B209:J209"/>
    <mergeCell ref="B210:J210"/>
    <mergeCell ref="B215:G215"/>
    <mergeCell ref="B216:J216"/>
    <mergeCell ref="B211:G211"/>
    <mergeCell ref="H211:J211"/>
    <mergeCell ref="B212:J212"/>
    <mergeCell ref="B213:G213"/>
    <mergeCell ref="H213:J213"/>
    <mergeCell ref="B214:J214"/>
    <mergeCell ref="H215:J215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B196:J196"/>
    <mergeCell ref="B197:J197"/>
    <mergeCell ref="B199:J199"/>
    <mergeCell ref="B200:E200"/>
    <mergeCell ref="F200:G200"/>
    <mergeCell ref="B201:E201"/>
    <mergeCell ref="F201:G201"/>
    <mergeCell ref="B202:E202"/>
    <mergeCell ref="F202:G202"/>
    <mergeCell ref="B203:E203"/>
    <mergeCell ref="F203:G203"/>
    <mergeCell ref="B204:E204"/>
    <mergeCell ref="F204:G204"/>
    <mergeCell ref="F205:G205"/>
    <mergeCell ref="B205:E205"/>
    <mergeCell ref="B206:E206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56:I156"/>
    <mergeCell ref="B157:I157"/>
    <mergeCell ref="B158:J158"/>
    <mergeCell ref="B159:J159"/>
    <mergeCell ref="B161:J161"/>
    <mergeCell ref="C176:H176"/>
    <mergeCell ref="B177:I177"/>
    <mergeCell ref="B178:J178"/>
    <mergeCell ref="B179:H179"/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</mergeCells>
  <conditionalFormatting sqref="I49:I50">
    <cfRule type="cellIs" dxfId="9" priority="1" operator="equal">
      <formula>0</formula>
    </cfRule>
  </conditionalFormatting>
  <conditionalFormatting sqref="I48">
    <cfRule type="cellIs" dxfId="8" priority="2" operator="equal">
      <formula>0</formula>
    </cfRule>
  </conditionalFormatting>
  <pageMargins left="0.511811024" right="0.511811024" top="0.78740157499999996" bottom="0.78740157499999996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5A5A5"/>
  </sheetPr>
  <dimension ref="A1:K1000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7" width="14.5703125" customWidth="1"/>
    <col min="8" max="8" width="14.42578125" customWidth="1"/>
    <col min="9" max="9" width="11.28515625" customWidth="1"/>
    <col min="10" max="10" width="14.5703125" customWidth="1"/>
    <col min="11" max="11" width="1.42578125" customWidth="1"/>
  </cols>
  <sheetData>
    <row r="1" spans="1:11" ht="11.25" customHeight="1">
      <c r="A1" s="579"/>
      <c r="B1" s="579"/>
      <c r="C1" s="579"/>
      <c r="D1" s="579"/>
      <c r="E1" s="579"/>
      <c r="F1" s="579"/>
      <c r="G1" s="579"/>
      <c r="H1" s="579"/>
      <c r="I1" s="579"/>
      <c r="J1" s="904"/>
      <c r="K1" s="579"/>
    </row>
    <row r="2" spans="1:11" ht="11.25" customHeight="1">
      <c r="A2" s="579"/>
      <c r="B2" s="1066" t="str">
        <f>'1-ABA-DE-CARREGAMENTO'!C11</f>
        <v xml:space="preserve"> S E R V I Ç O S     -    INTERPRETE DE LIBRAS e SINAIS </v>
      </c>
      <c r="C2" s="1054"/>
      <c r="D2" s="1054"/>
      <c r="E2" s="1054"/>
      <c r="F2" s="1054"/>
      <c r="G2" s="1054"/>
      <c r="H2" s="1054"/>
      <c r="I2" s="1054"/>
      <c r="J2" s="1055"/>
      <c r="K2" s="583"/>
    </row>
    <row r="3" spans="1:11" ht="11.25" customHeight="1">
      <c r="A3" s="579"/>
      <c r="B3" s="1067" t="str">
        <f>'1-ABA-DE-CARREGAMENTO'!K33</f>
        <v>A NÃO TEM MAIS POSTOS-66</v>
      </c>
      <c r="C3" s="1037"/>
      <c r="D3" s="1037"/>
      <c r="E3" s="1037"/>
      <c r="F3" s="1037"/>
      <c r="G3" s="1037"/>
      <c r="H3" s="1037"/>
      <c r="I3" s="1037"/>
      <c r="J3" s="1038"/>
      <c r="K3" s="584"/>
    </row>
    <row r="4" spans="1:11" ht="11.25" customHeight="1">
      <c r="A4" s="579"/>
      <c r="B4" s="1060" t="s">
        <v>366</v>
      </c>
      <c r="C4" s="1037"/>
      <c r="D4" s="1037"/>
      <c r="E4" s="1037"/>
      <c r="F4" s="1038"/>
      <c r="G4" s="1068">
        <f>'1-ABA-DE-CARREGAMENTO'!C12</f>
        <v>0</v>
      </c>
      <c r="H4" s="1037"/>
      <c r="I4" s="1037"/>
      <c r="J4" s="1038"/>
      <c r="K4" s="585"/>
    </row>
    <row r="5" spans="1:11" ht="11.25" customHeight="1">
      <c r="A5" s="579"/>
      <c r="B5" s="1051" t="s">
        <v>367</v>
      </c>
      <c r="C5" s="949"/>
      <c r="D5" s="949"/>
      <c r="E5" s="949"/>
      <c r="F5" s="950"/>
      <c r="G5" s="1069">
        <f>'1-ABA-DE-CARREGAMENTO'!C13</f>
        <v>0</v>
      </c>
      <c r="H5" s="949"/>
      <c r="I5" s="949"/>
      <c r="J5" s="950"/>
      <c r="K5" s="585"/>
    </row>
    <row r="6" spans="1:11" ht="11.25" customHeight="1">
      <c r="A6" s="579"/>
      <c r="B6" s="1070">
        <f>'1-ABA-DE-CARREGAMENTO'!C16</f>
        <v>0</v>
      </c>
      <c r="C6" s="949"/>
      <c r="D6" s="949"/>
      <c r="E6" s="949"/>
      <c r="F6" s="949"/>
      <c r="G6" s="949"/>
      <c r="H6" s="949"/>
      <c r="I6" s="949"/>
      <c r="J6" s="950"/>
      <c r="K6" s="587"/>
    </row>
    <row r="7" spans="1:11" ht="11.25" customHeight="1">
      <c r="A7" s="579"/>
      <c r="B7" s="1050" t="s">
        <v>368</v>
      </c>
      <c r="C7" s="949"/>
      <c r="D7" s="949"/>
      <c r="E7" s="949"/>
      <c r="F7" s="949"/>
      <c r="G7" s="949"/>
      <c r="H7" s="949"/>
      <c r="I7" s="949"/>
      <c r="J7" s="950"/>
      <c r="K7" s="588"/>
    </row>
    <row r="8" spans="1:11" ht="11.25" customHeight="1">
      <c r="A8" s="579"/>
      <c r="B8" s="589" t="s">
        <v>369</v>
      </c>
      <c r="C8" s="1051" t="s">
        <v>370</v>
      </c>
      <c r="D8" s="949"/>
      <c r="E8" s="949"/>
      <c r="F8" s="949"/>
      <c r="G8" s="949"/>
      <c r="H8" s="950"/>
      <c r="I8" s="1071">
        <f>'1-ABA-DE-CARREGAMENTO'!C16</f>
        <v>0</v>
      </c>
      <c r="J8" s="950"/>
      <c r="K8" s="590"/>
    </row>
    <row r="9" spans="1:11" ht="11.25" customHeight="1">
      <c r="A9" s="579"/>
      <c r="B9" s="589" t="s">
        <v>371</v>
      </c>
      <c r="C9" s="1051" t="s">
        <v>372</v>
      </c>
      <c r="D9" s="949"/>
      <c r="E9" s="949"/>
      <c r="F9" s="949"/>
      <c r="G9" s="949"/>
      <c r="H9" s="950"/>
      <c r="I9" s="1069" t="str">
        <f>'1-ABA-DE-CARREGAMENTO'!C14</f>
        <v xml:space="preserve">SANTO-AUGUSTO </v>
      </c>
      <c r="J9" s="950"/>
      <c r="K9" s="585"/>
    </row>
    <row r="10" spans="1:11" ht="11.25" customHeight="1">
      <c r="A10" s="579"/>
      <c r="B10" s="589" t="s">
        <v>373</v>
      </c>
      <c r="C10" s="1051" t="s">
        <v>374</v>
      </c>
      <c r="D10" s="949"/>
      <c r="E10" s="949"/>
      <c r="F10" s="949"/>
      <c r="G10" s="949"/>
      <c r="H10" s="950"/>
      <c r="I10" s="1069" t="str">
        <f>VLOOKUP('1-ABA-DE-CARREGAMENTO'!K35,'DADOS-CADASTRAIS'!C6:J16,1,0)</f>
        <v>RS000947/2019-</v>
      </c>
      <c r="J10" s="950"/>
      <c r="K10" s="585"/>
    </row>
    <row r="11" spans="1:11" ht="11.25" customHeight="1">
      <c r="A11" s="579"/>
      <c r="B11" s="589" t="s">
        <v>375</v>
      </c>
      <c r="C11" s="1051" t="s">
        <v>376</v>
      </c>
      <c r="D11" s="949"/>
      <c r="E11" s="949"/>
      <c r="F11" s="949"/>
      <c r="G11" s="949"/>
      <c r="H11" s="950"/>
      <c r="I11" s="1175">
        <f>'1-ABA-DE-CARREGAMENTO'!K94</f>
        <v>30</v>
      </c>
      <c r="J11" s="950"/>
      <c r="K11" s="585"/>
    </row>
    <row r="12" spans="1:11" ht="11.25" customHeight="1">
      <c r="A12" s="579"/>
      <c r="B12" s="1074" t="s">
        <v>377</v>
      </c>
      <c r="C12" s="949"/>
      <c r="D12" s="949"/>
      <c r="E12" s="949"/>
      <c r="F12" s="949"/>
      <c r="G12" s="949"/>
      <c r="H12" s="949"/>
      <c r="I12" s="949"/>
      <c r="J12" s="950"/>
      <c r="K12" s="592"/>
    </row>
    <row r="13" spans="1:11" ht="42" customHeight="1">
      <c r="A13" s="579"/>
      <c r="B13" s="1075" t="str">
        <f>'1-ABA-DE-CARREGAMENTO'!C11</f>
        <v xml:space="preserve"> S E R V I Ç O S     -    INTERPRETE DE LIBRAS e SINAIS </v>
      </c>
      <c r="C13" s="949"/>
      <c r="D13" s="949"/>
      <c r="E13" s="949"/>
      <c r="F13" s="949"/>
      <c r="G13" s="1075" t="s">
        <v>378</v>
      </c>
      <c r="H13" s="950"/>
      <c r="I13" s="1075" t="s">
        <v>379</v>
      </c>
      <c r="J13" s="950"/>
      <c r="K13" s="593"/>
    </row>
    <row r="14" spans="1:11" ht="11.25" hidden="1" customHeight="1" outlineLevel="1">
      <c r="A14" s="579"/>
      <c r="B14" s="1040" t="s">
        <v>380</v>
      </c>
      <c r="C14" s="949"/>
      <c r="D14" s="949"/>
      <c r="E14" s="949"/>
      <c r="F14" s="950"/>
      <c r="G14" s="1041" t="s">
        <v>381</v>
      </c>
      <c r="H14" s="950"/>
      <c r="I14" s="1042" t="s">
        <v>382</v>
      </c>
      <c r="J14" s="950"/>
      <c r="K14" s="594"/>
    </row>
    <row r="15" spans="1:11" ht="11.25" hidden="1" customHeight="1" outlineLevel="1">
      <c r="A15" s="579"/>
      <c r="B15" s="1040" t="s">
        <v>383</v>
      </c>
      <c r="C15" s="949"/>
      <c r="D15" s="949"/>
      <c r="E15" s="949"/>
      <c r="F15" s="950"/>
      <c r="G15" s="1041" t="s">
        <v>381</v>
      </c>
      <c r="H15" s="950"/>
      <c r="I15" s="1042" t="s">
        <v>382</v>
      </c>
      <c r="J15" s="950"/>
      <c r="K15" s="594"/>
    </row>
    <row r="16" spans="1:11" ht="11.25" hidden="1" customHeight="1" outlineLevel="1">
      <c r="A16" s="579"/>
      <c r="B16" s="1040" t="s">
        <v>384</v>
      </c>
      <c r="C16" s="949"/>
      <c r="D16" s="949"/>
      <c r="E16" s="949"/>
      <c r="F16" s="950"/>
      <c r="G16" s="1041" t="s">
        <v>381</v>
      </c>
      <c r="H16" s="950"/>
      <c r="I16" s="1042" t="s">
        <v>382</v>
      </c>
      <c r="J16" s="950"/>
      <c r="K16" s="594"/>
    </row>
    <row r="17" spans="1:11" ht="11.25" customHeight="1" collapsed="1">
      <c r="A17" s="579"/>
      <c r="B17" s="1040" t="str">
        <f>B3</f>
        <v>A NÃO TEM MAIS POSTOS-66</v>
      </c>
      <c r="C17" s="949"/>
      <c r="D17" s="949"/>
      <c r="E17" s="949"/>
      <c r="F17" s="950"/>
      <c r="G17" s="1041" t="s">
        <v>381</v>
      </c>
      <c r="H17" s="950"/>
      <c r="I17" s="1042">
        <f>'1-ABA-DE-CARREGAMENTO'!K92</f>
        <v>0</v>
      </c>
      <c r="J17" s="950"/>
      <c r="K17" s="594"/>
    </row>
    <row r="18" spans="1:11" ht="11.25" hidden="1" customHeight="1" outlineLevel="1">
      <c r="A18" s="579"/>
      <c r="B18" s="1040" t="s">
        <v>385</v>
      </c>
      <c r="C18" s="949"/>
      <c r="D18" s="949"/>
      <c r="E18" s="949"/>
      <c r="F18" s="950"/>
      <c r="G18" s="1041" t="s">
        <v>381</v>
      </c>
      <c r="H18" s="950"/>
      <c r="I18" s="1042" t="s">
        <v>382</v>
      </c>
      <c r="J18" s="950"/>
      <c r="K18" s="594"/>
    </row>
    <row r="19" spans="1:11" ht="11.25" hidden="1" customHeight="1" outlineLevel="1">
      <c r="A19" s="579"/>
      <c r="B19" s="1040" t="s">
        <v>1036</v>
      </c>
      <c r="C19" s="949"/>
      <c r="D19" s="949"/>
      <c r="E19" s="949"/>
      <c r="F19" s="950"/>
      <c r="G19" s="1041" t="s">
        <v>381</v>
      </c>
      <c r="H19" s="950"/>
      <c r="I19" s="1042" t="s">
        <v>382</v>
      </c>
      <c r="J19" s="950"/>
      <c r="K19" s="594"/>
    </row>
    <row r="20" spans="1:11" ht="11.25" customHeight="1" collapsed="1">
      <c r="A20" s="579"/>
      <c r="B20" s="1044" t="s">
        <v>387</v>
      </c>
      <c r="C20" s="949"/>
      <c r="D20" s="949"/>
      <c r="E20" s="949"/>
      <c r="F20" s="949"/>
      <c r="G20" s="949"/>
      <c r="H20" s="950"/>
      <c r="I20" s="1043">
        <f>SUM(I14:I19)</f>
        <v>0</v>
      </c>
      <c r="J20" s="950"/>
      <c r="K20" s="595"/>
    </row>
    <row r="21" spans="1:11" ht="11.25" customHeight="1">
      <c r="A21" s="579"/>
      <c r="B21" s="1045"/>
      <c r="C21" s="949"/>
      <c r="D21" s="949"/>
      <c r="E21" s="949"/>
      <c r="F21" s="949"/>
      <c r="G21" s="949"/>
      <c r="H21" s="949"/>
      <c r="I21" s="949"/>
      <c r="J21" s="950"/>
      <c r="K21" s="593"/>
    </row>
    <row r="22" spans="1:11" ht="11.25" customHeight="1">
      <c r="A22" s="579"/>
      <c r="B22" s="1046" t="s">
        <v>388</v>
      </c>
      <c r="C22" s="949"/>
      <c r="D22" s="949"/>
      <c r="E22" s="949"/>
      <c r="F22" s="949"/>
      <c r="G22" s="949"/>
      <c r="H22" s="949"/>
      <c r="I22" s="949"/>
      <c r="J22" s="950"/>
      <c r="K22" s="596"/>
    </row>
    <row r="23" spans="1:11" ht="11.25" customHeight="1">
      <c r="A23" s="579"/>
      <c r="B23" s="1047"/>
      <c r="C23" s="949"/>
      <c r="D23" s="949"/>
      <c r="E23" s="949"/>
      <c r="F23" s="949"/>
      <c r="G23" s="949"/>
      <c r="H23" s="949"/>
      <c r="I23" s="949"/>
      <c r="J23" s="950"/>
      <c r="K23" s="362"/>
    </row>
    <row r="24" spans="1:11" ht="15" customHeight="1">
      <c r="A24" s="579"/>
      <c r="B24" s="1048" t="s">
        <v>1037</v>
      </c>
      <c r="C24" s="949"/>
      <c r="D24" s="949"/>
      <c r="E24" s="949"/>
      <c r="F24" s="949"/>
      <c r="G24" s="949"/>
      <c r="H24" s="949"/>
      <c r="I24" s="949"/>
      <c r="J24" s="950"/>
      <c r="K24" s="597"/>
    </row>
    <row r="25" spans="1:11" ht="15" customHeight="1">
      <c r="A25" s="579"/>
      <c r="B25" s="1049"/>
      <c r="C25" s="949"/>
      <c r="D25" s="949"/>
      <c r="E25" s="949"/>
      <c r="F25" s="949"/>
      <c r="G25" s="949"/>
      <c r="H25" s="949"/>
      <c r="I25" s="949"/>
      <c r="J25" s="950"/>
      <c r="K25" s="598"/>
    </row>
    <row r="26" spans="1:11" ht="11.25" customHeight="1">
      <c r="A26" s="593"/>
      <c r="B26" s="1050" t="s">
        <v>390</v>
      </c>
      <c r="C26" s="949"/>
      <c r="D26" s="949"/>
      <c r="E26" s="949"/>
      <c r="F26" s="949"/>
      <c r="G26" s="949"/>
      <c r="H26" s="949"/>
      <c r="I26" s="949"/>
      <c r="J26" s="950"/>
      <c r="K26" s="588"/>
    </row>
    <row r="27" spans="1:11" ht="29.25" customHeight="1">
      <c r="A27" s="579"/>
      <c r="B27" s="589">
        <v>1</v>
      </c>
      <c r="C27" s="1051" t="s">
        <v>391</v>
      </c>
      <c r="D27" s="949"/>
      <c r="E27" s="949"/>
      <c r="F27" s="949"/>
      <c r="G27" s="949"/>
      <c r="H27" s="950"/>
      <c r="I27" s="1052" t="str">
        <f>'1-ABA-DE-CARREGAMENTO'!K33</f>
        <v>A NÃO TEM MAIS POSTOS-66</v>
      </c>
      <c r="J27" s="950"/>
      <c r="K27" s="599"/>
    </row>
    <row r="28" spans="1:11" ht="11.25" customHeight="1">
      <c r="A28" s="579"/>
      <c r="B28" s="600">
        <v>2</v>
      </c>
      <c r="C28" s="1092" t="s">
        <v>392</v>
      </c>
      <c r="D28" s="949"/>
      <c r="E28" s="949"/>
      <c r="F28" s="949"/>
      <c r="G28" s="949"/>
      <c r="H28" s="950"/>
      <c r="I28" s="1056"/>
      <c r="J28" s="950"/>
      <c r="K28" s="601"/>
    </row>
    <row r="29" spans="1:11" ht="28.5" customHeight="1">
      <c r="A29" s="579"/>
      <c r="B29" s="589">
        <v>3</v>
      </c>
      <c r="C29" s="1057" t="s">
        <v>862</v>
      </c>
      <c r="D29" s="929"/>
      <c r="E29" s="907">
        <v>220</v>
      </c>
      <c r="F29" s="604">
        <f>'1-ABA-DE-CARREGAMENTO'!K37</f>
        <v>4128.0200000000004</v>
      </c>
      <c r="G29" s="586" t="s">
        <v>394</v>
      </c>
      <c r="H29" s="864">
        <f>'1-ABA-DE-CARREGAMENTO'!K52</f>
        <v>220</v>
      </c>
      <c r="I29" s="1058">
        <f>F29/E29*H29</f>
        <v>4128.0200000000004</v>
      </c>
      <c r="J29" s="950"/>
      <c r="K29" s="606"/>
    </row>
    <row r="30" spans="1:11" ht="11.25" customHeight="1">
      <c r="A30" s="579"/>
      <c r="B30" s="589">
        <v>4</v>
      </c>
      <c r="C30" s="1051" t="s">
        <v>395</v>
      </c>
      <c r="D30" s="949"/>
      <c r="E30" s="949"/>
      <c r="F30" s="949"/>
      <c r="G30" s="949"/>
      <c r="H30" s="950"/>
      <c r="I30" s="1059"/>
      <c r="J30" s="950"/>
      <c r="K30" s="607"/>
    </row>
    <row r="31" spans="1:11" ht="11.25" customHeight="1">
      <c r="A31" s="579"/>
      <c r="B31" s="589">
        <v>5</v>
      </c>
      <c r="C31" s="1051" t="s">
        <v>396</v>
      </c>
      <c r="D31" s="949"/>
      <c r="E31" s="949"/>
      <c r="F31" s="949"/>
      <c r="G31" s="949"/>
      <c r="H31" s="950"/>
      <c r="I31" s="1061" t="str">
        <f>'1-ABA-DE-CARREGAMENTO'!K36</f>
        <v>01 de FEVEREIRO</v>
      </c>
      <c r="J31" s="950"/>
      <c r="K31" s="608"/>
    </row>
    <row r="32" spans="1:11" ht="27" customHeight="1">
      <c r="A32" s="579"/>
      <c r="B32" s="609">
        <v>6</v>
      </c>
      <c r="C32" s="1062" t="s">
        <v>1038</v>
      </c>
      <c r="D32" s="949"/>
      <c r="E32" s="949"/>
      <c r="F32" s="949"/>
      <c r="G32" s="949"/>
      <c r="H32" s="950"/>
      <c r="I32" s="1063">
        <f>ROUND(I29/220,2)*0</f>
        <v>0</v>
      </c>
      <c r="J32" s="950"/>
      <c r="K32" s="610"/>
    </row>
    <row r="33" spans="1:11" ht="27" customHeight="1">
      <c r="A33" s="579"/>
      <c r="B33" s="609">
        <v>7</v>
      </c>
      <c r="C33" s="1062" t="s">
        <v>1039</v>
      </c>
      <c r="D33" s="949"/>
      <c r="E33" s="949"/>
      <c r="F33" s="950"/>
      <c r="G33" s="1064"/>
      <c r="H33" s="950"/>
      <c r="I33" s="1063">
        <f>SUM(J47:J50)/220</f>
        <v>18.763727272727273</v>
      </c>
      <c r="J33" s="950"/>
      <c r="K33" s="610"/>
    </row>
    <row r="34" spans="1:11" ht="27" customHeight="1">
      <c r="A34" s="579"/>
      <c r="B34" s="609">
        <v>8</v>
      </c>
      <c r="C34" s="1062" t="s">
        <v>1040</v>
      </c>
      <c r="D34" s="949"/>
      <c r="E34" s="949"/>
      <c r="F34" s="950"/>
      <c r="G34" s="1064"/>
      <c r="H34" s="950"/>
      <c r="I34" s="1063">
        <f>TRUNC(I33*1.5,2)*0</f>
        <v>0</v>
      </c>
      <c r="J34" s="950"/>
      <c r="K34" s="610"/>
    </row>
    <row r="35" spans="1:11" ht="27" customHeight="1">
      <c r="A35" s="579"/>
      <c r="B35" s="609">
        <v>9</v>
      </c>
      <c r="C35" s="1062" t="s">
        <v>1041</v>
      </c>
      <c r="D35" s="949"/>
      <c r="E35" s="949"/>
      <c r="F35" s="950"/>
      <c r="G35" s="1064" t="s">
        <v>401</v>
      </c>
      <c r="H35" s="950"/>
      <c r="I35" s="1184">
        <f>I33*1.5</f>
        <v>28.14559090909091</v>
      </c>
      <c r="J35" s="950"/>
      <c r="K35" s="611"/>
    </row>
    <row r="36" spans="1:11" ht="27" customHeight="1">
      <c r="A36" s="579"/>
      <c r="B36" s="609">
        <v>10</v>
      </c>
      <c r="C36" s="1062" t="s">
        <v>1042</v>
      </c>
      <c r="D36" s="949"/>
      <c r="E36" s="949"/>
      <c r="F36" s="949"/>
      <c r="G36" s="949"/>
      <c r="H36" s="950"/>
      <c r="I36" s="1063">
        <f>TRUNC(1.3*I32*0.2,2)</f>
        <v>0</v>
      </c>
      <c r="J36" s="950"/>
      <c r="K36" s="610"/>
    </row>
    <row r="37" spans="1:11" ht="27" customHeight="1">
      <c r="A37" s="579"/>
      <c r="B37" s="609">
        <v>11</v>
      </c>
      <c r="C37" s="1062" t="s">
        <v>1043</v>
      </c>
      <c r="D37" s="949"/>
      <c r="E37" s="949"/>
      <c r="F37" s="949"/>
      <c r="G37" s="949"/>
      <c r="H37" s="950"/>
      <c r="I37" s="1063">
        <f>I33*2</f>
        <v>37.527454545454546</v>
      </c>
      <c r="J37" s="950"/>
      <c r="K37" s="610"/>
    </row>
    <row r="38" spans="1:11" ht="14.25" customHeight="1">
      <c r="A38" s="579"/>
      <c r="B38" s="609">
        <v>12</v>
      </c>
      <c r="C38" s="1062" t="s">
        <v>1044</v>
      </c>
      <c r="D38" s="949"/>
      <c r="E38" s="949"/>
      <c r="F38" s="949"/>
      <c r="G38" s="949"/>
      <c r="H38" s="950"/>
      <c r="I38" s="1063">
        <f>I29*'1-ABA-DE-CARREGAMENTO'!D44</f>
        <v>0</v>
      </c>
      <c r="J38" s="950"/>
      <c r="K38" s="610"/>
    </row>
    <row r="39" spans="1:11" ht="14.25" customHeight="1">
      <c r="A39" s="579"/>
      <c r="B39" s="609">
        <v>13</v>
      </c>
      <c r="C39" s="1062" t="s">
        <v>405</v>
      </c>
      <c r="D39" s="949"/>
      <c r="E39" s="949"/>
      <c r="F39" s="949"/>
      <c r="G39" s="949"/>
      <c r="H39" s="950"/>
      <c r="I39" s="1063">
        <f>ROUND(I32/6,2)*1.3</f>
        <v>0</v>
      </c>
      <c r="J39" s="950"/>
      <c r="K39" s="610"/>
    </row>
    <row r="40" spans="1:11" ht="11.25" customHeight="1">
      <c r="A40" s="579"/>
      <c r="B40" s="609">
        <v>14</v>
      </c>
      <c r="C40" s="1164" t="s">
        <v>406</v>
      </c>
      <c r="D40" s="949"/>
      <c r="E40" s="949"/>
      <c r="F40" s="949"/>
      <c r="G40" s="949"/>
      <c r="H40" s="950"/>
      <c r="I40" s="1182">
        <f>'1-ABA-DE-CARREGAMENTO'!K93</f>
        <v>1</v>
      </c>
      <c r="J40" s="950"/>
      <c r="K40" s="614"/>
    </row>
    <row r="41" spans="1:11" ht="11.25" customHeight="1">
      <c r="A41" s="579"/>
      <c r="B41" s="609">
        <v>15</v>
      </c>
      <c r="C41" s="1164" t="s">
        <v>687</v>
      </c>
      <c r="D41" s="949"/>
      <c r="E41" s="949"/>
      <c r="F41" s="949"/>
      <c r="G41" s="949"/>
      <c r="H41" s="950"/>
      <c r="I41" s="1165">
        <f>'1-ABA-DE-CARREGAMENTO'!E42</f>
        <v>1320</v>
      </c>
      <c r="J41" s="950"/>
      <c r="K41" s="616"/>
    </row>
    <row r="42" spans="1:11" ht="11.25" customHeight="1">
      <c r="A42" s="579"/>
      <c r="B42" s="1047"/>
      <c r="C42" s="949"/>
      <c r="D42" s="949"/>
      <c r="E42" s="949"/>
      <c r="F42" s="949"/>
      <c r="G42" s="949"/>
      <c r="H42" s="949"/>
      <c r="I42" s="949"/>
      <c r="J42" s="950"/>
      <c r="K42" s="362"/>
    </row>
    <row r="43" spans="1:11" ht="24" customHeight="1">
      <c r="A43" s="579"/>
      <c r="B43" s="1086" t="s">
        <v>408</v>
      </c>
      <c r="C43" s="949"/>
      <c r="D43" s="949"/>
      <c r="E43" s="949"/>
      <c r="F43" s="949"/>
      <c r="G43" s="949"/>
      <c r="H43" s="949"/>
      <c r="I43" s="949"/>
      <c r="J43" s="950"/>
      <c r="K43" s="617"/>
    </row>
    <row r="44" spans="1:11" ht="14.25" customHeight="1">
      <c r="A44" s="579"/>
      <c r="B44" s="1087"/>
      <c r="C44" s="949"/>
      <c r="D44" s="949"/>
      <c r="E44" s="949"/>
      <c r="F44" s="949"/>
      <c r="G44" s="949"/>
      <c r="H44" s="949"/>
      <c r="I44" s="949"/>
      <c r="J44" s="950"/>
      <c r="K44" s="618"/>
    </row>
    <row r="45" spans="1:11" ht="11.25" customHeight="1">
      <c r="A45" s="579"/>
      <c r="B45" s="1088" t="s">
        <v>409</v>
      </c>
      <c r="C45" s="949"/>
      <c r="D45" s="949"/>
      <c r="E45" s="949"/>
      <c r="F45" s="949"/>
      <c r="G45" s="949"/>
      <c r="H45" s="949"/>
      <c r="I45" s="949"/>
      <c r="J45" s="950"/>
      <c r="K45" s="620"/>
    </row>
    <row r="46" spans="1:11" ht="11.25" customHeight="1">
      <c r="A46" s="621"/>
      <c r="B46" s="622">
        <v>1</v>
      </c>
      <c r="C46" s="1089" t="s">
        <v>410</v>
      </c>
      <c r="D46" s="949"/>
      <c r="E46" s="949"/>
      <c r="F46" s="949"/>
      <c r="G46" s="949"/>
      <c r="H46" s="950"/>
      <c r="I46" s="623" t="s">
        <v>411</v>
      </c>
      <c r="J46" s="622" t="s">
        <v>412</v>
      </c>
      <c r="K46" s="592"/>
    </row>
    <row r="47" spans="1:11" ht="12.75" customHeight="1">
      <c r="A47" s="579"/>
      <c r="B47" s="589" t="s">
        <v>369</v>
      </c>
      <c r="C47" s="1051" t="s">
        <v>413</v>
      </c>
      <c r="D47" s="949"/>
      <c r="E47" s="949"/>
      <c r="F47" s="950"/>
      <c r="G47" s="624" t="s">
        <v>184</v>
      </c>
      <c r="H47" s="625">
        <f>'1-ABA-DE-CARREGAMENTO'!K52</f>
        <v>220</v>
      </c>
      <c r="I47" s="624"/>
      <c r="J47" s="627">
        <f>I29*I40</f>
        <v>4128.0200000000004</v>
      </c>
      <c r="K47" s="628"/>
    </row>
    <row r="48" spans="1:11" ht="11.25" customHeight="1">
      <c r="A48" s="579"/>
      <c r="B48" s="589" t="s">
        <v>371</v>
      </c>
      <c r="C48" s="1051" t="s">
        <v>688</v>
      </c>
      <c r="D48" s="949"/>
      <c r="E48" s="949"/>
      <c r="F48" s="1090" t="str">
        <f>'1-ABA-DE-CARREGAMENTO'!K38</f>
        <v>SEM ADICIONAL DE FUNÇÃO</v>
      </c>
      <c r="G48" s="949"/>
      <c r="H48" s="950"/>
      <c r="I48" s="867">
        <f>'1-ABA-DE-CARREGAMENTO'!K39</f>
        <v>0</v>
      </c>
      <c r="J48" s="627">
        <f>J47*I48</f>
        <v>0</v>
      </c>
      <c r="K48" s="628"/>
    </row>
    <row r="49" spans="1:11" ht="11.25" customHeight="1">
      <c r="A49" s="579"/>
      <c r="B49" s="589" t="s">
        <v>373</v>
      </c>
      <c r="C49" s="1051" t="s">
        <v>1045</v>
      </c>
      <c r="D49" s="949"/>
      <c r="E49" s="949"/>
      <c r="F49" s="949"/>
      <c r="G49" s="949"/>
      <c r="H49" s="950"/>
      <c r="I49" s="756">
        <f>'1-ABA-DE-CARREGAMENTO'!K44</f>
        <v>0</v>
      </c>
      <c r="J49" s="627">
        <f>ROUND(J47*I49,2)</f>
        <v>0</v>
      </c>
      <c r="K49" s="628"/>
    </row>
    <row r="50" spans="1:11" ht="11.25" customHeight="1">
      <c r="A50" s="579"/>
      <c r="B50" s="589" t="s">
        <v>375</v>
      </c>
      <c r="C50" s="1051" t="s">
        <v>1046</v>
      </c>
      <c r="D50" s="949"/>
      <c r="E50" s="949"/>
      <c r="F50" s="949"/>
      <c r="G50" s="1090" t="str">
        <f>'1-ABA-DE-CARREGAMENTO'!K40</f>
        <v>SEM ADICIONAL DE RISCO</v>
      </c>
      <c r="H50" s="950"/>
      <c r="I50" s="869">
        <f>'1-ABA-DE-CARREGAMENTO'!K41</f>
        <v>0</v>
      </c>
      <c r="J50" s="627">
        <f>ROUND(I50*I41,2)</f>
        <v>0</v>
      </c>
      <c r="K50" s="628"/>
    </row>
    <row r="51" spans="1:11" ht="24.75" customHeight="1">
      <c r="A51" s="579"/>
      <c r="B51" s="589" t="s">
        <v>417</v>
      </c>
      <c r="C51" s="1051" t="s">
        <v>1047</v>
      </c>
      <c r="D51" s="949"/>
      <c r="E51" s="949"/>
      <c r="F51" s="949"/>
      <c r="G51" s="949"/>
      <c r="H51" s="949"/>
      <c r="I51" s="950"/>
      <c r="J51" s="627">
        <f>ROUND(2*8*15*I36,2)*0</f>
        <v>0</v>
      </c>
      <c r="K51" s="628"/>
    </row>
    <row r="52" spans="1:11" ht="39" customHeight="1">
      <c r="A52" s="579"/>
      <c r="B52" s="589" t="s">
        <v>421</v>
      </c>
      <c r="C52" s="1092" t="s">
        <v>1048</v>
      </c>
      <c r="D52" s="949"/>
      <c r="E52" s="949"/>
      <c r="F52" s="949"/>
      <c r="G52" s="949"/>
      <c r="H52" s="949"/>
      <c r="I52" s="950"/>
      <c r="J52" s="627">
        <f>ROUND(I38*(((12*15)+15)-((44/6)*26))*I35,2)*0+ROUND(2*4.33*I35,2)*0</f>
        <v>0</v>
      </c>
      <c r="K52" s="628"/>
    </row>
    <row r="53" spans="1:11" ht="39" customHeight="1">
      <c r="A53" s="579"/>
      <c r="B53" s="589" t="s">
        <v>423</v>
      </c>
      <c r="C53" s="1092" t="s">
        <v>1049</v>
      </c>
      <c r="D53" s="949"/>
      <c r="E53" s="949"/>
      <c r="F53" s="949"/>
      <c r="G53" s="949"/>
      <c r="H53" s="949"/>
      <c r="I53" s="950"/>
      <c r="J53" s="627">
        <f>ROUND(I39*I40*15,2)*0</f>
        <v>0</v>
      </c>
      <c r="K53" s="628"/>
    </row>
    <row r="54" spans="1:11" ht="30" customHeight="1">
      <c r="A54" s="579"/>
      <c r="B54" s="589" t="s">
        <v>425</v>
      </c>
      <c r="C54" s="1092" t="s">
        <v>990</v>
      </c>
      <c r="D54" s="949"/>
      <c r="E54" s="949"/>
      <c r="F54" s="1185" t="s">
        <v>1050</v>
      </c>
      <c r="G54" s="949"/>
      <c r="H54" s="949"/>
      <c r="I54" s="919">
        <f>'1-ABA-DE-CARREGAMENTO'!K65</f>
        <v>0</v>
      </c>
      <c r="J54" s="627">
        <f>ROUND((((SUM(J47:J50))/220)*1.5)*I54,2)</f>
        <v>0</v>
      </c>
      <c r="K54" s="628"/>
    </row>
    <row r="55" spans="1:11" ht="30" customHeight="1">
      <c r="A55" s="579"/>
      <c r="B55" s="589" t="s">
        <v>429</v>
      </c>
      <c r="C55" s="1092" t="s">
        <v>992</v>
      </c>
      <c r="D55" s="949"/>
      <c r="E55" s="949"/>
      <c r="F55" s="1185" t="s">
        <v>1051</v>
      </c>
      <c r="G55" s="949"/>
      <c r="H55" s="949"/>
      <c r="I55" s="919">
        <f>'1-ABA-DE-CARREGAMENTO'!K68</f>
        <v>0</v>
      </c>
      <c r="J55" s="627">
        <f>ROUND((((SUM(J47:J50))/220)*2)*I55,2)</f>
        <v>0</v>
      </c>
      <c r="K55" s="628"/>
    </row>
    <row r="56" spans="1:11" ht="39" customHeight="1">
      <c r="A56" s="579"/>
      <c r="B56" s="589" t="s">
        <v>433</v>
      </c>
      <c r="C56" s="1051" t="s">
        <v>1052</v>
      </c>
      <c r="D56" s="949"/>
      <c r="E56" s="949"/>
      <c r="F56" s="949"/>
      <c r="G56" s="949"/>
      <c r="H56" s="949"/>
      <c r="I56" s="950"/>
      <c r="J56" s="627">
        <f>ROUND(((J54+J55)/25)*5,2)</f>
        <v>0</v>
      </c>
      <c r="K56" s="628"/>
    </row>
    <row r="57" spans="1:11" ht="11.25" customHeight="1">
      <c r="A57" s="579"/>
      <c r="B57" s="589" t="s">
        <v>436</v>
      </c>
      <c r="C57" s="1051" t="s">
        <v>437</v>
      </c>
      <c r="D57" s="949"/>
      <c r="E57" s="949"/>
      <c r="F57" s="949"/>
      <c r="G57" s="949"/>
      <c r="H57" s="949"/>
      <c r="I57" s="950"/>
      <c r="J57" s="643" t="s">
        <v>382</v>
      </c>
      <c r="K57" s="644"/>
    </row>
    <row r="58" spans="1:11" ht="11.25" customHeight="1">
      <c r="A58" s="579"/>
      <c r="B58" s="1050" t="s">
        <v>438</v>
      </c>
      <c r="C58" s="949"/>
      <c r="D58" s="949"/>
      <c r="E58" s="949"/>
      <c r="F58" s="949"/>
      <c r="G58" s="949"/>
      <c r="H58" s="949"/>
      <c r="I58" s="950"/>
      <c r="J58" s="645">
        <f>SUM(J47:J57)</f>
        <v>4128.0200000000004</v>
      </c>
      <c r="K58" s="646"/>
    </row>
    <row r="59" spans="1:11" ht="14.25" customHeight="1">
      <c r="A59" s="579"/>
      <c r="B59" s="647"/>
      <c r="C59" s="1095"/>
      <c r="D59" s="949"/>
      <c r="E59" s="949"/>
      <c r="F59" s="949"/>
      <c r="G59" s="949"/>
      <c r="H59" s="949"/>
      <c r="I59" s="950"/>
      <c r="J59" s="648"/>
      <c r="K59" s="646"/>
    </row>
    <row r="60" spans="1:11" ht="11.25" customHeight="1">
      <c r="A60" s="579"/>
      <c r="B60" s="589" t="s">
        <v>425</v>
      </c>
      <c r="C60" s="1051" t="s">
        <v>1053</v>
      </c>
      <c r="D60" s="949"/>
      <c r="E60" s="949"/>
      <c r="F60" s="949"/>
      <c r="G60" s="949"/>
      <c r="H60" s="949"/>
      <c r="I60" s="950"/>
      <c r="J60" s="627">
        <f>ROUND(I34*15*I40*0.5,2)*0</f>
        <v>0</v>
      </c>
      <c r="K60" s="628"/>
    </row>
    <row r="61" spans="1:11" ht="11.25" customHeight="1">
      <c r="A61" s="579"/>
      <c r="B61" s="1050" t="s">
        <v>1054</v>
      </c>
      <c r="C61" s="949"/>
      <c r="D61" s="949"/>
      <c r="E61" s="949"/>
      <c r="F61" s="949"/>
      <c r="G61" s="949"/>
      <c r="H61" s="949"/>
      <c r="I61" s="950"/>
      <c r="J61" s="645">
        <f>J60</f>
        <v>0</v>
      </c>
      <c r="K61" s="646"/>
    </row>
    <row r="62" spans="1:11" ht="11.25" customHeight="1">
      <c r="A62" s="579"/>
      <c r="B62" s="1045"/>
      <c r="C62" s="949"/>
      <c r="D62" s="949"/>
      <c r="E62" s="949"/>
      <c r="F62" s="949"/>
      <c r="G62" s="949"/>
      <c r="H62" s="949"/>
      <c r="I62" s="949"/>
      <c r="J62" s="950"/>
      <c r="K62" s="593"/>
    </row>
    <row r="63" spans="1:11" ht="11.25" customHeight="1">
      <c r="A63" s="579"/>
      <c r="B63" s="1096" t="s">
        <v>1055</v>
      </c>
      <c r="C63" s="949"/>
      <c r="D63" s="949"/>
      <c r="E63" s="949"/>
      <c r="F63" s="949"/>
      <c r="G63" s="949"/>
      <c r="H63" s="949"/>
      <c r="I63" s="950"/>
      <c r="J63" s="649">
        <f>J58+J61</f>
        <v>4128.0200000000004</v>
      </c>
      <c r="K63" s="650"/>
    </row>
    <row r="64" spans="1:11" ht="11.25" customHeight="1">
      <c r="A64" s="579"/>
      <c r="B64" s="1095"/>
      <c r="C64" s="949"/>
      <c r="D64" s="949"/>
      <c r="E64" s="949"/>
      <c r="F64" s="949"/>
      <c r="G64" s="949"/>
      <c r="H64" s="949"/>
      <c r="I64" s="949"/>
      <c r="J64" s="950"/>
      <c r="K64" s="651"/>
    </row>
    <row r="65" spans="1:11" ht="11.25" customHeight="1">
      <c r="A65" s="579"/>
      <c r="B65" s="1097" t="s">
        <v>442</v>
      </c>
      <c r="C65" s="949"/>
      <c r="D65" s="949"/>
      <c r="E65" s="949"/>
      <c r="F65" s="949"/>
      <c r="G65" s="949"/>
      <c r="H65" s="949"/>
      <c r="I65" s="949"/>
      <c r="J65" s="950"/>
      <c r="K65" s="652"/>
    </row>
    <row r="66" spans="1:11" ht="11.25" customHeight="1">
      <c r="A66" s="579"/>
      <c r="B66" s="1095"/>
      <c r="C66" s="949"/>
      <c r="D66" s="949"/>
      <c r="E66" s="949"/>
      <c r="F66" s="949"/>
      <c r="G66" s="949"/>
      <c r="H66" s="949"/>
      <c r="I66" s="949"/>
      <c r="J66" s="950"/>
      <c r="K66" s="651"/>
    </row>
    <row r="67" spans="1:11" ht="11.25" customHeight="1">
      <c r="A67" s="579"/>
      <c r="B67" s="1098" t="s">
        <v>443</v>
      </c>
      <c r="C67" s="949"/>
      <c r="D67" s="949"/>
      <c r="E67" s="949"/>
      <c r="F67" s="949"/>
      <c r="G67" s="949"/>
      <c r="H67" s="949"/>
      <c r="I67" s="949"/>
      <c r="J67" s="950"/>
      <c r="K67" s="653"/>
    </row>
    <row r="68" spans="1:11" ht="11.25" customHeight="1">
      <c r="A68" s="579"/>
      <c r="B68" s="1099" t="s">
        <v>1056</v>
      </c>
      <c r="C68" s="949"/>
      <c r="D68" s="949"/>
      <c r="E68" s="949"/>
      <c r="F68" s="949"/>
      <c r="G68" s="949"/>
      <c r="H68" s="949"/>
      <c r="I68" s="949"/>
      <c r="J68" s="950"/>
      <c r="K68" s="654"/>
    </row>
    <row r="69" spans="1:11" ht="15" customHeight="1">
      <c r="A69" s="579"/>
      <c r="B69" s="655" t="s">
        <v>445</v>
      </c>
      <c r="C69" s="1100" t="s">
        <v>1057</v>
      </c>
      <c r="D69" s="949"/>
      <c r="E69" s="949"/>
      <c r="F69" s="949"/>
      <c r="G69" s="949"/>
      <c r="H69" s="949"/>
      <c r="I69" s="950"/>
      <c r="J69" s="656" t="s">
        <v>447</v>
      </c>
      <c r="K69" s="657"/>
    </row>
    <row r="70" spans="1:11" ht="11.25" customHeight="1">
      <c r="A70" s="579"/>
      <c r="B70" s="655" t="s">
        <v>369</v>
      </c>
      <c r="C70" s="1092" t="s">
        <v>1058</v>
      </c>
      <c r="D70" s="949"/>
      <c r="E70" s="949"/>
      <c r="F70" s="949"/>
      <c r="G70" s="949"/>
      <c r="H70" s="950"/>
      <c r="I70" s="658">
        <v>8.3299999999999999E-2</v>
      </c>
      <c r="J70" s="659">
        <f>ROUND(J58*I70,2)</f>
        <v>343.86</v>
      </c>
      <c r="K70" s="660"/>
    </row>
    <row r="71" spans="1:11" ht="14.25" customHeight="1">
      <c r="A71" s="579"/>
      <c r="B71" s="655" t="s">
        <v>371</v>
      </c>
      <c r="C71" s="1101" t="s">
        <v>1059</v>
      </c>
      <c r="D71" s="949"/>
      <c r="E71" s="949"/>
      <c r="F71" s="949"/>
      <c r="G71" s="949"/>
      <c r="H71" s="950"/>
      <c r="I71" s="661">
        <v>3.0249999999999999E-2</v>
      </c>
      <c r="J71" s="659">
        <f>ROUND(J58*I71,2)</f>
        <v>124.87</v>
      </c>
      <c r="K71" s="660"/>
    </row>
    <row r="72" spans="1:11" ht="11.25" customHeight="1">
      <c r="A72" s="579"/>
      <c r="B72" s="1102" t="s">
        <v>450</v>
      </c>
      <c r="C72" s="949"/>
      <c r="D72" s="949"/>
      <c r="E72" s="949"/>
      <c r="F72" s="949"/>
      <c r="G72" s="949"/>
      <c r="H72" s="949"/>
      <c r="I72" s="950"/>
      <c r="J72" s="662">
        <f>SUM(J70+J71)</f>
        <v>468.73</v>
      </c>
      <c r="K72" s="663"/>
    </row>
    <row r="73" spans="1:11" ht="14.25" customHeight="1">
      <c r="A73" s="579"/>
      <c r="B73" s="1103"/>
      <c r="C73" s="949"/>
      <c r="D73" s="949"/>
      <c r="E73" s="949"/>
      <c r="F73" s="949"/>
      <c r="G73" s="949"/>
      <c r="H73" s="949"/>
      <c r="I73" s="949"/>
      <c r="J73" s="950"/>
      <c r="K73" s="664"/>
    </row>
    <row r="74" spans="1:11" ht="11.25" customHeight="1">
      <c r="A74" s="579"/>
      <c r="B74" s="1086" t="s">
        <v>1060</v>
      </c>
      <c r="C74" s="949"/>
      <c r="D74" s="949"/>
      <c r="E74" s="949"/>
      <c r="F74" s="949"/>
      <c r="G74" s="949"/>
      <c r="H74" s="949"/>
      <c r="I74" s="949"/>
      <c r="J74" s="950"/>
      <c r="K74" s="617"/>
    </row>
    <row r="75" spans="1:11" ht="14.25" customHeight="1">
      <c r="A75" s="579"/>
      <c r="B75" s="1104"/>
      <c r="C75" s="949"/>
      <c r="D75" s="949"/>
      <c r="E75" s="949"/>
      <c r="F75" s="949"/>
      <c r="G75" s="949"/>
      <c r="H75" s="949"/>
      <c r="I75" s="949"/>
      <c r="J75" s="950"/>
      <c r="K75" s="617"/>
    </row>
    <row r="76" spans="1:11" ht="14.25" customHeight="1">
      <c r="A76" s="579"/>
      <c r="B76" s="1105" t="s">
        <v>1061</v>
      </c>
      <c r="C76" s="949"/>
      <c r="D76" s="949"/>
      <c r="E76" s="949"/>
      <c r="F76" s="949"/>
      <c r="G76" s="949"/>
      <c r="H76" s="949"/>
      <c r="I76" s="949"/>
      <c r="J76" s="950"/>
      <c r="K76" s="665"/>
    </row>
    <row r="77" spans="1:11" ht="11.25" customHeight="1">
      <c r="A77" s="579"/>
      <c r="B77" s="666" t="s">
        <v>453</v>
      </c>
      <c r="C77" s="1110" t="s">
        <v>454</v>
      </c>
      <c r="D77" s="949"/>
      <c r="E77" s="949"/>
      <c r="F77" s="949"/>
      <c r="G77" s="949"/>
      <c r="H77" s="950"/>
      <c r="I77" s="667" t="s">
        <v>411</v>
      </c>
      <c r="J77" s="668" t="s">
        <v>455</v>
      </c>
      <c r="K77" s="657"/>
    </row>
    <row r="78" spans="1:11" ht="11.25" customHeight="1">
      <c r="A78" s="579"/>
      <c r="B78" s="669" t="s">
        <v>369</v>
      </c>
      <c r="C78" s="1051" t="s">
        <v>456</v>
      </c>
      <c r="D78" s="949"/>
      <c r="E78" s="949"/>
      <c r="F78" s="949"/>
      <c r="G78" s="949"/>
      <c r="H78" s="950"/>
      <c r="I78" s="670">
        <v>0.2</v>
      </c>
      <c r="J78" s="671">
        <f>ROUND((J58+J72)*I78,2)</f>
        <v>919.35</v>
      </c>
      <c r="K78" s="663"/>
    </row>
    <row r="79" spans="1:11" ht="11.25" customHeight="1">
      <c r="A79" s="579"/>
      <c r="B79" s="669" t="s">
        <v>371</v>
      </c>
      <c r="C79" s="1051" t="s">
        <v>457</v>
      </c>
      <c r="D79" s="949"/>
      <c r="E79" s="949"/>
      <c r="F79" s="949"/>
      <c r="G79" s="949"/>
      <c r="H79" s="950"/>
      <c r="I79" s="670">
        <v>2.5000000000000001E-2</v>
      </c>
      <c r="J79" s="671">
        <f>ROUND((J58+J72)*I79,2)</f>
        <v>114.92</v>
      </c>
      <c r="K79" s="663"/>
    </row>
    <row r="80" spans="1:11" ht="11.25" customHeight="1">
      <c r="A80" s="579"/>
      <c r="B80" s="669" t="s">
        <v>373</v>
      </c>
      <c r="C80" s="1051" t="s">
        <v>1062</v>
      </c>
      <c r="D80" s="950"/>
      <c r="E80" s="912" t="s">
        <v>459</v>
      </c>
      <c r="F80" s="913">
        <f>'1-ABA-DE-CARREGAMENTO'!K57</f>
        <v>0.03</v>
      </c>
      <c r="G80" s="912" t="s">
        <v>460</v>
      </c>
      <c r="H80" s="914">
        <f>'1-ABA-DE-CARREGAMENTO'!K58</f>
        <v>1</v>
      </c>
      <c r="I80" s="674">
        <f>ROUND((F80*H80),6)</f>
        <v>0.03</v>
      </c>
      <c r="J80" s="671">
        <f>ROUND((J58+J72)*I80,2)</f>
        <v>137.9</v>
      </c>
      <c r="K80" s="663"/>
    </row>
    <row r="81" spans="1:11" ht="16.5" customHeight="1">
      <c r="A81" s="579"/>
      <c r="B81" s="669" t="s">
        <v>375</v>
      </c>
      <c r="C81" s="1051" t="s">
        <v>461</v>
      </c>
      <c r="D81" s="949"/>
      <c r="E81" s="949"/>
      <c r="F81" s="949"/>
      <c r="G81" s="949"/>
      <c r="H81" s="950"/>
      <c r="I81" s="670">
        <v>1.4999999999999999E-2</v>
      </c>
      <c r="J81" s="671">
        <f>ROUND((J58+J72)*I81,2)</f>
        <v>68.95</v>
      </c>
      <c r="K81" s="663"/>
    </row>
    <row r="82" spans="1:11" ht="16.5" customHeight="1">
      <c r="A82" s="579"/>
      <c r="B82" s="669" t="s">
        <v>417</v>
      </c>
      <c r="C82" s="1051" t="s">
        <v>462</v>
      </c>
      <c r="D82" s="949"/>
      <c r="E82" s="949"/>
      <c r="F82" s="949"/>
      <c r="G82" s="949"/>
      <c r="H82" s="950"/>
      <c r="I82" s="670">
        <v>0.01</v>
      </c>
      <c r="J82" s="671">
        <f>ROUND((J58+J72)*I82,2)</f>
        <v>45.97</v>
      </c>
      <c r="K82" s="663"/>
    </row>
    <row r="83" spans="1:11" ht="16.5" customHeight="1">
      <c r="A83" s="579"/>
      <c r="B83" s="669" t="s">
        <v>421</v>
      </c>
      <c r="C83" s="1051" t="s">
        <v>463</v>
      </c>
      <c r="D83" s="949"/>
      <c r="E83" s="949"/>
      <c r="F83" s="949"/>
      <c r="G83" s="949"/>
      <c r="H83" s="950"/>
      <c r="I83" s="670">
        <v>6.0000000000000001E-3</v>
      </c>
      <c r="J83" s="671">
        <f>ROUND((J58+J72)*I83,2)</f>
        <v>27.58</v>
      </c>
      <c r="K83" s="663"/>
    </row>
    <row r="84" spans="1:11" ht="16.5" customHeight="1">
      <c r="A84" s="579"/>
      <c r="B84" s="669" t="s">
        <v>423</v>
      </c>
      <c r="C84" s="1051" t="s">
        <v>464</v>
      </c>
      <c r="D84" s="949"/>
      <c r="E84" s="949"/>
      <c r="F84" s="949"/>
      <c r="G84" s="949"/>
      <c r="H84" s="950"/>
      <c r="I84" s="670">
        <v>2E-3</v>
      </c>
      <c r="J84" s="671">
        <f>ROUND((J58+J72)*I84,2)</f>
        <v>9.19</v>
      </c>
      <c r="K84" s="663"/>
    </row>
    <row r="85" spans="1:11" ht="28.5" customHeight="1">
      <c r="A85" s="579"/>
      <c r="B85" s="669" t="s">
        <v>425</v>
      </c>
      <c r="C85" s="1051" t="s">
        <v>465</v>
      </c>
      <c r="D85" s="949"/>
      <c r="E85" s="949"/>
      <c r="F85" s="949"/>
      <c r="G85" s="949"/>
      <c r="H85" s="950"/>
      <c r="I85" s="670">
        <v>0.08</v>
      </c>
      <c r="J85" s="671">
        <f>ROUND((J58+J72)*I85,2)</f>
        <v>367.74</v>
      </c>
      <c r="K85" s="663"/>
    </row>
    <row r="86" spans="1:11" ht="12" customHeight="1">
      <c r="A86" s="579"/>
      <c r="B86" s="1108" t="s">
        <v>450</v>
      </c>
      <c r="C86" s="949"/>
      <c r="D86" s="949"/>
      <c r="E86" s="949"/>
      <c r="F86" s="949"/>
      <c r="G86" s="949"/>
      <c r="H86" s="950"/>
      <c r="I86" s="675">
        <f t="shared" ref="I86:J86" si="0">SUM(I78:I85)</f>
        <v>0.36800000000000005</v>
      </c>
      <c r="J86" s="662">
        <f t="shared" si="0"/>
        <v>1691.6000000000001</v>
      </c>
      <c r="K86" s="663"/>
    </row>
    <row r="87" spans="1:11" ht="12" customHeight="1">
      <c r="A87" s="579"/>
      <c r="B87" s="676"/>
      <c r="C87" s="677"/>
      <c r="D87" s="677"/>
      <c r="E87" s="677"/>
      <c r="F87" s="677"/>
      <c r="G87" s="677"/>
      <c r="H87" s="677"/>
      <c r="I87" s="678"/>
      <c r="J87" s="679"/>
      <c r="K87" s="663"/>
    </row>
    <row r="88" spans="1:11" ht="33" customHeight="1">
      <c r="A88" s="579"/>
      <c r="B88" s="1086" t="s">
        <v>466</v>
      </c>
      <c r="C88" s="949"/>
      <c r="D88" s="949"/>
      <c r="E88" s="949"/>
      <c r="F88" s="949"/>
      <c r="G88" s="949"/>
      <c r="H88" s="949"/>
      <c r="I88" s="949"/>
      <c r="J88" s="950"/>
      <c r="K88" s="617"/>
    </row>
    <row r="89" spans="1:11" ht="18.75" customHeight="1">
      <c r="A89" s="579"/>
      <c r="B89" s="1047"/>
      <c r="C89" s="949"/>
      <c r="D89" s="949"/>
      <c r="E89" s="949"/>
      <c r="F89" s="949"/>
      <c r="G89" s="949"/>
      <c r="H89" s="949"/>
      <c r="I89" s="949"/>
      <c r="J89" s="950"/>
      <c r="K89" s="362"/>
    </row>
    <row r="90" spans="1:11" ht="15" customHeight="1">
      <c r="A90" s="579"/>
      <c r="B90" s="1114" t="s">
        <v>467</v>
      </c>
      <c r="C90" s="949"/>
      <c r="D90" s="949"/>
      <c r="E90" s="949"/>
      <c r="F90" s="949"/>
      <c r="G90" s="949"/>
      <c r="H90" s="949"/>
      <c r="I90" s="949"/>
      <c r="J90" s="950"/>
      <c r="K90" s="654"/>
    </row>
    <row r="91" spans="1:11" ht="15" customHeight="1">
      <c r="A91" s="579"/>
      <c r="B91" s="680" t="s">
        <v>468</v>
      </c>
      <c r="C91" s="1089" t="s">
        <v>469</v>
      </c>
      <c r="D91" s="949"/>
      <c r="E91" s="949"/>
      <c r="F91" s="949"/>
      <c r="G91" s="949"/>
      <c r="H91" s="949"/>
      <c r="I91" s="950"/>
      <c r="J91" s="681" t="s">
        <v>447</v>
      </c>
      <c r="K91" s="592"/>
    </row>
    <row r="92" spans="1:11" ht="15" customHeight="1">
      <c r="A92" s="579"/>
      <c r="B92" s="682" t="s">
        <v>369</v>
      </c>
      <c r="C92" s="1051" t="s">
        <v>1063</v>
      </c>
      <c r="D92" s="949"/>
      <c r="E92" s="949"/>
      <c r="F92" s="949"/>
      <c r="G92" s="949"/>
      <c r="H92" s="950"/>
      <c r="I92" s="683">
        <f>J47</f>
        <v>4128.0200000000004</v>
      </c>
      <c r="J92" s="684">
        <f>IF(ROUND((I93*I95*I94)-(J47*I96),2)&lt;0,0,ROUND((I93*I95*I94)-(J47*I96),2))</f>
        <v>0</v>
      </c>
      <c r="K92" s="663"/>
    </row>
    <row r="93" spans="1:11" ht="28.5" customHeight="1">
      <c r="A93" s="579"/>
      <c r="B93" s="682" t="s">
        <v>371</v>
      </c>
      <c r="C93" s="1051" t="s">
        <v>1064</v>
      </c>
      <c r="D93" s="949"/>
      <c r="E93" s="949"/>
      <c r="F93" s="949"/>
      <c r="G93" s="949"/>
      <c r="H93" s="949"/>
      <c r="I93" s="685">
        <f>'1-ABA-DE-CARREGAMENTO'!K72</f>
        <v>0</v>
      </c>
      <c r="J93" s="686" t="s">
        <v>382</v>
      </c>
      <c r="K93" s="644"/>
    </row>
    <row r="94" spans="1:11" ht="24" customHeight="1">
      <c r="A94" s="579"/>
      <c r="B94" s="682" t="s">
        <v>373</v>
      </c>
      <c r="C94" s="1051" t="s">
        <v>1065</v>
      </c>
      <c r="D94" s="949"/>
      <c r="E94" s="949"/>
      <c r="F94" s="949"/>
      <c r="G94" s="949"/>
      <c r="H94" s="950"/>
      <c r="I94" s="687">
        <f>'1-ABA-DE-CARREGAMENTO'!K73</f>
        <v>2</v>
      </c>
      <c r="J94" s="686" t="s">
        <v>382</v>
      </c>
      <c r="K94" s="644"/>
    </row>
    <row r="95" spans="1:11" ht="19.5" customHeight="1">
      <c r="A95" s="579"/>
      <c r="B95" s="682" t="s">
        <v>375</v>
      </c>
      <c r="C95" s="1062" t="s">
        <v>473</v>
      </c>
      <c r="D95" s="949"/>
      <c r="E95" s="949"/>
      <c r="F95" s="949"/>
      <c r="G95" s="949"/>
      <c r="H95" s="950"/>
      <c r="I95" s="687">
        <f>'1-ABA-DE-CARREGAMENTO'!K74</f>
        <v>22</v>
      </c>
      <c r="J95" s="686" t="s">
        <v>382</v>
      </c>
      <c r="K95" s="644"/>
    </row>
    <row r="96" spans="1:11" ht="25.5" customHeight="1">
      <c r="A96" s="579"/>
      <c r="B96" s="682" t="s">
        <v>417</v>
      </c>
      <c r="C96" s="1062" t="s">
        <v>1066</v>
      </c>
      <c r="D96" s="949"/>
      <c r="E96" s="949"/>
      <c r="F96" s="949"/>
      <c r="G96" s="949"/>
      <c r="H96" s="950"/>
      <c r="I96" s="688">
        <f>'1-ABA-DE-CARREGAMENTO'!K75</f>
        <v>0.06</v>
      </c>
      <c r="J96" s="689" t="s">
        <v>382</v>
      </c>
      <c r="K96" s="644"/>
    </row>
    <row r="97" spans="1:11" ht="15" customHeight="1">
      <c r="A97" s="579"/>
      <c r="B97" s="682" t="s">
        <v>421</v>
      </c>
      <c r="C97" s="1051" t="s">
        <v>1067</v>
      </c>
      <c r="D97" s="949"/>
      <c r="E97" s="949"/>
      <c r="F97" s="949"/>
      <c r="G97" s="949"/>
      <c r="H97" s="949"/>
      <c r="I97" s="949"/>
      <c r="J97" s="684">
        <f>ROUND(I98*I99,2)-ROUND((I98*I99)*I100,2)</f>
        <v>0</v>
      </c>
      <c r="K97" s="663"/>
    </row>
    <row r="98" spans="1:11" ht="15" customHeight="1">
      <c r="A98" s="579"/>
      <c r="B98" s="682" t="s">
        <v>423</v>
      </c>
      <c r="C98" s="1051" t="s">
        <v>1068</v>
      </c>
      <c r="D98" s="949"/>
      <c r="E98" s="949"/>
      <c r="F98" s="949"/>
      <c r="G98" s="949"/>
      <c r="H98" s="949"/>
      <c r="I98" s="685">
        <f>IF('1-ABA-DE-CARREGAMENTO'!K60&gt;0,'1-ABA-DE-CARREGAMENTO'!K60,'1-ABA-DE-CARREGAMENTO'!K63)</f>
        <v>0</v>
      </c>
      <c r="J98" s="691"/>
      <c r="K98" s="644"/>
    </row>
    <row r="99" spans="1:11" ht="15" customHeight="1">
      <c r="A99" s="579"/>
      <c r="B99" s="682" t="s">
        <v>425</v>
      </c>
      <c r="C99" s="1051" t="s">
        <v>1069</v>
      </c>
      <c r="D99" s="949"/>
      <c r="E99" s="949"/>
      <c r="F99" s="949"/>
      <c r="G99" s="949"/>
      <c r="H99" s="949"/>
      <c r="I99" s="687">
        <f>'1-ABA-DE-CARREGAMENTO'!K62</f>
        <v>22</v>
      </c>
      <c r="J99" s="691"/>
      <c r="K99" s="644"/>
    </row>
    <row r="100" spans="1:11" ht="27" customHeight="1">
      <c r="A100" s="579"/>
      <c r="B100" s="682" t="s">
        <v>429</v>
      </c>
      <c r="C100" s="1107" t="s">
        <v>1070</v>
      </c>
      <c r="D100" s="949"/>
      <c r="E100" s="949"/>
      <c r="F100" s="949"/>
      <c r="G100" s="949"/>
      <c r="H100" s="950"/>
      <c r="I100" s="688">
        <f>'1-ABA-DE-CARREGAMENTO'!K61</f>
        <v>0</v>
      </c>
      <c r="J100" s="693"/>
      <c r="K100" s="644"/>
    </row>
    <row r="101" spans="1:11" ht="15" customHeight="1">
      <c r="A101" s="579"/>
      <c r="B101" s="682" t="s">
        <v>433</v>
      </c>
      <c r="C101" s="1051" t="s">
        <v>715</v>
      </c>
      <c r="D101" s="949"/>
      <c r="E101" s="949"/>
      <c r="F101" s="949"/>
      <c r="G101" s="949"/>
      <c r="H101" s="949"/>
      <c r="I101" s="949"/>
      <c r="J101" s="671">
        <v>0</v>
      </c>
      <c r="K101" s="663"/>
    </row>
    <row r="102" spans="1:11" ht="36" customHeight="1">
      <c r="A102" s="579"/>
      <c r="B102" s="682" t="s">
        <v>436</v>
      </c>
      <c r="C102" s="1051" t="s">
        <v>1071</v>
      </c>
      <c r="D102" s="949"/>
      <c r="E102" s="949"/>
      <c r="F102" s="949"/>
      <c r="G102" s="949"/>
      <c r="H102" s="949"/>
      <c r="I102" s="949"/>
      <c r="J102" s="671">
        <f>'1-ABA-DE-CARREGAMENTO'!K77</f>
        <v>0</v>
      </c>
      <c r="K102" s="663"/>
    </row>
    <row r="103" spans="1:11" ht="36" customHeight="1">
      <c r="A103" s="579"/>
      <c r="B103" s="682" t="s">
        <v>481</v>
      </c>
      <c r="C103" s="1051" t="s">
        <v>1072</v>
      </c>
      <c r="D103" s="949"/>
      <c r="E103" s="949"/>
      <c r="F103" s="949"/>
      <c r="G103" s="949"/>
      <c r="H103" s="949"/>
      <c r="I103" s="950"/>
      <c r="J103" s="671">
        <f>'1-ABA-DE-CARREGAMENTO'!K78</f>
        <v>0</v>
      </c>
      <c r="K103" s="663"/>
    </row>
    <row r="104" spans="1:11" ht="16.5" customHeight="1">
      <c r="A104" s="579"/>
      <c r="B104" s="682" t="s">
        <v>483</v>
      </c>
      <c r="C104" s="1051" t="s">
        <v>718</v>
      </c>
      <c r="D104" s="949"/>
      <c r="E104" s="949"/>
      <c r="F104" s="949"/>
      <c r="G104" s="949"/>
      <c r="H104" s="949"/>
      <c r="I104" s="950"/>
      <c r="J104" s="671">
        <f>'1-ABA-DE-CARREGAMENTO'!K76</f>
        <v>0</v>
      </c>
      <c r="K104" s="663"/>
    </row>
    <row r="105" spans="1:11" ht="17.25" customHeight="1">
      <c r="A105" s="579"/>
      <c r="B105" s="682" t="s">
        <v>129</v>
      </c>
      <c r="C105" s="1111" t="s">
        <v>524</v>
      </c>
      <c r="D105" s="949"/>
      <c r="E105" s="949"/>
      <c r="F105" s="949"/>
      <c r="G105" s="949"/>
      <c r="H105" s="949"/>
      <c r="I105" s="949"/>
      <c r="J105" s="742">
        <v>0</v>
      </c>
      <c r="K105" s="704"/>
    </row>
    <row r="106" spans="1:11" ht="33.75" customHeight="1">
      <c r="A106" s="579"/>
      <c r="B106" s="705"/>
      <c r="C106" s="1108" t="s">
        <v>450</v>
      </c>
      <c r="D106" s="949"/>
      <c r="E106" s="949"/>
      <c r="F106" s="949"/>
      <c r="G106" s="949"/>
      <c r="H106" s="949"/>
      <c r="I106" s="949"/>
      <c r="J106" s="662">
        <f>SUM(J92:J105)</f>
        <v>0</v>
      </c>
      <c r="K106" s="663"/>
    </row>
    <row r="107" spans="1:11" ht="12" customHeight="1">
      <c r="A107" s="579"/>
      <c r="B107" s="1047"/>
      <c r="C107" s="949"/>
      <c r="D107" s="949"/>
      <c r="E107" s="949"/>
      <c r="F107" s="949"/>
      <c r="G107" s="949"/>
      <c r="H107" s="949"/>
      <c r="I107" s="949"/>
      <c r="J107" s="950"/>
      <c r="K107" s="362"/>
    </row>
    <row r="108" spans="1:11" ht="33.75" customHeight="1">
      <c r="A108" s="579"/>
      <c r="B108" s="1086" t="s">
        <v>486</v>
      </c>
      <c r="C108" s="949"/>
      <c r="D108" s="949"/>
      <c r="E108" s="949"/>
      <c r="F108" s="949"/>
      <c r="G108" s="949"/>
      <c r="H108" s="949"/>
      <c r="I108" s="949"/>
      <c r="J108" s="950"/>
      <c r="K108" s="617"/>
    </row>
    <row r="109" spans="1:11" ht="10.5" customHeight="1">
      <c r="A109" s="579"/>
      <c r="B109" s="1045"/>
      <c r="C109" s="949"/>
      <c r="D109" s="949"/>
      <c r="E109" s="949"/>
      <c r="F109" s="949"/>
      <c r="G109" s="949"/>
      <c r="H109" s="949"/>
      <c r="I109" s="949"/>
      <c r="J109" s="950"/>
      <c r="K109" s="593"/>
    </row>
    <row r="110" spans="1:11" ht="19.5" customHeight="1">
      <c r="A110" s="579"/>
      <c r="B110" s="1109" t="s">
        <v>487</v>
      </c>
      <c r="C110" s="949"/>
      <c r="D110" s="949"/>
      <c r="E110" s="949"/>
      <c r="F110" s="949"/>
      <c r="G110" s="949"/>
      <c r="H110" s="949"/>
      <c r="I110" s="949"/>
      <c r="J110" s="950"/>
      <c r="K110" s="706"/>
    </row>
    <row r="111" spans="1:11" ht="19.5" customHeight="1">
      <c r="A111" s="579"/>
      <c r="B111" s="668">
        <v>2</v>
      </c>
      <c r="C111" s="1110" t="s">
        <v>488</v>
      </c>
      <c r="D111" s="949"/>
      <c r="E111" s="949"/>
      <c r="F111" s="949"/>
      <c r="G111" s="949"/>
      <c r="H111" s="949"/>
      <c r="I111" s="950"/>
      <c r="J111" s="668" t="s">
        <v>447</v>
      </c>
      <c r="K111" s="657"/>
    </row>
    <row r="112" spans="1:11" ht="19.5" customHeight="1">
      <c r="A112" s="579"/>
      <c r="B112" s="600" t="s">
        <v>445</v>
      </c>
      <c r="C112" s="1092" t="s">
        <v>1073</v>
      </c>
      <c r="D112" s="949"/>
      <c r="E112" s="949"/>
      <c r="F112" s="949"/>
      <c r="G112" s="949"/>
      <c r="H112" s="949"/>
      <c r="I112" s="950"/>
      <c r="J112" s="707">
        <f>J72</f>
        <v>468.73</v>
      </c>
      <c r="K112" s="708"/>
    </row>
    <row r="113" spans="1:11" ht="19.5" customHeight="1">
      <c r="A113" s="579"/>
      <c r="B113" s="600" t="s">
        <v>453</v>
      </c>
      <c r="C113" s="1092" t="s">
        <v>454</v>
      </c>
      <c r="D113" s="949"/>
      <c r="E113" s="949"/>
      <c r="F113" s="949"/>
      <c r="G113" s="949"/>
      <c r="H113" s="949"/>
      <c r="I113" s="950"/>
      <c r="J113" s="707">
        <f>J86</f>
        <v>1691.6000000000001</v>
      </c>
      <c r="K113" s="708"/>
    </row>
    <row r="114" spans="1:11" ht="19.5" customHeight="1">
      <c r="A114" s="579"/>
      <c r="B114" s="600" t="s">
        <v>468</v>
      </c>
      <c r="C114" s="1092" t="s">
        <v>469</v>
      </c>
      <c r="D114" s="949"/>
      <c r="E114" s="949"/>
      <c r="F114" s="949"/>
      <c r="G114" s="949"/>
      <c r="H114" s="949"/>
      <c r="I114" s="950"/>
      <c r="J114" s="707">
        <f>J106</f>
        <v>0</v>
      </c>
      <c r="K114" s="708"/>
    </row>
    <row r="115" spans="1:11" ht="14.25" customHeight="1">
      <c r="A115" s="579"/>
      <c r="B115" s="1115" t="s">
        <v>450</v>
      </c>
      <c r="C115" s="949"/>
      <c r="D115" s="949"/>
      <c r="E115" s="949"/>
      <c r="F115" s="949"/>
      <c r="G115" s="949"/>
      <c r="H115" s="949"/>
      <c r="I115" s="950"/>
      <c r="J115" s="709">
        <f>SUM(J112+J113+J114)</f>
        <v>2160.33</v>
      </c>
      <c r="K115" s="708"/>
    </row>
    <row r="116" spans="1:11" ht="14.25" customHeight="1">
      <c r="A116" s="579"/>
      <c r="B116" s="1116"/>
      <c r="C116" s="949"/>
      <c r="D116" s="949"/>
      <c r="E116" s="949"/>
      <c r="F116" s="949"/>
      <c r="G116" s="949"/>
      <c r="H116" s="949"/>
      <c r="I116" s="949"/>
      <c r="J116" s="950"/>
      <c r="K116" s="710"/>
    </row>
    <row r="117" spans="1:11" ht="18.75" customHeight="1">
      <c r="A117" s="579"/>
      <c r="B117" s="1117" t="s">
        <v>490</v>
      </c>
      <c r="C117" s="949"/>
      <c r="D117" s="949"/>
      <c r="E117" s="949"/>
      <c r="F117" s="949"/>
      <c r="G117" s="949"/>
      <c r="H117" s="949"/>
      <c r="I117" s="949"/>
      <c r="J117" s="950"/>
      <c r="K117" s="711"/>
    </row>
    <row r="118" spans="1:11" ht="15.75" customHeight="1">
      <c r="A118" s="579"/>
      <c r="B118" s="680">
        <v>3</v>
      </c>
      <c r="C118" s="1118" t="s">
        <v>491</v>
      </c>
      <c r="D118" s="949"/>
      <c r="E118" s="949"/>
      <c r="F118" s="949"/>
      <c r="G118" s="949"/>
      <c r="H118" s="949"/>
      <c r="I118" s="950"/>
      <c r="J118" s="680" t="s">
        <v>447</v>
      </c>
      <c r="K118" s="712"/>
    </row>
    <row r="119" spans="1:11" ht="42" customHeight="1">
      <c r="A119" s="579"/>
      <c r="B119" s="682" t="s">
        <v>369</v>
      </c>
      <c r="C119" s="1051" t="s">
        <v>1074</v>
      </c>
      <c r="D119" s="949"/>
      <c r="E119" s="949"/>
      <c r="F119" s="949"/>
      <c r="G119" s="949"/>
      <c r="H119" s="949"/>
      <c r="I119" s="950"/>
      <c r="J119" s="671">
        <f>ROUND((($J$58/12)+($J$70/12)+(J58/12/12)+($J$71/12))*(30/30)*0.05,2)</f>
        <v>20.59</v>
      </c>
      <c r="K119" s="663"/>
    </row>
    <row r="120" spans="1:11" ht="15.75" customHeight="1">
      <c r="A120" s="579"/>
      <c r="B120" s="682" t="s">
        <v>371</v>
      </c>
      <c r="C120" s="1111" t="s">
        <v>493</v>
      </c>
      <c r="D120" s="949"/>
      <c r="E120" s="949"/>
      <c r="F120" s="949"/>
      <c r="G120" s="949"/>
      <c r="H120" s="949"/>
      <c r="I120" s="950"/>
      <c r="J120" s="671">
        <f>ROUND($I$85*J119,2)</f>
        <v>1.65</v>
      </c>
      <c r="K120" s="663"/>
    </row>
    <row r="121" spans="1:11" ht="30" customHeight="1">
      <c r="A121" s="579"/>
      <c r="B121" s="682" t="s">
        <v>373</v>
      </c>
      <c r="C121" s="1051" t="s">
        <v>1075</v>
      </c>
      <c r="D121" s="949"/>
      <c r="E121" s="949"/>
      <c r="F121" s="949"/>
      <c r="G121" s="949"/>
      <c r="H121" s="949"/>
      <c r="I121" s="950"/>
      <c r="J121" s="671">
        <f>ROUND(((7/30)/$I$11)*$J$58*1,2)</f>
        <v>32.11</v>
      </c>
      <c r="K121" s="663"/>
    </row>
    <row r="122" spans="1:11" ht="18.75" customHeight="1">
      <c r="A122" s="579"/>
      <c r="B122" s="682" t="s">
        <v>375</v>
      </c>
      <c r="C122" s="1111" t="s">
        <v>495</v>
      </c>
      <c r="D122" s="949"/>
      <c r="E122" s="949"/>
      <c r="F122" s="949"/>
      <c r="G122" s="949"/>
      <c r="H122" s="949"/>
      <c r="I122" s="950"/>
      <c r="J122" s="671">
        <f>ROUND($I$86*J121,2)</f>
        <v>11.82</v>
      </c>
      <c r="K122" s="663"/>
    </row>
    <row r="123" spans="1:11" ht="33.75" customHeight="1">
      <c r="A123" s="579"/>
      <c r="B123" s="682" t="s">
        <v>417</v>
      </c>
      <c r="C123" s="1051" t="s">
        <v>1076</v>
      </c>
      <c r="D123" s="949"/>
      <c r="E123" s="949"/>
      <c r="F123" s="949"/>
      <c r="G123" s="949"/>
      <c r="H123" s="950"/>
      <c r="I123" s="714">
        <v>0.04</v>
      </c>
      <c r="J123" s="671">
        <f>ROUND(J58*I123,2)</f>
        <v>165.12</v>
      </c>
      <c r="K123" s="663"/>
    </row>
    <row r="124" spans="1:11" ht="19.5" customHeight="1">
      <c r="A124" s="579"/>
      <c r="B124" s="1108" t="s">
        <v>497</v>
      </c>
      <c r="C124" s="949"/>
      <c r="D124" s="949"/>
      <c r="E124" s="949"/>
      <c r="F124" s="949"/>
      <c r="G124" s="949"/>
      <c r="H124" s="949"/>
      <c r="I124" s="950"/>
      <c r="J124" s="662">
        <f>SUM(J119:J123)</f>
        <v>231.29</v>
      </c>
      <c r="K124" s="663"/>
    </row>
    <row r="125" spans="1:11" ht="15.75" customHeight="1">
      <c r="A125" s="579"/>
      <c r="B125" s="1112"/>
      <c r="C125" s="949"/>
      <c r="D125" s="949"/>
      <c r="E125" s="949"/>
      <c r="F125" s="949"/>
      <c r="G125" s="949"/>
      <c r="H125" s="949"/>
      <c r="I125" s="949"/>
      <c r="J125" s="950"/>
      <c r="K125" s="715"/>
    </row>
    <row r="126" spans="1:11" ht="17.25" customHeight="1">
      <c r="A126" s="579"/>
      <c r="B126" s="1113" t="s">
        <v>498</v>
      </c>
      <c r="C126" s="949"/>
      <c r="D126" s="949"/>
      <c r="E126" s="949"/>
      <c r="F126" s="949"/>
      <c r="G126" s="949"/>
      <c r="H126" s="949"/>
      <c r="I126" s="949"/>
      <c r="J126" s="950"/>
      <c r="K126" s="716"/>
    </row>
    <row r="127" spans="1:11" ht="30" customHeight="1">
      <c r="A127" s="579"/>
      <c r="B127" s="1086" t="s">
        <v>499</v>
      </c>
      <c r="C127" s="949"/>
      <c r="D127" s="949"/>
      <c r="E127" s="949"/>
      <c r="F127" s="949"/>
      <c r="G127" s="949"/>
      <c r="H127" s="949"/>
      <c r="I127" s="949"/>
      <c r="J127" s="950"/>
      <c r="K127" s="617"/>
    </row>
    <row r="128" spans="1:11" ht="28.5" customHeight="1">
      <c r="A128" s="579"/>
      <c r="B128" s="1105" t="s">
        <v>1077</v>
      </c>
      <c r="C128" s="949"/>
      <c r="D128" s="949"/>
      <c r="E128" s="949"/>
      <c r="F128" s="949"/>
      <c r="G128" s="949"/>
      <c r="H128" s="949"/>
      <c r="I128" s="949"/>
      <c r="J128" s="950"/>
      <c r="K128" s="665"/>
    </row>
    <row r="129" spans="1:11" ht="27.75" customHeight="1">
      <c r="A129" s="579"/>
      <c r="B129" s="717" t="s">
        <v>501</v>
      </c>
      <c r="C129" s="718">
        <f>J58</f>
        <v>4128.0200000000004</v>
      </c>
      <c r="D129" s="719" t="s">
        <v>502</v>
      </c>
      <c r="E129" s="717" t="s">
        <v>1078</v>
      </c>
      <c r="F129" s="718">
        <f>J115-J92-J97</f>
        <v>2160.33</v>
      </c>
      <c r="G129" s="719" t="s">
        <v>502</v>
      </c>
      <c r="H129" s="717" t="s">
        <v>504</v>
      </c>
      <c r="I129" s="718">
        <f>J124</f>
        <v>231.29</v>
      </c>
      <c r="J129" s="720">
        <f>C129+F129+I129</f>
        <v>6519.64</v>
      </c>
      <c r="K129" s="721"/>
    </row>
    <row r="130" spans="1:11" ht="9" customHeight="1">
      <c r="A130" s="579"/>
      <c r="B130" s="1120"/>
      <c r="C130" s="949"/>
      <c r="D130" s="949"/>
      <c r="E130" s="949"/>
      <c r="F130" s="949"/>
      <c r="G130" s="949"/>
      <c r="H130" s="949"/>
      <c r="I130" s="949"/>
      <c r="J130" s="950"/>
      <c r="K130" s="722"/>
    </row>
    <row r="131" spans="1:11" ht="15.75" customHeight="1">
      <c r="A131" s="579"/>
      <c r="B131" s="1121" t="s">
        <v>505</v>
      </c>
      <c r="C131" s="949"/>
      <c r="D131" s="949"/>
      <c r="E131" s="949"/>
      <c r="F131" s="949"/>
      <c r="G131" s="949"/>
      <c r="H131" s="949"/>
      <c r="I131" s="949"/>
      <c r="J131" s="950"/>
      <c r="K131" s="723"/>
    </row>
    <row r="132" spans="1:11" ht="17.25" customHeight="1">
      <c r="A132" s="579"/>
      <c r="B132" s="724" t="s">
        <v>506</v>
      </c>
      <c r="C132" s="1118" t="s">
        <v>507</v>
      </c>
      <c r="D132" s="949"/>
      <c r="E132" s="949"/>
      <c r="F132" s="949"/>
      <c r="G132" s="949"/>
      <c r="H132" s="949"/>
      <c r="I132" s="950"/>
      <c r="J132" s="724" t="s">
        <v>447</v>
      </c>
      <c r="K132" s="726"/>
    </row>
    <row r="133" spans="1:11" ht="45" customHeight="1">
      <c r="A133" s="579"/>
      <c r="B133" s="682" t="s">
        <v>369</v>
      </c>
      <c r="C133" s="1092" t="s">
        <v>1079</v>
      </c>
      <c r="D133" s="949"/>
      <c r="E133" s="949"/>
      <c r="F133" s="949"/>
      <c r="G133" s="949"/>
      <c r="H133" s="727">
        <v>9.0749999999999997E-2</v>
      </c>
      <c r="I133" s="873">
        <f>I86</f>
        <v>0.36800000000000005</v>
      </c>
      <c r="J133" s="671">
        <f>ROUND(H133*J58,2)*(1+I133)</f>
        <v>512.48016000000007</v>
      </c>
      <c r="K133" s="663"/>
    </row>
    <row r="134" spans="1:11" ht="17.25" customHeight="1">
      <c r="A134" s="579"/>
      <c r="B134" s="682" t="s">
        <v>371</v>
      </c>
      <c r="C134" s="1051" t="s">
        <v>1080</v>
      </c>
      <c r="D134" s="949"/>
      <c r="E134" s="949"/>
      <c r="F134" s="949"/>
      <c r="G134" s="949"/>
      <c r="H134" s="949"/>
      <c r="I134" s="950"/>
      <c r="J134" s="671">
        <f>ROUND((1/30)/12*(J129),2)</f>
        <v>18.11</v>
      </c>
      <c r="K134" s="663"/>
    </row>
    <row r="135" spans="1:11" ht="26.25" customHeight="1">
      <c r="A135" s="579"/>
      <c r="B135" s="682" t="s">
        <v>373</v>
      </c>
      <c r="C135" s="1051" t="s">
        <v>1081</v>
      </c>
      <c r="D135" s="949"/>
      <c r="E135" s="949"/>
      <c r="F135" s="949"/>
      <c r="G135" s="949"/>
      <c r="H135" s="949"/>
      <c r="I135" s="950"/>
      <c r="J135" s="671">
        <f>ROUND((5/30)/12*0.015*(J129),2)</f>
        <v>1.36</v>
      </c>
      <c r="K135" s="663"/>
    </row>
    <row r="136" spans="1:11" ht="28.5" customHeight="1">
      <c r="A136" s="579"/>
      <c r="B136" s="682" t="s">
        <v>375</v>
      </c>
      <c r="C136" s="1051" t="s">
        <v>1082</v>
      </c>
      <c r="D136" s="949"/>
      <c r="E136" s="949"/>
      <c r="F136" s="949"/>
      <c r="G136" s="949"/>
      <c r="H136" s="949"/>
      <c r="I136" s="950"/>
      <c r="J136" s="671">
        <f>ROUND(((15/30)/12)*0.0078*(J129),2)</f>
        <v>2.12</v>
      </c>
      <c r="K136" s="663"/>
    </row>
    <row r="137" spans="1:11" ht="30.75" customHeight="1">
      <c r="A137" s="579"/>
      <c r="B137" s="730" t="s">
        <v>417</v>
      </c>
      <c r="C137" s="1119" t="s">
        <v>1083</v>
      </c>
      <c r="D137" s="949"/>
      <c r="E137" s="949"/>
      <c r="F137" s="949"/>
      <c r="G137" s="949"/>
      <c r="H137" s="949"/>
      <c r="I137" s="950"/>
      <c r="J137" s="731">
        <f>ROUND(((((C129+C129/3)+(I86)*(C129+C129/3))*(4/12))/12)*0.02,2) + ((J106 -J92-J97+ J124)*4/12)*0.02</f>
        <v>5.7219333333333333</v>
      </c>
      <c r="K137" s="732"/>
    </row>
    <row r="138" spans="1:11" ht="38.25" customHeight="1">
      <c r="A138" s="579"/>
      <c r="B138" s="682" t="s">
        <v>421</v>
      </c>
      <c r="C138" s="1051" t="s">
        <v>1084</v>
      </c>
      <c r="D138" s="949"/>
      <c r="E138" s="949"/>
      <c r="F138" s="949"/>
      <c r="G138" s="949"/>
      <c r="H138" s="949"/>
      <c r="I138" s="950"/>
      <c r="J138" s="671">
        <f>ROUND(((3/30)/12)*(J129),2)</f>
        <v>54.33</v>
      </c>
      <c r="K138" s="663"/>
    </row>
    <row r="139" spans="1:11" ht="18" customHeight="1">
      <c r="A139" s="579"/>
      <c r="B139" s="1108" t="s">
        <v>450</v>
      </c>
      <c r="C139" s="949"/>
      <c r="D139" s="949"/>
      <c r="E139" s="949"/>
      <c r="F139" s="949"/>
      <c r="G139" s="949"/>
      <c r="H139" s="949"/>
      <c r="I139" s="950"/>
      <c r="J139" s="662">
        <f>SUM(J133:J138)</f>
        <v>594.12209333333351</v>
      </c>
      <c r="K139" s="663"/>
    </row>
    <row r="140" spans="1:11" ht="10.5" customHeight="1">
      <c r="A140" s="579"/>
      <c r="B140" s="1112"/>
      <c r="C140" s="949"/>
      <c r="D140" s="949"/>
      <c r="E140" s="949"/>
      <c r="F140" s="949"/>
      <c r="G140" s="949"/>
      <c r="H140" s="949"/>
      <c r="I140" s="949"/>
      <c r="J140" s="950"/>
      <c r="K140" s="715"/>
    </row>
    <row r="141" spans="1:11" ht="19.5" customHeight="1">
      <c r="A141" s="579"/>
      <c r="B141" s="1114" t="s">
        <v>514</v>
      </c>
      <c r="C141" s="949"/>
      <c r="D141" s="949"/>
      <c r="E141" s="949"/>
      <c r="F141" s="949"/>
      <c r="G141" s="949"/>
      <c r="H141" s="949"/>
      <c r="I141" s="949"/>
      <c r="J141" s="950"/>
      <c r="K141" s="654"/>
    </row>
    <row r="142" spans="1:11" ht="19.5" customHeight="1">
      <c r="A142" s="579"/>
      <c r="B142" s="733" t="s">
        <v>515</v>
      </c>
      <c r="C142" s="1122" t="s">
        <v>516</v>
      </c>
      <c r="D142" s="949"/>
      <c r="E142" s="949"/>
      <c r="F142" s="949"/>
      <c r="G142" s="949"/>
      <c r="H142" s="949"/>
      <c r="I142" s="950"/>
      <c r="J142" s="734" t="s">
        <v>447</v>
      </c>
      <c r="K142" s="735"/>
    </row>
    <row r="143" spans="1:11" ht="19.5" customHeight="1">
      <c r="A143" s="579"/>
      <c r="B143" s="736" t="s">
        <v>369</v>
      </c>
      <c r="C143" s="1125" t="s">
        <v>517</v>
      </c>
      <c r="D143" s="949"/>
      <c r="E143" s="949"/>
      <c r="F143" s="949"/>
      <c r="G143" s="949"/>
      <c r="H143" s="949"/>
      <c r="I143" s="950"/>
      <c r="J143" s="737">
        <v>0</v>
      </c>
      <c r="K143" s="738"/>
    </row>
    <row r="144" spans="1:11" ht="19.5" customHeight="1">
      <c r="A144" s="579"/>
      <c r="B144" s="1102" t="s">
        <v>450</v>
      </c>
      <c r="C144" s="949"/>
      <c r="D144" s="949"/>
      <c r="E144" s="949"/>
      <c r="F144" s="949"/>
      <c r="G144" s="949"/>
      <c r="H144" s="949"/>
      <c r="I144" s="950"/>
      <c r="J144" s="739">
        <v>0</v>
      </c>
      <c r="K144" s="738"/>
    </row>
    <row r="145" spans="1:11" ht="9.75" customHeight="1">
      <c r="A145" s="579"/>
      <c r="B145" s="1126"/>
      <c r="C145" s="949"/>
      <c r="D145" s="949"/>
      <c r="E145" s="949"/>
      <c r="F145" s="949"/>
      <c r="G145" s="949"/>
      <c r="H145" s="949"/>
      <c r="I145" s="949"/>
      <c r="J145" s="950"/>
      <c r="K145" s="740"/>
    </row>
    <row r="146" spans="1:11" ht="19.5" customHeight="1">
      <c r="A146" s="579"/>
      <c r="B146" s="1098" t="s">
        <v>518</v>
      </c>
      <c r="C146" s="949"/>
      <c r="D146" s="949"/>
      <c r="E146" s="949"/>
      <c r="F146" s="949"/>
      <c r="G146" s="949"/>
      <c r="H146" s="949"/>
      <c r="I146" s="949"/>
      <c r="J146" s="950"/>
      <c r="K146" s="653"/>
    </row>
    <row r="147" spans="1:11" ht="19.5" customHeight="1">
      <c r="A147" s="579"/>
      <c r="B147" s="668">
        <v>4</v>
      </c>
      <c r="C147" s="1122" t="s">
        <v>519</v>
      </c>
      <c r="D147" s="949"/>
      <c r="E147" s="949"/>
      <c r="F147" s="949"/>
      <c r="G147" s="949"/>
      <c r="H147" s="949"/>
      <c r="I147" s="950"/>
      <c r="J147" s="734" t="s">
        <v>447</v>
      </c>
      <c r="K147" s="735"/>
    </row>
    <row r="148" spans="1:11" ht="28.5" customHeight="1">
      <c r="A148" s="579"/>
      <c r="B148" s="600" t="s">
        <v>506</v>
      </c>
      <c r="C148" s="1125" t="s">
        <v>507</v>
      </c>
      <c r="D148" s="949"/>
      <c r="E148" s="949"/>
      <c r="F148" s="949"/>
      <c r="G148" s="949"/>
      <c r="H148" s="949"/>
      <c r="I148" s="950"/>
      <c r="J148" s="737">
        <f>J139</f>
        <v>594.12209333333351</v>
      </c>
      <c r="K148" s="738"/>
    </row>
    <row r="149" spans="1:11" ht="24" customHeight="1">
      <c r="A149" s="579"/>
      <c r="B149" s="600" t="s">
        <v>520</v>
      </c>
      <c r="C149" s="1125" t="s">
        <v>516</v>
      </c>
      <c r="D149" s="949"/>
      <c r="E149" s="949"/>
      <c r="F149" s="949"/>
      <c r="G149" s="949"/>
      <c r="H149" s="949"/>
      <c r="I149" s="950"/>
      <c r="J149" s="737">
        <f>J144</f>
        <v>0</v>
      </c>
      <c r="K149" s="738"/>
    </row>
    <row r="150" spans="1:11" ht="24" customHeight="1">
      <c r="A150" s="579"/>
      <c r="B150" s="1115" t="s">
        <v>450</v>
      </c>
      <c r="C150" s="949"/>
      <c r="D150" s="949"/>
      <c r="E150" s="949"/>
      <c r="F150" s="949"/>
      <c r="G150" s="949"/>
      <c r="H150" s="949"/>
      <c r="I150" s="950"/>
      <c r="J150" s="739">
        <f>SUM(J148+J149)</f>
        <v>594.12209333333351</v>
      </c>
      <c r="K150" s="738"/>
    </row>
    <row r="151" spans="1:11" ht="9" customHeight="1">
      <c r="A151" s="579"/>
      <c r="B151" s="1126"/>
      <c r="C151" s="949"/>
      <c r="D151" s="949"/>
      <c r="E151" s="949"/>
      <c r="F151" s="949"/>
      <c r="G151" s="949"/>
      <c r="H151" s="949"/>
      <c r="I151" s="949"/>
      <c r="J151" s="950"/>
      <c r="K151" s="740"/>
    </row>
    <row r="152" spans="1:11" ht="15.75" customHeight="1">
      <c r="A152" s="579"/>
      <c r="B152" s="1113" t="s">
        <v>521</v>
      </c>
      <c r="C152" s="949"/>
      <c r="D152" s="949"/>
      <c r="E152" s="949"/>
      <c r="F152" s="949"/>
      <c r="G152" s="949"/>
      <c r="H152" s="949"/>
      <c r="I152" s="949"/>
      <c r="J152" s="950"/>
      <c r="K152" s="716"/>
    </row>
    <row r="153" spans="1:11" ht="15.75" customHeight="1">
      <c r="A153" s="579"/>
      <c r="B153" s="680">
        <v>3</v>
      </c>
      <c r="C153" s="1089" t="s">
        <v>522</v>
      </c>
      <c r="D153" s="949"/>
      <c r="E153" s="949"/>
      <c r="F153" s="949"/>
      <c r="G153" s="949"/>
      <c r="H153" s="949"/>
      <c r="I153" s="950"/>
      <c r="J153" s="680" t="s">
        <v>447</v>
      </c>
      <c r="K153" s="712"/>
    </row>
    <row r="154" spans="1:11" ht="19.5" customHeight="1">
      <c r="A154" s="579"/>
      <c r="B154" s="682" t="s">
        <v>369</v>
      </c>
      <c r="C154" s="1051" t="s">
        <v>658</v>
      </c>
      <c r="D154" s="949"/>
      <c r="E154" s="949"/>
      <c r="F154" s="949"/>
      <c r="G154" s="949"/>
      <c r="H154" s="949"/>
      <c r="I154" s="950"/>
      <c r="J154" s="671">
        <v>0</v>
      </c>
      <c r="K154" s="663"/>
    </row>
    <row r="155" spans="1:11" ht="15.75" customHeight="1">
      <c r="A155" s="579"/>
      <c r="B155" s="682" t="s">
        <v>371</v>
      </c>
      <c r="C155" s="1051" t="s">
        <v>659</v>
      </c>
      <c r="D155" s="949"/>
      <c r="E155" s="949"/>
      <c r="F155" s="949"/>
      <c r="G155" s="949"/>
      <c r="H155" s="949"/>
      <c r="I155" s="950"/>
      <c r="J155" s="742">
        <v>0</v>
      </c>
      <c r="K155" s="704"/>
    </row>
    <row r="156" spans="1:11" ht="15.75" customHeight="1">
      <c r="A156" s="579"/>
      <c r="B156" s="682" t="s">
        <v>373</v>
      </c>
      <c r="C156" s="1051" t="s">
        <v>524</v>
      </c>
      <c r="D156" s="949"/>
      <c r="E156" s="949"/>
      <c r="F156" s="949"/>
      <c r="G156" s="949"/>
      <c r="H156" s="949"/>
      <c r="I156" s="950"/>
      <c r="J156" s="742" t="s">
        <v>525</v>
      </c>
      <c r="K156" s="704"/>
    </row>
    <row r="157" spans="1:11" ht="19.5" customHeight="1">
      <c r="A157" s="579"/>
      <c r="B157" s="1108" t="s">
        <v>526</v>
      </c>
      <c r="C157" s="949"/>
      <c r="D157" s="949"/>
      <c r="E157" s="949"/>
      <c r="F157" s="949"/>
      <c r="G157" s="949"/>
      <c r="H157" s="949"/>
      <c r="I157" s="950"/>
      <c r="J157" s="743">
        <f>ROUND(SUM(J154:J156),2)</f>
        <v>0</v>
      </c>
      <c r="K157" s="704"/>
    </row>
    <row r="158" spans="1:11" ht="12" customHeight="1">
      <c r="A158" s="579"/>
      <c r="B158" s="1153"/>
      <c r="C158" s="949"/>
      <c r="D158" s="949"/>
      <c r="E158" s="949"/>
      <c r="F158" s="949"/>
      <c r="G158" s="949"/>
      <c r="H158" s="949"/>
      <c r="I158" s="949"/>
      <c r="J158" s="950"/>
      <c r="K158" s="744"/>
    </row>
    <row r="159" spans="1:11" ht="18" customHeight="1">
      <c r="A159" s="579"/>
      <c r="B159" s="1154" t="s">
        <v>527</v>
      </c>
      <c r="C159" s="949"/>
      <c r="D159" s="949"/>
      <c r="E159" s="949"/>
      <c r="F159" s="949"/>
      <c r="G159" s="949"/>
      <c r="H159" s="949"/>
      <c r="I159" s="949"/>
      <c r="J159" s="950"/>
      <c r="K159" s="745"/>
    </row>
    <row r="160" spans="1:11" ht="12" customHeight="1">
      <c r="A160" s="579"/>
      <c r="B160" s="746"/>
      <c r="C160" s="747"/>
      <c r="D160" s="747"/>
      <c r="E160" s="747"/>
      <c r="F160" s="747"/>
      <c r="G160" s="747"/>
      <c r="H160" s="747"/>
      <c r="I160" s="747"/>
      <c r="J160" s="748"/>
      <c r="K160" s="314"/>
    </row>
    <row r="161" spans="1:11" ht="24" customHeight="1">
      <c r="A161" s="579"/>
      <c r="B161" s="1117" t="s">
        <v>528</v>
      </c>
      <c r="C161" s="949"/>
      <c r="D161" s="949"/>
      <c r="E161" s="949"/>
      <c r="F161" s="949"/>
      <c r="G161" s="949"/>
      <c r="H161" s="949"/>
      <c r="I161" s="949"/>
      <c r="J161" s="950"/>
      <c r="K161" s="711"/>
    </row>
    <row r="162" spans="1:11" ht="24" customHeight="1">
      <c r="A162" s="579"/>
      <c r="B162" s="680">
        <v>6</v>
      </c>
      <c r="C162" s="1118" t="s">
        <v>529</v>
      </c>
      <c r="D162" s="949"/>
      <c r="E162" s="949"/>
      <c r="F162" s="949"/>
      <c r="G162" s="949"/>
      <c r="H162" s="950"/>
      <c r="I162" s="749" t="s">
        <v>411</v>
      </c>
      <c r="J162" s="750" t="s">
        <v>455</v>
      </c>
      <c r="K162" s="751"/>
    </row>
    <row r="163" spans="1:11" ht="54.75" customHeight="1">
      <c r="A163" s="579"/>
      <c r="B163" s="1062" t="s">
        <v>530</v>
      </c>
      <c r="C163" s="949"/>
      <c r="D163" s="949"/>
      <c r="E163" s="949"/>
      <c r="F163" s="949"/>
      <c r="G163" s="949"/>
      <c r="H163" s="950"/>
      <c r="I163" s="341" t="s">
        <v>382</v>
      </c>
      <c r="J163" s="752">
        <f>SUM(J63+J115+J124+J150+J157)</f>
        <v>7113.7620933333337</v>
      </c>
      <c r="K163" s="753"/>
    </row>
    <row r="164" spans="1:11" ht="20.25" customHeight="1">
      <c r="A164" s="579"/>
      <c r="B164" s="682" t="s">
        <v>369</v>
      </c>
      <c r="C164" s="1155" t="s">
        <v>531</v>
      </c>
      <c r="D164" s="949"/>
      <c r="E164" s="949"/>
      <c r="F164" s="949"/>
      <c r="G164" s="949"/>
      <c r="H164" s="950"/>
      <c r="I164" s="670">
        <f>'1-ABA-DE-CARREGAMENTO'!K85</f>
        <v>0.06</v>
      </c>
      <c r="J164" s="671">
        <f>ROUND(I164*J163,2)</f>
        <v>426.83</v>
      </c>
      <c r="K164" s="663"/>
    </row>
    <row r="165" spans="1:11" ht="51" customHeight="1">
      <c r="A165" s="579"/>
      <c r="B165" s="1062" t="s">
        <v>532</v>
      </c>
      <c r="C165" s="949"/>
      <c r="D165" s="949"/>
      <c r="E165" s="949"/>
      <c r="F165" s="949"/>
      <c r="G165" s="949"/>
      <c r="H165" s="950"/>
      <c r="I165" s="754" t="s">
        <v>382</v>
      </c>
      <c r="J165" s="752">
        <f>SUM(J63+J115+J124+J150+J157+J164)</f>
        <v>7540.5920933333337</v>
      </c>
      <c r="K165" s="753"/>
    </row>
    <row r="166" spans="1:11" ht="19.5" customHeight="1">
      <c r="A166" s="579"/>
      <c r="B166" s="682" t="s">
        <v>371</v>
      </c>
      <c r="C166" s="1155" t="s">
        <v>312</v>
      </c>
      <c r="D166" s="949"/>
      <c r="E166" s="949"/>
      <c r="F166" s="949"/>
      <c r="G166" s="949"/>
      <c r="H166" s="950"/>
      <c r="I166" s="670">
        <f>'1-ABA-DE-CARREGAMENTO'!K86</f>
        <v>0.06</v>
      </c>
      <c r="J166" s="671">
        <f>ROUND(I166*J165,2)</f>
        <v>452.44</v>
      </c>
      <c r="K166" s="663"/>
    </row>
    <row r="167" spans="1:11" ht="54" customHeight="1">
      <c r="A167" s="579"/>
      <c r="B167" s="1062" t="s">
        <v>533</v>
      </c>
      <c r="C167" s="949"/>
      <c r="D167" s="949"/>
      <c r="E167" s="949"/>
      <c r="F167" s="949"/>
      <c r="G167" s="949"/>
      <c r="H167" s="950"/>
      <c r="I167" s="754" t="s">
        <v>382</v>
      </c>
      <c r="J167" s="752">
        <f>SUM(J163+J164+J166)</f>
        <v>7993.0320933333333</v>
      </c>
      <c r="K167" s="753"/>
    </row>
    <row r="168" spans="1:11" ht="18.75" customHeight="1">
      <c r="A168" s="579"/>
      <c r="B168" s="755" t="s">
        <v>373</v>
      </c>
      <c r="C168" s="1117" t="s">
        <v>534</v>
      </c>
      <c r="D168" s="949"/>
      <c r="E168" s="949"/>
      <c r="F168" s="949"/>
      <c r="G168" s="949"/>
      <c r="H168" s="950"/>
      <c r="I168" s="756" t="s">
        <v>382</v>
      </c>
      <c r="J168" s="643" t="s">
        <v>382</v>
      </c>
      <c r="K168" s="644"/>
    </row>
    <row r="169" spans="1:11" ht="18.75" customHeight="1">
      <c r="A169" s="579"/>
      <c r="B169" s="682"/>
      <c r="C169" s="1111" t="s">
        <v>535</v>
      </c>
      <c r="D169" s="949"/>
      <c r="E169" s="949"/>
      <c r="F169" s="949"/>
      <c r="G169" s="949"/>
      <c r="H169" s="950"/>
      <c r="I169" s="756" t="s">
        <v>382</v>
      </c>
      <c r="J169" s="643" t="s">
        <v>382</v>
      </c>
      <c r="K169" s="644"/>
    </row>
    <row r="170" spans="1:11" ht="19.5" customHeight="1">
      <c r="A170" s="579"/>
      <c r="B170" s="682"/>
      <c r="C170" s="1156" t="s">
        <v>1085</v>
      </c>
      <c r="D170" s="949"/>
      <c r="E170" s="949"/>
      <c r="F170" s="949"/>
      <c r="G170" s="949"/>
      <c r="H170" s="950"/>
      <c r="I170" s="629">
        <f>'1-ABA-DE-CARREGAMENTO'!E28</f>
        <v>1.6500000000000001E-2</v>
      </c>
      <c r="J170" s="757">
        <f t="shared" ref="J170:J171" si="1">ROUND(($J$167/(1-$I$179))*I170,2)</f>
        <v>150.30000000000001</v>
      </c>
      <c r="K170" s="758"/>
    </row>
    <row r="171" spans="1:11" ht="19.5" customHeight="1">
      <c r="A171" s="579"/>
      <c r="B171" s="682"/>
      <c r="C171" s="1156" t="s">
        <v>1086</v>
      </c>
      <c r="D171" s="949"/>
      <c r="E171" s="949"/>
      <c r="F171" s="949"/>
      <c r="G171" s="949"/>
      <c r="H171" s="950"/>
      <c r="I171" s="629">
        <f>'1-ABA-DE-CARREGAMENTO'!F28</f>
        <v>7.5999999999999998E-2</v>
      </c>
      <c r="J171" s="757">
        <f t="shared" si="1"/>
        <v>692.27</v>
      </c>
      <c r="K171" s="758"/>
    </row>
    <row r="172" spans="1:11" ht="24.75" customHeight="1">
      <c r="A172" s="579"/>
      <c r="B172" s="682"/>
      <c r="C172" s="1051" t="s">
        <v>1087</v>
      </c>
      <c r="D172" s="949"/>
      <c r="E172" s="949"/>
      <c r="F172" s="949"/>
      <c r="G172" s="949"/>
      <c r="H172" s="950"/>
      <c r="I172" s="759" t="s">
        <v>382</v>
      </c>
      <c r="J172" s="643" t="s">
        <v>382</v>
      </c>
      <c r="K172" s="644"/>
    </row>
    <row r="173" spans="1:11" ht="27" customHeight="1">
      <c r="A173" s="579"/>
      <c r="B173" s="682"/>
      <c r="C173" s="1051" t="s">
        <v>1088</v>
      </c>
      <c r="D173" s="949"/>
      <c r="E173" s="949"/>
      <c r="F173" s="949"/>
      <c r="G173" s="949"/>
      <c r="H173" s="950"/>
      <c r="I173" s="759" t="s">
        <v>382</v>
      </c>
      <c r="J173" s="643" t="s">
        <v>382</v>
      </c>
      <c r="K173" s="644"/>
    </row>
    <row r="174" spans="1:11" ht="15.75" customHeight="1">
      <c r="A174" s="579"/>
      <c r="B174" s="682"/>
      <c r="C174" s="1051" t="s">
        <v>540</v>
      </c>
      <c r="D174" s="949"/>
      <c r="E174" s="949"/>
      <c r="F174" s="949"/>
      <c r="G174" s="949"/>
      <c r="H174" s="949"/>
      <c r="I174" s="760" t="s">
        <v>382</v>
      </c>
      <c r="J174" s="761" t="s">
        <v>382</v>
      </c>
      <c r="K174" s="762"/>
    </row>
    <row r="175" spans="1:11" ht="15.75" customHeight="1">
      <c r="A175" s="579"/>
      <c r="B175" s="682"/>
      <c r="C175" s="1051" t="s">
        <v>541</v>
      </c>
      <c r="D175" s="949"/>
      <c r="E175" s="949"/>
      <c r="F175" s="949"/>
      <c r="G175" s="949"/>
      <c r="H175" s="949"/>
      <c r="I175" s="760" t="s">
        <v>382</v>
      </c>
      <c r="J175" s="761" t="s">
        <v>382</v>
      </c>
      <c r="K175" s="762"/>
    </row>
    <row r="176" spans="1:11" ht="15.75" customHeight="1">
      <c r="A176" s="579"/>
      <c r="B176" s="682"/>
      <c r="C176" s="1051" t="s">
        <v>1089</v>
      </c>
      <c r="D176" s="949"/>
      <c r="E176" s="949"/>
      <c r="F176" s="949"/>
      <c r="G176" s="949"/>
      <c r="H176" s="950"/>
      <c r="I176" s="763">
        <f>'1-ABA-DE-CARREGAMENTO'!D87</f>
        <v>0.03</v>
      </c>
      <c r="J176" s="757">
        <f>ROUND(($J$167/(1-$I$179))*I176,2)</f>
        <v>273.27</v>
      </c>
      <c r="K176" s="758"/>
    </row>
    <row r="177" spans="1:11" ht="15.75" customHeight="1">
      <c r="A177" s="579"/>
      <c r="B177" s="1108" t="s">
        <v>497</v>
      </c>
      <c r="C177" s="949"/>
      <c r="D177" s="949"/>
      <c r="E177" s="949"/>
      <c r="F177" s="949"/>
      <c r="G177" s="949"/>
      <c r="H177" s="949"/>
      <c r="I177" s="950"/>
      <c r="J177" s="662">
        <f>SUM(J164+J166+J170+J171+J176)</f>
        <v>1995.11</v>
      </c>
      <c r="K177" s="663"/>
    </row>
    <row r="178" spans="1:11" ht="15.75" customHeight="1">
      <c r="A178" s="579"/>
      <c r="B178" s="1112"/>
      <c r="C178" s="949"/>
      <c r="D178" s="949"/>
      <c r="E178" s="949"/>
      <c r="F178" s="949"/>
      <c r="G178" s="949"/>
      <c r="H178" s="949"/>
      <c r="I178" s="949"/>
      <c r="J178" s="950"/>
      <c r="K178" s="715"/>
    </row>
    <row r="179" spans="1:11" ht="15.75" customHeight="1">
      <c r="A179" s="579"/>
      <c r="B179" s="1157" t="s">
        <v>543</v>
      </c>
      <c r="C179" s="949"/>
      <c r="D179" s="949"/>
      <c r="E179" s="949"/>
      <c r="F179" s="949"/>
      <c r="G179" s="949"/>
      <c r="H179" s="950"/>
      <c r="I179" s="764">
        <f t="shared" ref="I179:J179" si="2">SUM(I170:I176)</f>
        <v>0.1225</v>
      </c>
      <c r="J179" s="752">
        <f t="shared" si="2"/>
        <v>1115.8399999999999</v>
      </c>
      <c r="K179" s="753"/>
    </row>
    <row r="180" spans="1:11" ht="15.75" customHeight="1">
      <c r="A180" s="579"/>
      <c r="B180" s="1158" t="s">
        <v>544</v>
      </c>
      <c r="C180" s="947"/>
      <c r="D180" s="1159" t="s">
        <v>545</v>
      </c>
      <c r="E180" s="947"/>
      <c r="F180" s="947"/>
      <c r="G180" s="947"/>
      <c r="H180" s="947"/>
      <c r="I180" s="947"/>
      <c r="J180" s="1020"/>
      <c r="K180" s="765"/>
    </row>
    <row r="181" spans="1:11" ht="15.75" customHeight="1">
      <c r="A181" s="579"/>
      <c r="B181" s="1151"/>
      <c r="C181" s="947"/>
      <c r="D181" s="1160" t="s">
        <v>546</v>
      </c>
      <c r="E181" s="947"/>
      <c r="F181" s="947"/>
      <c r="G181" s="947"/>
      <c r="H181" s="947"/>
      <c r="I181" s="947"/>
      <c r="J181" s="1020"/>
      <c r="K181" s="766"/>
    </row>
    <row r="182" spans="1:11" ht="15.75" customHeight="1">
      <c r="A182" s="579"/>
      <c r="B182" s="1134"/>
      <c r="C182" s="1037"/>
      <c r="D182" s="1161" t="s">
        <v>547</v>
      </c>
      <c r="E182" s="1037"/>
      <c r="F182" s="1037"/>
      <c r="G182" s="1037"/>
      <c r="H182" s="1037"/>
      <c r="I182" s="1037"/>
      <c r="J182" s="1038"/>
      <c r="K182" s="765"/>
    </row>
    <row r="183" spans="1:11" ht="15.75" customHeight="1">
      <c r="A183" s="579"/>
      <c r="B183" s="1162"/>
      <c r="C183" s="949"/>
      <c r="D183" s="949"/>
      <c r="E183" s="949"/>
      <c r="F183" s="949"/>
      <c r="G183" s="949"/>
      <c r="H183" s="949"/>
      <c r="I183" s="949"/>
      <c r="J183" s="950"/>
      <c r="K183" s="767"/>
    </row>
    <row r="184" spans="1:11" ht="15.75" customHeight="1">
      <c r="A184" s="579"/>
      <c r="B184" s="1046" t="s">
        <v>548</v>
      </c>
      <c r="C184" s="949"/>
      <c r="D184" s="949"/>
      <c r="E184" s="949"/>
      <c r="F184" s="949"/>
      <c r="G184" s="949"/>
      <c r="H184" s="949"/>
      <c r="I184" s="949"/>
      <c r="J184" s="950"/>
      <c r="K184" s="596"/>
    </row>
    <row r="185" spans="1:11" ht="15.75" customHeight="1">
      <c r="A185" s="579"/>
      <c r="B185" s="1112"/>
      <c r="C185" s="949"/>
      <c r="D185" s="949"/>
      <c r="E185" s="949"/>
      <c r="F185" s="949"/>
      <c r="G185" s="949"/>
      <c r="H185" s="949"/>
      <c r="I185" s="949"/>
      <c r="J185" s="950"/>
      <c r="K185" s="715"/>
    </row>
    <row r="186" spans="1:11" ht="15.75" customHeight="1">
      <c r="A186" s="579"/>
      <c r="B186" s="1113" t="s">
        <v>1090</v>
      </c>
      <c r="C186" s="949"/>
      <c r="D186" s="949"/>
      <c r="E186" s="949"/>
      <c r="F186" s="949"/>
      <c r="G186" s="949"/>
      <c r="H186" s="949"/>
      <c r="I186" s="949"/>
      <c r="J186" s="950"/>
      <c r="K186" s="716"/>
    </row>
    <row r="187" spans="1:11" ht="15.75" customHeight="1">
      <c r="A187" s="579"/>
      <c r="B187" s="1050" t="s">
        <v>550</v>
      </c>
      <c r="C187" s="949"/>
      <c r="D187" s="949"/>
      <c r="E187" s="949"/>
      <c r="F187" s="949"/>
      <c r="G187" s="949"/>
      <c r="H187" s="949"/>
      <c r="I187" s="950"/>
      <c r="J187" s="749" t="s">
        <v>447</v>
      </c>
      <c r="K187" s="593"/>
    </row>
    <row r="188" spans="1:11" ht="15.75" customHeight="1">
      <c r="A188" s="579"/>
      <c r="B188" s="768" t="s">
        <v>369</v>
      </c>
      <c r="C188" s="1123" t="s">
        <v>551</v>
      </c>
      <c r="D188" s="949"/>
      <c r="E188" s="949"/>
      <c r="F188" s="949"/>
      <c r="G188" s="949"/>
      <c r="H188" s="949"/>
      <c r="I188" s="949"/>
      <c r="J188" s="742">
        <f>J63</f>
        <v>4128.0200000000004</v>
      </c>
      <c r="K188" s="704"/>
    </row>
    <row r="189" spans="1:11" ht="15.75" customHeight="1">
      <c r="A189" s="579"/>
      <c r="B189" s="768" t="s">
        <v>371</v>
      </c>
      <c r="C189" s="1123" t="s">
        <v>552</v>
      </c>
      <c r="D189" s="949"/>
      <c r="E189" s="949"/>
      <c r="F189" s="949"/>
      <c r="G189" s="949"/>
      <c r="H189" s="949"/>
      <c r="I189" s="949"/>
      <c r="J189" s="742">
        <f>J115</f>
        <v>2160.33</v>
      </c>
      <c r="K189" s="704"/>
    </row>
    <row r="190" spans="1:11" ht="15.75" customHeight="1">
      <c r="A190" s="579"/>
      <c r="B190" s="768" t="s">
        <v>373</v>
      </c>
      <c r="C190" s="1123" t="s">
        <v>553</v>
      </c>
      <c r="D190" s="949"/>
      <c r="E190" s="949"/>
      <c r="F190" s="949"/>
      <c r="G190" s="949"/>
      <c r="H190" s="949"/>
      <c r="I190" s="949"/>
      <c r="J190" s="742">
        <f>J124</f>
        <v>231.29</v>
      </c>
      <c r="K190" s="704"/>
    </row>
    <row r="191" spans="1:11" ht="15.75" customHeight="1">
      <c r="A191" s="579"/>
      <c r="B191" s="768" t="s">
        <v>375</v>
      </c>
      <c r="C191" s="1123" t="s">
        <v>554</v>
      </c>
      <c r="D191" s="949"/>
      <c r="E191" s="949"/>
      <c r="F191" s="949"/>
      <c r="G191" s="949"/>
      <c r="H191" s="949"/>
      <c r="I191" s="949"/>
      <c r="J191" s="742">
        <f>J150</f>
        <v>594.12209333333351</v>
      </c>
      <c r="K191" s="704"/>
    </row>
    <row r="192" spans="1:11" ht="15.75" customHeight="1">
      <c r="A192" s="579"/>
      <c r="B192" s="768" t="s">
        <v>417</v>
      </c>
      <c r="C192" s="1123" t="s">
        <v>555</v>
      </c>
      <c r="D192" s="949"/>
      <c r="E192" s="949"/>
      <c r="F192" s="949"/>
      <c r="G192" s="949"/>
      <c r="H192" s="949"/>
      <c r="I192" s="949"/>
      <c r="J192" s="742">
        <f>J157</f>
        <v>0</v>
      </c>
      <c r="K192" s="704"/>
    </row>
    <row r="193" spans="1:11" ht="15.75" customHeight="1">
      <c r="A193" s="579"/>
      <c r="B193" s="1124" t="s">
        <v>556</v>
      </c>
      <c r="C193" s="949"/>
      <c r="D193" s="949"/>
      <c r="E193" s="949"/>
      <c r="F193" s="949"/>
      <c r="G193" s="949"/>
      <c r="H193" s="949"/>
      <c r="I193" s="949"/>
      <c r="J193" s="743">
        <f>ROUND(SUM(J188:J192),2)</f>
        <v>7113.76</v>
      </c>
      <c r="K193" s="704"/>
    </row>
    <row r="194" spans="1:11" ht="15.75" customHeight="1">
      <c r="A194" s="579"/>
      <c r="B194" s="769" t="s">
        <v>421</v>
      </c>
      <c r="C194" s="1123" t="s">
        <v>528</v>
      </c>
      <c r="D194" s="949"/>
      <c r="E194" s="949"/>
      <c r="F194" s="949"/>
      <c r="G194" s="949"/>
      <c r="H194" s="949"/>
      <c r="I194" s="949"/>
      <c r="J194" s="742">
        <f>J177</f>
        <v>1995.11</v>
      </c>
      <c r="K194" s="704"/>
    </row>
    <row r="195" spans="1:11" ht="15.75" customHeight="1">
      <c r="A195" s="579"/>
      <c r="B195" s="1124" t="s">
        <v>666</v>
      </c>
      <c r="C195" s="949"/>
      <c r="D195" s="949"/>
      <c r="E195" s="949"/>
      <c r="F195" s="949"/>
      <c r="G195" s="949"/>
      <c r="H195" s="949"/>
      <c r="I195" s="949"/>
      <c r="J195" s="743">
        <f>J193+J194</f>
        <v>9108.8700000000008</v>
      </c>
      <c r="K195" s="704"/>
    </row>
    <row r="196" spans="1:11" ht="34.5" customHeight="1">
      <c r="A196" s="579"/>
      <c r="B196" s="1169" t="s">
        <v>558</v>
      </c>
      <c r="C196" s="949"/>
      <c r="D196" s="949"/>
      <c r="E196" s="949"/>
      <c r="F196" s="949"/>
      <c r="G196" s="949"/>
      <c r="H196" s="949"/>
      <c r="I196" s="949"/>
      <c r="J196" s="950"/>
      <c r="K196" s="874"/>
    </row>
    <row r="197" spans="1:11" ht="9" customHeight="1">
      <c r="A197" s="579"/>
      <c r="B197" s="1170"/>
      <c r="C197" s="949"/>
      <c r="D197" s="949"/>
      <c r="E197" s="949"/>
      <c r="F197" s="949"/>
      <c r="G197" s="949"/>
      <c r="H197" s="949"/>
      <c r="I197" s="949"/>
      <c r="J197" s="950"/>
      <c r="K197" s="771"/>
    </row>
    <row r="198" spans="1:11" ht="15.75" customHeight="1">
      <c r="A198" s="579"/>
      <c r="B198" s="772"/>
      <c r="C198" s="587"/>
      <c r="D198" s="587"/>
      <c r="E198" s="587"/>
      <c r="F198" s="587"/>
      <c r="G198" s="587"/>
      <c r="H198" s="587"/>
      <c r="I198" s="773"/>
      <c r="J198" s="774"/>
      <c r="K198" s="773"/>
    </row>
    <row r="199" spans="1:11" ht="15.75" customHeight="1">
      <c r="A199" s="579"/>
      <c r="B199" s="1129" t="s">
        <v>1033</v>
      </c>
      <c r="C199" s="947"/>
      <c r="D199" s="947"/>
      <c r="E199" s="947"/>
      <c r="F199" s="947"/>
      <c r="G199" s="947"/>
      <c r="H199" s="947"/>
      <c r="I199" s="947"/>
      <c r="J199" s="1020"/>
      <c r="K199" s="588"/>
    </row>
    <row r="200" spans="1:11" ht="40.5" customHeight="1">
      <c r="A200" s="579"/>
      <c r="B200" s="1075" t="s">
        <v>560</v>
      </c>
      <c r="C200" s="949"/>
      <c r="D200" s="949"/>
      <c r="E200" s="950"/>
      <c r="F200" s="1075" t="s">
        <v>667</v>
      </c>
      <c r="G200" s="950"/>
      <c r="H200" s="749" t="s">
        <v>563</v>
      </c>
      <c r="I200" s="1075" t="s">
        <v>564</v>
      </c>
      <c r="J200" s="950"/>
      <c r="K200" s="593"/>
    </row>
    <row r="201" spans="1:11" ht="33" hidden="1" customHeight="1" outlineLevel="1">
      <c r="A201" s="579"/>
      <c r="B201" s="1051" t="s">
        <v>565</v>
      </c>
      <c r="C201" s="949"/>
      <c r="D201" s="949"/>
      <c r="E201" s="950"/>
      <c r="F201" s="1140">
        <v>0</v>
      </c>
      <c r="G201" s="950"/>
      <c r="H201" s="875">
        <f t="shared" ref="H201:H202" si="3">E201*F201</f>
        <v>0</v>
      </c>
      <c r="I201" s="1140">
        <f t="shared" ref="I201:I203" si="4">F201*H201</f>
        <v>0</v>
      </c>
      <c r="J201" s="950"/>
      <c r="K201" s="779"/>
    </row>
    <row r="202" spans="1:11" ht="33" hidden="1" customHeight="1" outlineLevel="1">
      <c r="A202" s="579"/>
      <c r="B202" s="1051" t="s">
        <v>566</v>
      </c>
      <c r="C202" s="949"/>
      <c r="D202" s="949"/>
      <c r="E202" s="950"/>
      <c r="F202" s="1140">
        <v>0</v>
      </c>
      <c r="G202" s="950"/>
      <c r="H202" s="875">
        <f t="shared" si="3"/>
        <v>0</v>
      </c>
      <c r="I202" s="1140">
        <f t="shared" si="4"/>
        <v>0</v>
      </c>
      <c r="J202" s="950"/>
      <c r="K202" s="779"/>
    </row>
    <row r="203" spans="1:11" ht="33" customHeight="1" collapsed="1">
      <c r="A203" s="579"/>
      <c r="B203" s="1141" t="str">
        <f>B3</f>
        <v>A NÃO TEM MAIS POSTOS-66</v>
      </c>
      <c r="C203" s="949"/>
      <c r="D203" s="949"/>
      <c r="E203" s="950"/>
      <c r="F203" s="1131">
        <f>J195</f>
        <v>9108.8700000000008</v>
      </c>
      <c r="G203" s="950"/>
      <c r="H203" s="875">
        <f>I17</f>
        <v>0</v>
      </c>
      <c r="I203" s="1140">
        <f t="shared" si="4"/>
        <v>0</v>
      </c>
      <c r="J203" s="950"/>
      <c r="K203" s="779"/>
    </row>
    <row r="204" spans="1:11" ht="33" hidden="1" customHeight="1" outlineLevel="1">
      <c r="A204" s="579"/>
      <c r="B204" s="1051" t="s">
        <v>567</v>
      </c>
      <c r="C204" s="949"/>
      <c r="D204" s="949"/>
      <c r="E204" s="950"/>
      <c r="F204" s="1131">
        <v>0</v>
      </c>
      <c r="G204" s="950"/>
      <c r="H204" s="875">
        <f t="shared" ref="H204:I204" si="5">E204*G204</f>
        <v>0</v>
      </c>
      <c r="I204" s="1140">
        <f t="shared" si="5"/>
        <v>0</v>
      </c>
      <c r="J204" s="950"/>
      <c r="K204" s="779"/>
    </row>
    <row r="205" spans="1:11" ht="33" hidden="1" customHeight="1" outlineLevel="1">
      <c r="A205" s="579"/>
      <c r="B205" s="1051" t="s">
        <v>568</v>
      </c>
      <c r="C205" s="949"/>
      <c r="D205" s="949"/>
      <c r="E205" s="950"/>
      <c r="F205" s="1131">
        <v>0</v>
      </c>
      <c r="G205" s="950"/>
      <c r="H205" s="875">
        <f t="shared" ref="H205:I205" si="6">E205*G205</f>
        <v>0</v>
      </c>
      <c r="I205" s="1140">
        <f t="shared" si="6"/>
        <v>0</v>
      </c>
      <c r="J205" s="950"/>
      <c r="K205" s="779"/>
    </row>
    <row r="206" spans="1:11" ht="15.75" hidden="1" customHeight="1" outlineLevel="1">
      <c r="A206" s="579"/>
      <c r="B206" s="1142" t="s">
        <v>1091</v>
      </c>
      <c r="C206" s="949"/>
      <c r="D206" s="949"/>
      <c r="E206" s="950"/>
      <c r="F206" s="1140">
        <v>0</v>
      </c>
      <c r="G206" s="950"/>
      <c r="H206" s="875">
        <f t="shared" ref="H206:I206" si="7">E206*G206</f>
        <v>0</v>
      </c>
      <c r="I206" s="1140">
        <f t="shared" si="7"/>
        <v>0</v>
      </c>
      <c r="J206" s="950"/>
      <c r="K206" s="779"/>
    </row>
    <row r="207" spans="1:11" ht="15.75" customHeight="1" collapsed="1">
      <c r="A207" s="579"/>
      <c r="B207" s="1143" t="s">
        <v>570</v>
      </c>
      <c r="C207" s="949"/>
      <c r="D207" s="949"/>
      <c r="E207" s="949"/>
      <c r="F207" s="949"/>
      <c r="G207" s="950"/>
      <c r="H207" s="906">
        <f>SUM(H201:H206)</f>
        <v>0</v>
      </c>
      <c r="I207" s="1176">
        <f>SUM(I201:J206)</f>
        <v>0</v>
      </c>
      <c r="J207" s="950"/>
      <c r="K207" s="786"/>
    </row>
    <row r="208" spans="1:11" ht="7.5" customHeight="1">
      <c r="A208" s="579"/>
      <c r="B208" s="1144"/>
      <c r="C208" s="1145"/>
      <c r="D208" s="1145"/>
      <c r="E208" s="1145"/>
      <c r="F208" s="1145"/>
      <c r="G208" s="1145"/>
      <c r="H208" s="1145"/>
      <c r="I208" s="1145"/>
      <c r="J208" s="1146"/>
      <c r="K208" s="715"/>
    </row>
    <row r="209" spans="1:11" ht="15.75" customHeight="1">
      <c r="A209" s="579"/>
      <c r="B209" s="1147" t="s">
        <v>571</v>
      </c>
      <c r="C209" s="1037"/>
      <c r="D209" s="1037"/>
      <c r="E209" s="1037"/>
      <c r="F209" s="1037"/>
      <c r="G209" s="1037"/>
      <c r="H209" s="1037"/>
      <c r="I209" s="1037"/>
      <c r="J209" s="1038"/>
      <c r="K209" s="596"/>
    </row>
    <row r="210" spans="1:11" ht="7.5" customHeight="1">
      <c r="A210" s="579"/>
      <c r="B210" s="1148"/>
      <c r="C210" s="949"/>
      <c r="D210" s="949"/>
      <c r="E210" s="949"/>
      <c r="F210" s="949"/>
      <c r="G210" s="949"/>
      <c r="H210" s="949"/>
      <c r="I210" s="949"/>
      <c r="J210" s="950"/>
      <c r="K210" s="787"/>
    </row>
    <row r="211" spans="1:11" ht="15.75" customHeight="1">
      <c r="A211" s="579"/>
      <c r="B211" s="1072" t="s">
        <v>572</v>
      </c>
      <c r="C211" s="949"/>
      <c r="D211" s="949"/>
      <c r="E211" s="949"/>
      <c r="F211" s="949"/>
      <c r="G211" s="950"/>
      <c r="H211" s="1149">
        <f>$I$207</f>
        <v>0</v>
      </c>
      <c r="I211" s="949"/>
      <c r="J211" s="950"/>
      <c r="K211" s="788"/>
    </row>
    <row r="212" spans="1:11" ht="7.5" customHeight="1">
      <c r="A212" s="579"/>
      <c r="B212" s="1135"/>
      <c r="C212" s="954"/>
      <c r="D212" s="954"/>
      <c r="E212" s="954"/>
      <c r="F212" s="954"/>
      <c r="G212" s="954"/>
      <c r="H212" s="954"/>
      <c r="I212" s="954"/>
      <c r="J212" s="1136"/>
      <c r="K212" s="789"/>
    </row>
    <row r="213" spans="1:11" ht="15.75" customHeight="1">
      <c r="A213" s="579"/>
      <c r="B213" s="1072" t="s">
        <v>573</v>
      </c>
      <c r="C213" s="949"/>
      <c r="D213" s="949"/>
      <c r="E213" s="949"/>
      <c r="F213" s="949"/>
      <c r="G213" s="950"/>
      <c r="H213" s="1073">
        <f>$I$11</f>
        <v>30</v>
      </c>
      <c r="I213" s="949"/>
      <c r="J213" s="950"/>
      <c r="K213" s="790"/>
    </row>
    <row r="214" spans="1:11" ht="7.5" customHeight="1">
      <c r="A214" s="579"/>
      <c r="B214" s="1137"/>
      <c r="C214" s="949"/>
      <c r="D214" s="949"/>
      <c r="E214" s="949"/>
      <c r="F214" s="949"/>
      <c r="G214" s="949"/>
      <c r="H214" s="949"/>
      <c r="I214" s="949"/>
      <c r="J214" s="950"/>
      <c r="K214" s="791"/>
    </row>
    <row r="215" spans="1:11" ht="15.75" customHeight="1">
      <c r="A215" s="579"/>
      <c r="B215" s="1072" t="s">
        <v>1092</v>
      </c>
      <c r="C215" s="949"/>
      <c r="D215" s="949"/>
      <c r="E215" s="949"/>
      <c r="F215" s="949"/>
      <c r="G215" s="950"/>
      <c r="H215" s="1138">
        <f>ROUND(H211*H213,2)</f>
        <v>0</v>
      </c>
      <c r="I215" s="949"/>
      <c r="J215" s="950"/>
      <c r="K215" s="792"/>
    </row>
    <row r="216" spans="1:11" ht="7.5" customHeight="1">
      <c r="A216" s="579"/>
      <c r="B216" s="1139"/>
      <c r="C216" s="949"/>
      <c r="D216" s="949"/>
      <c r="E216" s="949"/>
      <c r="F216" s="949"/>
      <c r="G216" s="949"/>
      <c r="H216" s="949"/>
      <c r="I216" s="949"/>
      <c r="J216" s="950"/>
      <c r="K216" s="587"/>
    </row>
    <row r="217" spans="1:11" ht="15.75" customHeight="1">
      <c r="A217" s="579"/>
      <c r="B217" s="579"/>
      <c r="C217" s="579"/>
      <c r="D217" s="579"/>
      <c r="E217" s="579"/>
      <c r="F217" s="579"/>
      <c r="G217" s="579"/>
      <c r="H217" s="579"/>
      <c r="I217" s="579"/>
      <c r="J217" s="579"/>
      <c r="K217" s="579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3">
    <mergeCell ref="C101:I101"/>
    <mergeCell ref="C102:I102"/>
    <mergeCell ref="C103:I103"/>
    <mergeCell ref="B89:J89"/>
    <mergeCell ref="B90:J90"/>
    <mergeCell ref="C91:I91"/>
    <mergeCell ref="C92:H92"/>
    <mergeCell ref="C93:H93"/>
    <mergeCell ref="C94:H94"/>
    <mergeCell ref="C95:H95"/>
    <mergeCell ref="C96:H96"/>
    <mergeCell ref="B63:I63"/>
    <mergeCell ref="B64:J64"/>
    <mergeCell ref="B65:J65"/>
    <mergeCell ref="B66:J66"/>
    <mergeCell ref="B67:J67"/>
    <mergeCell ref="C97:I97"/>
    <mergeCell ref="C98:H98"/>
    <mergeCell ref="C99:H99"/>
    <mergeCell ref="C100:H100"/>
    <mergeCell ref="C82:H82"/>
    <mergeCell ref="C83:H83"/>
    <mergeCell ref="C84:H84"/>
    <mergeCell ref="C85:H85"/>
    <mergeCell ref="B86:H86"/>
    <mergeCell ref="B88:J88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79:H79"/>
    <mergeCell ref="C80:D80"/>
    <mergeCell ref="C81:H81"/>
    <mergeCell ref="C70:H70"/>
    <mergeCell ref="C71:H71"/>
    <mergeCell ref="B72:I72"/>
    <mergeCell ref="B73:J73"/>
    <mergeCell ref="B74:J74"/>
    <mergeCell ref="B75:J75"/>
    <mergeCell ref="B76:J76"/>
    <mergeCell ref="C77:H77"/>
    <mergeCell ref="C78:H78"/>
    <mergeCell ref="C57:I57"/>
    <mergeCell ref="B58:I58"/>
    <mergeCell ref="C59:I59"/>
    <mergeCell ref="C60:I60"/>
    <mergeCell ref="B61:I61"/>
    <mergeCell ref="B62:J62"/>
    <mergeCell ref="C33:F33"/>
    <mergeCell ref="C34:F34"/>
    <mergeCell ref="G34:H34"/>
    <mergeCell ref="I34:J34"/>
    <mergeCell ref="C35:F35"/>
    <mergeCell ref="G35:H35"/>
    <mergeCell ref="I35:J35"/>
    <mergeCell ref="B68:J68"/>
    <mergeCell ref="C69:I69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C54:E54"/>
    <mergeCell ref="F54:H54"/>
    <mergeCell ref="C55:E55"/>
    <mergeCell ref="F55:H55"/>
    <mergeCell ref="C56:I56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92:I192"/>
    <mergeCell ref="B193:I193"/>
    <mergeCell ref="C194:I194"/>
    <mergeCell ref="B195:I19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B141:J141"/>
    <mergeCell ref="C142:I142"/>
    <mergeCell ref="C143:I143"/>
    <mergeCell ref="B144:I144"/>
    <mergeCell ref="B145:J145"/>
    <mergeCell ref="B146:J146"/>
    <mergeCell ref="C189:I189"/>
    <mergeCell ref="C190:I190"/>
    <mergeCell ref="C191:I191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88:I188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F206:G206"/>
    <mergeCell ref="B207:G207"/>
    <mergeCell ref="B208:J208"/>
    <mergeCell ref="B209:J209"/>
    <mergeCell ref="B210:J210"/>
    <mergeCell ref="B215:G215"/>
    <mergeCell ref="B216:J216"/>
    <mergeCell ref="B211:G211"/>
    <mergeCell ref="H211:J211"/>
    <mergeCell ref="B212:J212"/>
    <mergeCell ref="B213:G213"/>
    <mergeCell ref="H213:J213"/>
    <mergeCell ref="B214:J214"/>
    <mergeCell ref="H215:J215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B196:J196"/>
    <mergeCell ref="B197:J197"/>
    <mergeCell ref="B199:J199"/>
    <mergeCell ref="B200:E200"/>
    <mergeCell ref="F200:G200"/>
    <mergeCell ref="B201:E201"/>
    <mergeCell ref="F201:G201"/>
    <mergeCell ref="B202:E202"/>
    <mergeCell ref="F202:G202"/>
    <mergeCell ref="B203:E203"/>
    <mergeCell ref="F203:G203"/>
    <mergeCell ref="B204:E204"/>
    <mergeCell ref="F204:G204"/>
    <mergeCell ref="F205:G205"/>
    <mergeCell ref="B205:E205"/>
    <mergeCell ref="B206:E206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56:I156"/>
    <mergeCell ref="B157:I157"/>
    <mergeCell ref="B158:J158"/>
    <mergeCell ref="B159:J159"/>
    <mergeCell ref="B161:J161"/>
    <mergeCell ref="C176:H176"/>
    <mergeCell ref="B177:I177"/>
    <mergeCell ref="B178:J178"/>
    <mergeCell ref="B179:H179"/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</mergeCells>
  <conditionalFormatting sqref="I49:I50">
    <cfRule type="cellIs" dxfId="7" priority="1" operator="equal">
      <formula>0</formula>
    </cfRule>
  </conditionalFormatting>
  <conditionalFormatting sqref="I48">
    <cfRule type="cellIs" dxfId="6" priority="2" operator="equal">
      <formula>0</formula>
    </cfRule>
  </conditionalFormatting>
  <pageMargins left="0.511811024" right="0.511811024" top="0.78740157499999996" bottom="0.78740157499999996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FF66"/>
  </sheetPr>
  <dimension ref="A1:K1000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7" width="13.5703125" customWidth="1"/>
    <col min="8" max="8" width="14.42578125" customWidth="1"/>
    <col min="9" max="9" width="11.28515625" customWidth="1"/>
    <col min="10" max="10" width="19.42578125" customWidth="1"/>
    <col min="11" max="11" width="1.42578125" customWidth="1"/>
  </cols>
  <sheetData>
    <row r="1" spans="1:11" ht="11.25" customHeight="1">
      <c r="A1" s="579"/>
      <c r="B1" s="579"/>
      <c r="C1" s="579"/>
      <c r="D1" s="579"/>
      <c r="E1" s="579"/>
      <c r="F1" s="579"/>
      <c r="G1" s="579"/>
      <c r="H1" s="579"/>
      <c r="I1" s="579"/>
      <c r="J1" s="904"/>
      <c r="K1" s="579"/>
    </row>
    <row r="2" spans="1:11" ht="11.25" customHeight="1">
      <c r="A2" s="579"/>
      <c r="B2" s="1066" t="str">
        <f>'1-ABA-DE-CARREGAMENTO'!C11</f>
        <v xml:space="preserve"> S E R V I Ç O S     -    INTERPRETE DE LIBRAS e SINAIS </v>
      </c>
      <c r="C2" s="1054"/>
      <c r="D2" s="1054"/>
      <c r="E2" s="1054"/>
      <c r="F2" s="1054"/>
      <c r="G2" s="1054"/>
      <c r="H2" s="1054"/>
      <c r="I2" s="1054"/>
      <c r="J2" s="1055"/>
      <c r="K2" s="583"/>
    </row>
    <row r="3" spans="1:11" ht="11.25" customHeight="1">
      <c r="A3" s="579"/>
      <c r="B3" s="1067" t="str">
        <f>'1-ABA-DE-CARREGAMENTO'!L33</f>
        <v>A NÃO TEM MAIS POSTOS-77</v>
      </c>
      <c r="C3" s="1037"/>
      <c r="D3" s="1037"/>
      <c r="E3" s="1037"/>
      <c r="F3" s="1037"/>
      <c r="G3" s="1037"/>
      <c r="H3" s="1037"/>
      <c r="I3" s="1037"/>
      <c r="J3" s="1038"/>
      <c r="K3" s="584"/>
    </row>
    <row r="4" spans="1:11" ht="11.25" customHeight="1">
      <c r="A4" s="579"/>
      <c r="B4" s="1060" t="s">
        <v>366</v>
      </c>
      <c r="C4" s="1037"/>
      <c r="D4" s="1037"/>
      <c r="E4" s="1037"/>
      <c r="F4" s="1038"/>
      <c r="G4" s="1068">
        <f>'1-ABA-DE-CARREGAMENTO'!C12</f>
        <v>0</v>
      </c>
      <c r="H4" s="1037"/>
      <c r="I4" s="1037"/>
      <c r="J4" s="1038"/>
      <c r="K4" s="585"/>
    </row>
    <row r="5" spans="1:11" ht="11.25" customHeight="1">
      <c r="A5" s="579"/>
      <c r="B5" s="1051" t="s">
        <v>367</v>
      </c>
      <c r="C5" s="949"/>
      <c r="D5" s="949"/>
      <c r="E5" s="949"/>
      <c r="F5" s="950"/>
      <c r="G5" s="1069">
        <f>'1-ABA-DE-CARREGAMENTO'!C13</f>
        <v>0</v>
      </c>
      <c r="H5" s="949"/>
      <c r="I5" s="949"/>
      <c r="J5" s="950"/>
      <c r="K5" s="585"/>
    </row>
    <row r="6" spans="1:11" ht="11.25" customHeight="1">
      <c r="A6" s="579"/>
      <c r="B6" s="1070">
        <f>'1-ABA-DE-CARREGAMENTO'!C16</f>
        <v>0</v>
      </c>
      <c r="C6" s="949"/>
      <c r="D6" s="949"/>
      <c r="E6" s="949"/>
      <c r="F6" s="949"/>
      <c r="G6" s="949"/>
      <c r="H6" s="949"/>
      <c r="I6" s="949"/>
      <c r="J6" s="950"/>
      <c r="K6" s="587"/>
    </row>
    <row r="7" spans="1:11" ht="11.25" customHeight="1">
      <c r="A7" s="579"/>
      <c r="B7" s="1050" t="s">
        <v>368</v>
      </c>
      <c r="C7" s="949"/>
      <c r="D7" s="949"/>
      <c r="E7" s="949"/>
      <c r="F7" s="949"/>
      <c r="G7" s="949"/>
      <c r="H7" s="949"/>
      <c r="I7" s="949"/>
      <c r="J7" s="950"/>
      <c r="K7" s="588"/>
    </row>
    <row r="8" spans="1:11" ht="11.25" customHeight="1">
      <c r="A8" s="579"/>
      <c r="B8" s="589" t="s">
        <v>369</v>
      </c>
      <c r="C8" s="1051" t="s">
        <v>370</v>
      </c>
      <c r="D8" s="949"/>
      <c r="E8" s="949"/>
      <c r="F8" s="949"/>
      <c r="G8" s="949"/>
      <c r="H8" s="950"/>
      <c r="I8" s="1071">
        <f>'1-ABA-DE-CARREGAMENTO'!C16</f>
        <v>0</v>
      </c>
      <c r="J8" s="950"/>
      <c r="K8" s="590"/>
    </row>
    <row r="9" spans="1:11" ht="11.25" customHeight="1">
      <c r="A9" s="579"/>
      <c r="B9" s="589" t="s">
        <v>371</v>
      </c>
      <c r="C9" s="1051" t="s">
        <v>372</v>
      </c>
      <c r="D9" s="949"/>
      <c r="E9" s="949"/>
      <c r="F9" s="949"/>
      <c r="G9" s="949"/>
      <c r="H9" s="950"/>
      <c r="I9" s="1069" t="str">
        <f>'1-ABA-DE-CARREGAMENTO'!C14</f>
        <v xml:space="preserve">SANTO-AUGUSTO </v>
      </c>
      <c r="J9" s="950"/>
      <c r="K9" s="585"/>
    </row>
    <row r="10" spans="1:11" ht="11.25" customHeight="1">
      <c r="A10" s="579"/>
      <c r="B10" s="589" t="s">
        <v>373</v>
      </c>
      <c r="C10" s="1051" t="s">
        <v>374</v>
      </c>
      <c r="D10" s="949"/>
      <c r="E10" s="949"/>
      <c r="F10" s="949"/>
      <c r="G10" s="949"/>
      <c r="H10" s="950"/>
      <c r="I10" s="1069" t="str">
        <f>VLOOKUP('1-ABA-DE-CARREGAMENTO'!L35,'DADOS-CADASTRAIS'!C6:O102,1,0)</f>
        <v>RS000947/2019-</v>
      </c>
      <c r="J10" s="950"/>
      <c r="K10" s="585"/>
    </row>
    <row r="11" spans="1:11" ht="11.25" customHeight="1">
      <c r="A11" s="579"/>
      <c r="B11" s="589" t="s">
        <v>375</v>
      </c>
      <c r="C11" s="1051" t="s">
        <v>376</v>
      </c>
      <c r="D11" s="949"/>
      <c r="E11" s="949"/>
      <c r="F11" s="949"/>
      <c r="G11" s="949"/>
      <c r="H11" s="950"/>
      <c r="I11" s="1175">
        <f>'1-ABA-DE-CARREGAMENTO'!L94</f>
        <v>30</v>
      </c>
      <c r="J11" s="950"/>
      <c r="K11" s="585"/>
    </row>
    <row r="12" spans="1:11" ht="11.25" customHeight="1">
      <c r="A12" s="579"/>
      <c r="B12" s="1074" t="s">
        <v>377</v>
      </c>
      <c r="C12" s="949"/>
      <c r="D12" s="949"/>
      <c r="E12" s="949"/>
      <c r="F12" s="949"/>
      <c r="G12" s="949"/>
      <c r="H12" s="949"/>
      <c r="I12" s="949"/>
      <c r="J12" s="950"/>
      <c r="K12" s="592"/>
    </row>
    <row r="13" spans="1:11" ht="24" customHeight="1">
      <c r="A13" s="579"/>
      <c r="B13" s="1075" t="str">
        <f>'1-ABA-DE-CARREGAMENTO'!C11</f>
        <v xml:space="preserve"> S E R V I Ç O S     -    INTERPRETE DE LIBRAS e SINAIS </v>
      </c>
      <c r="C13" s="949"/>
      <c r="D13" s="949"/>
      <c r="E13" s="949"/>
      <c r="F13" s="949"/>
      <c r="G13" s="1075" t="s">
        <v>378</v>
      </c>
      <c r="H13" s="950"/>
      <c r="I13" s="1075" t="s">
        <v>379</v>
      </c>
      <c r="J13" s="950"/>
      <c r="K13" s="593"/>
    </row>
    <row r="14" spans="1:11" ht="11.25" hidden="1" customHeight="1" outlineLevel="1">
      <c r="A14" s="579"/>
      <c r="B14" s="1040" t="s">
        <v>380</v>
      </c>
      <c r="C14" s="949"/>
      <c r="D14" s="949"/>
      <c r="E14" s="949"/>
      <c r="F14" s="950"/>
      <c r="G14" s="1041" t="s">
        <v>381</v>
      </c>
      <c r="H14" s="950"/>
      <c r="I14" s="1042" t="s">
        <v>382</v>
      </c>
      <c r="J14" s="950"/>
      <c r="K14" s="594"/>
    </row>
    <row r="15" spans="1:11" ht="11.25" hidden="1" customHeight="1" outlineLevel="1">
      <c r="A15" s="579"/>
      <c r="B15" s="1040" t="s">
        <v>383</v>
      </c>
      <c r="C15" s="949"/>
      <c r="D15" s="949"/>
      <c r="E15" s="949"/>
      <c r="F15" s="950"/>
      <c r="G15" s="1041" t="s">
        <v>381</v>
      </c>
      <c r="H15" s="950"/>
      <c r="I15" s="1042" t="s">
        <v>382</v>
      </c>
      <c r="J15" s="950"/>
      <c r="K15" s="594"/>
    </row>
    <row r="16" spans="1:11" ht="15" hidden="1" customHeight="1" outlineLevel="1">
      <c r="A16" s="579"/>
      <c r="B16" s="1040" t="s">
        <v>384</v>
      </c>
      <c r="C16" s="949"/>
      <c r="D16" s="949"/>
      <c r="E16" s="949"/>
      <c r="F16" s="950"/>
      <c r="G16" s="1041" t="s">
        <v>381</v>
      </c>
      <c r="H16" s="950"/>
      <c r="I16" s="1042" t="s">
        <v>382</v>
      </c>
      <c r="J16" s="950"/>
      <c r="K16" s="594"/>
    </row>
    <row r="17" spans="1:11" ht="11.25" customHeight="1" collapsed="1">
      <c r="A17" s="579"/>
      <c r="B17" s="1040" t="str">
        <f>B3</f>
        <v>A NÃO TEM MAIS POSTOS-77</v>
      </c>
      <c r="C17" s="949"/>
      <c r="D17" s="949"/>
      <c r="E17" s="949"/>
      <c r="F17" s="950"/>
      <c r="G17" s="1041" t="s">
        <v>381</v>
      </c>
      <c r="H17" s="950"/>
      <c r="I17" s="1042">
        <f>'1-ABA-DE-CARREGAMENTO'!L92</f>
        <v>0</v>
      </c>
      <c r="J17" s="950"/>
      <c r="K17" s="594"/>
    </row>
    <row r="18" spans="1:11" ht="16.5" hidden="1" customHeight="1" outlineLevel="1">
      <c r="A18" s="579"/>
      <c r="B18" s="1040" t="s">
        <v>385</v>
      </c>
      <c r="C18" s="949"/>
      <c r="D18" s="949"/>
      <c r="E18" s="949"/>
      <c r="F18" s="950"/>
      <c r="G18" s="1041" t="s">
        <v>381</v>
      </c>
      <c r="H18" s="950"/>
      <c r="I18" s="1042" t="s">
        <v>382</v>
      </c>
      <c r="J18" s="950"/>
      <c r="K18" s="594"/>
    </row>
    <row r="19" spans="1:11" ht="11.25" hidden="1" customHeight="1" outlineLevel="1">
      <c r="A19" s="579"/>
      <c r="B19" s="1040" t="s">
        <v>1093</v>
      </c>
      <c r="C19" s="949"/>
      <c r="D19" s="949"/>
      <c r="E19" s="949"/>
      <c r="F19" s="950"/>
      <c r="G19" s="1041" t="s">
        <v>381</v>
      </c>
      <c r="H19" s="950"/>
      <c r="I19" s="1042" t="s">
        <v>382</v>
      </c>
      <c r="J19" s="950"/>
      <c r="K19" s="594"/>
    </row>
    <row r="20" spans="1:11" ht="11.25" customHeight="1" collapsed="1">
      <c r="A20" s="579"/>
      <c r="B20" s="1044" t="s">
        <v>387</v>
      </c>
      <c r="C20" s="949"/>
      <c r="D20" s="949"/>
      <c r="E20" s="949"/>
      <c r="F20" s="949"/>
      <c r="G20" s="949"/>
      <c r="H20" s="950"/>
      <c r="I20" s="1043">
        <f>SUM(I14:I19)</f>
        <v>0</v>
      </c>
      <c r="J20" s="950"/>
      <c r="K20" s="595"/>
    </row>
    <row r="21" spans="1:11" ht="11.25" customHeight="1">
      <c r="A21" s="579"/>
      <c r="B21" s="1045"/>
      <c r="C21" s="949"/>
      <c r="D21" s="949"/>
      <c r="E21" s="949"/>
      <c r="F21" s="949"/>
      <c r="G21" s="949"/>
      <c r="H21" s="949"/>
      <c r="I21" s="949"/>
      <c r="J21" s="950"/>
      <c r="K21" s="593"/>
    </row>
    <row r="22" spans="1:11" ht="11.25" customHeight="1">
      <c r="A22" s="579"/>
      <c r="B22" s="1046" t="s">
        <v>388</v>
      </c>
      <c r="C22" s="949"/>
      <c r="D22" s="949"/>
      <c r="E22" s="949"/>
      <c r="F22" s="949"/>
      <c r="G22" s="949"/>
      <c r="H22" s="949"/>
      <c r="I22" s="949"/>
      <c r="J22" s="950"/>
      <c r="K22" s="596"/>
    </row>
    <row r="23" spans="1:11" ht="11.25" customHeight="1">
      <c r="A23" s="579"/>
      <c r="B23" s="1047"/>
      <c r="C23" s="949"/>
      <c r="D23" s="949"/>
      <c r="E23" s="949"/>
      <c r="F23" s="949"/>
      <c r="G23" s="949"/>
      <c r="H23" s="949"/>
      <c r="I23" s="949"/>
      <c r="J23" s="950"/>
      <c r="K23" s="362"/>
    </row>
    <row r="24" spans="1:11" ht="15" customHeight="1">
      <c r="A24" s="579"/>
      <c r="B24" s="1048" t="s">
        <v>1094</v>
      </c>
      <c r="C24" s="949"/>
      <c r="D24" s="949"/>
      <c r="E24" s="949"/>
      <c r="F24" s="949"/>
      <c r="G24" s="949"/>
      <c r="H24" s="949"/>
      <c r="I24" s="949"/>
      <c r="J24" s="950"/>
      <c r="K24" s="597"/>
    </row>
    <row r="25" spans="1:11" ht="15" customHeight="1">
      <c r="A25" s="579"/>
      <c r="B25" s="1049"/>
      <c r="C25" s="949"/>
      <c r="D25" s="949"/>
      <c r="E25" s="949"/>
      <c r="F25" s="949"/>
      <c r="G25" s="949"/>
      <c r="H25" s="949"/>
      <c r="I25" s="949"/>
      <c r="J25" s="950"/>
      <c r="K25" s="598"/>
    </row>
    <row r="26" spans="1:11" ht="11.25" customHeight="1">
      <c r="A26" s="593"/>
      <c r="B26" s="1050" t="s">
        <v>390</v>
      </c>
      <c r="C26" s="949"/>
      <c r="D26" s="949"/>
      <c r="E26" s="949"/>
      <c r="F26" s="949"/>
      <c r="G26" s="949"/>
      <c r="H26" s="949"/>
      <c r="I26" s="949"/>
      <c r="J26" s="950"/>
      <c r="K26" s="588"/>
    </row>
    <row r="27" spans="1:11" ht="30.75" customHeight="1">
      <c r="A27" s="579"/>
      <c r="B27" s="589">
        <v>1</v>
      </c>
      <c r="C27" s="1051" t="s">
        <v>391</v>
      </c>
      <c r="D27" s="949"/>
      <c r="E27" s="949"/>
      <c r="F27" s="949"/>
      <c r="G27" s="949"/>
      <c r="H27" s="950"/>
      <c r="I27" s="1052" t="str">
        <f>'1-ABA-DE-CARREGAMENTO'!L33</f>
        <v>A NÃO TEM MAIS POSTOS-77</v>
      </c>
      <c r="J27" s="950"/>
      <c r="K27" s="599"/>
    </row>
    <row r="28" spans="1:11" ht="11.25" customHeight="1">
      <c r="A28" s="579"/>
      <c r="B28" s="600">
        <v>2</v>
      </c>
      <c r="C28" s="1092" t="s">
        <v>392</v>
      </c>
      <c r="D28" s="949"/>
      <c r="E28" s="949"/>
      <c r="F28" s="949"/>
      <c r="G28" s="949"/>
      <c r="H28" s="950"/>
      <c r="I28" s="1056"/>
      <c r="J28" s="950"/>
      <c r="K28" s="601"/>
    </row>
    <row r="29" spans="1:11" ht="30" customHeight="1">
      <c r="A29" s="579"/>
      <c r="B29" s="589">
        <v>3</v>
      </c>
      <c r="C29" s="1057" t="s">
        <v>862</v>
      </c>
      <c r="D29" s="929"/>
      <c r="E29" s="907">
        <v>200</v>
      </c>
      <c r="F29" s="604">
        <f>'1-ABA-DE-CARREGAMENTO'!L37</f>
        <v>1741.45</v>
      </c>
      <c r="G29" s="586" t="s">
        <v>394</v>
      </c>
      <c r="H29" s="864">
        <f>'1-ABA-DE-CARREGAMENTO'!L52</f>
        <v>220</v>
      </c>
      <c r="I29" s="1058">
        <f>F29/E29*H29</f>
        <v>1915.595</v>
      </c>
      <c r="J29" s="950"/>
      <c r="K29" s="606"/>
    </row>
    <row r="30" spans="1:11" ht="11.25" customHeight="1">
      <c r="A30" s="579"/>
      <c r="B30" s="589">
        <v>4</v>
      </c>
      <c r="C30" s="1051" t="s">
        <v>395</v>
      </c>
      <c r="D30" s="949"/>
      <c r="E30" s="949"/>
      <c r="F30" s="949"/>
      <c r="G30" s="949"/>
      <c r="H30" s="950"/>
      <c r="I30" s="1059"/>
      <c r="J30" s="950"/>
      <c r="K30" s="607"/>
    </row>
    <row r="31" spans="1:11" ht="11.25" customHeight="1">
      <c r="A31" s="579"/>
      <c r="B31" s="589">
        <v>5</v>
      </c>
      <c r="C31" s="1051" t="s">
        <v>396</v>
      </c>
      <c r="D31" s="949"/>
      <c r="E31" s="949"/>
      <c r="F31" s="949"/>
      <c r="G31" s="949"/>
      <c r="H31" s="950"/>
      <c r="I31" s="1061" t="str">
        <f>'1-ABA-DE-CARREGAMENTO'!L36</f>
        <v>01 de FEVEREIRO</v>
      </c>
      <c r="J31" s="950"/>
      <c r="K31" s="608"/>
    </row>
    <row r="32" spans="1:11" ht="12.75" customHeight="1">
      <c r="A32" s="579"/>
      <c r="B32" s="609">
        <v>6</v>
      </c>
      <c r="C32" s="1062" t="s">
        <v>1095</v>
      </c>
      <c r="D32" s="949"/>
      <c r="E32" s="949"/>
      <c r="F32" s="949"/>
      <c r="G32" s="949"/>
      <c r="H32" s="950"/>
      <c r="I32" s="1063">
        <f>ROUND(I29/220,2)*0</f>
        <v>0</v>
      </c>
      <c r="J32" s="950"/>
      <c r="K32" s="610"/>
    </row>
    <row r="33" spans="1:11" ht="24.75" customHeight="1">
      <c r="A33" s="579"/>
      <c r="B33" s="609">
        <v>7</v>
      </c>
      <c r="C33" s="1062" t="s">
        <v>1096</v>
      </c>
      <c r="D33" s="949"/>
      <c r="E33" s="949"/>
      <c r="F33" s="950"/>
      <c r="G33" s="1064"/>
      <c r="H33" s="950"/>
      <c r="I33" s="1063">
        <f>SUM(J47:J50)/220</f>
        <v>9.9072500000000012</v>
      </c>
      <c r="J33" s="950"/>
      <c r="K33" s="610"/>
    </row>
    <row r="34" spans="1:11" ht="24.75" customHeight="1">
      <c r="A34" s="579"/>
      <c r="B34" s="609">
        <v>8</v>
      </c>
      <c r="C34" s="1062" t="s">
        <v>1097</v>
      </c>
      <c r="D34" s="949"/>
      <c r="E34" s="949"/>
      <c r="F34" s="950"/>
      <c r="G34" s="1064"/>
      <c r="H34" s="950"/>
      <c r="I34" s="1063">
        <f>TRUNC(I33*1.5,2)*0</f>
        <v>0</v>
      </c>
      <c r="J34" s="950"/>
      <c r="K34" s="610"/>
    </row>
    <row r="35" spans="1:11" ht="24.75" customHeight="1">
      <c r="A35" s="579"/>
      <c r="B35" s="609">
        <v>9</v>
      </c>
      <c r="C35" s="1062" t="s">
        <v>1098</v>
      </c>
      <c r="D35" s="949"/>
      <c r="E35" s="949"/>
      <c r="F35" s="950"/>
      <c r="G35" s="1064" t="s">
        <v>401</v>
      </c>
      <c r="H35" s="950"/>
      <c r="I35" s="1184">
        <f>I33*1.5</f>
        <v>14.860875000000002</v>
      </c>
      <c r="J35" s="950"/>
      <c r="K35" s="611"/>
    </row>
    <row r="36" spans="1:11" ht="24.75" customHeight="1">
      <c r="A36" s="579"/>
      <c r="B36" s="609">
        <v>10</v>
      </c>
      <c r="C36" s="1062" t="s">
        <v>1099</v>
      </c>
      <c r="D36" s="949"/>
      <c r="E36" s="949"/>
      <c r="F36" s="949"/>
      <c r="G36" s="949"/>
      <c r="H36" s="950"/>
      <c r="I36" s="1063">
        <f>TRUNC(1.3*I32*0.2,2)</f>
        <v>0</v>
      </c>
      <c r="J36" s="950"/>
      <c r="K36" s="610"/>
    </row>
    <row r="37" spans="1:11" ht="24.75" customHeight="1">
      <c r="A37" s="579"/>
      <c r="B37" s="609">
        <v>11</v>
      </c>
      <c r="C37" s="1062" t="s">
        <v>1100</v>
      </c>
      <c r="D37" s="949"/>
      <c r="E37" s="949"/>
      <c r="F37" s="949"/>
      <c r="G37" s="949"/>
      <c r="H37" s="950"/>
      <c r="I37" s="1063">
        <f>I33*2</f>
        <v>19.814500000000002</v>
      </c>
      <c r="J37" s="950"/>
      <c r="K37" s="610"/>
    </row>
    <row r="38" spans="1:11" ht="14.25" customHeight="1">
      <c r="A38" s="579"/>
      <c r="B38" s="609">
        <v>12</v>
      </c>
      <c r="C38" s="1062" t="s">
        <v>1101</v>
      </c>
      <c r="D38" s="949"/>
      <c r="E38" s="949"/>
      <c r="F38" s="949"/>
      <c r="G38" s="949"/>
      <c r="H38" s="950"/>
      <c r="I38" s="1063">
        <f>I29*'1-ABA-DE-CARREGAMENTO'!D44</f>
        <v>0</v>
      </c>
      <c r="J38" s="950"/>
      <c r="K38" s="610"/>
    </row>
    <row r="39" spans="1:11" ht="14.25" customHeight="1">
      <c r="A39" s="579"/>
      <c r="B39" s="609">
        <v>13</v>
      </c>
      <c r="C39" s="1062" t="s">
        <v>405</v>
      </c>
      <c r="D39" s="949"/>
      <c r="E39" s="949"/>
      <c r="F39" s="949"/>
      <c r="G39" s="949"/>
      <c r="H39" s="950"/>
      <c r="I39" s="1063">
        <f>ROUND(I32/6,2)*1.3</f>
        <v>0</v>
      </c>
      <c r="J39" s="950"/>
      <c r="K39" s="610"/>
    </row>
    <row r="40" spans="1:11" ht="11.25" customHeight="1">
      <c r="A40" s="579"/>
      <c r="B40" s="609">
        <v>14</v>
      </c>
      <c r="C40" s="1164" t="s">
        <v>406</v>
      </c>
      <c r="D40" s="949"/>
      <c r="E40" s="949"/>
      <c r="F40" s="949"/>
      <c r="G40" s="949"/>
      <c r="H40" s="950"/>
      <c r="I40" s="1182">
        <f>'1-ABA-DE-CARREGAMENTO'!L93</f>
        <v>1</v>
      </c>
      <c r="J40" s="950"/>
      <c r="K40" s="614"/>
    </row>
    <row r="41" spans="1:11" ht="11.25" customHeight="1">
      <c r="A41" s="579"/>
      <c r="B41" s="609">
        <v>15</v>
      </c>
      <c r="C41" s="1164" t="s">
        <v>687</v>
      </c>
      <c r="D41" s="949"/>
      <c r="E41" s="949"/>
      <c r="F41" s="949"/>
      <c r="G41" s="949"/>
      <c r="H41" s="950"/>
      <c r="I41" s="1165">
        <f>'1-ABA-DE-CARREGAMENTO'!E42</f>
        <v>1320</v>
      </c>
      <c r="J41" s="950"/>
      <c r="K41" s="616"/>
    </row>
    <row r="42" spans="1:11" ht="11.25" customHeight="1">
      <c r="A42" s="579"/>
      <c r="B42" s="1047"/>
      <c r="C42" s="949"/>
      <c r="D42" s="949"/>
      <c r="E42" s="949"/>
      <c r="F42" s="949"/>
      <c r="G42" s="949"/>
      <c r="H42" s="949"/>
      <c r="I42" s="949"/>
      <c r="J42" s="950"/>
      <c r="K42" s="362"/>
    </row>
    <row r="43" spans="1:11" ht="24" customHeight="1">
      <c r="A43" s="579"/>
      <c r="B43" s="1086" t="s">
        <v>408</v>
      </c>
      <c r="C43" s="949"/>
      <c r="D43" s="949"/>
      <c r="E43" s="949"/>
      <c r="F43" s="949"/>
      <c r="G43" s="949"/>
      <c r="H43" s="949"/>
      <c r="I43" s="949"/>
      <c r="J43" s="950"/>
      <c r="K43" s="617"/>
    </row>
    <row r="44" spans="1:11" ht="14.25" customHeight="1">
      <c r="A44" s="579"/>
      <c r="B44" s="1087"/>
      <c r="C44" s="949"/>
      <c r="D44" s="949"/>
      <c r="E44" s="949"/>
      <c r="F44" s="949"/>
      <c r="G44" s="949"/>
      <c r="H44" s="949"/>
      <c r="I44" s="949"/>
      <c r="J44" s="950"/>
      <c r="K44" s="618"/>
    </row>
    <row r="45" spans="1:11" ht="11.25" customHeight="1">
      <c r="A45" s="579"/>
      <c r="B45" s="1088" t="s">
        <v>409</v>
      </c>
      <c r="C45" s="949"/>
      <c r="D45" s="949"/>
      <c r="E45" s="949"/>
      <c r="F45" s="949"/>
      <c r="G45" s="949"/>
      <c r="H45" s="949"/>
      <c r="I45" s="949"/>
      <c r="J45" s="950"/>
      <c r="K45" s="620"/>
    </row>
    <row r="46" spans="1:11" ht="11.25" customHeight="1">
      <c r="A46" s="621"/>
      <c r="B46" s="622">
        <v>1</v>
      </c>
      <c r="C46" s="1089" t="s">
        <v>410</v>
      </c>
      <c r="D46" s="949"/>
      <c r="E46" s="949"/>
      <c r="F46" s="949"/>
      <c r="G46" s="949"/>
      <c r="H46" s="950"/>
      <c r="I46" s="623" t="s">
        <v>411</v>
      </c>
      <c r="J46" s="622" t="s">
        <v>412</v>
      </c>
      <c r="K46" s="592"/>
    </row>
    <row r="47" spans="1:11" ht="12.75" customHeight="1">
      <c r="A47" s="579"/>
      <c r="B47" s="589" t="s">
        <v>369</v>
      </c>
      <c r="C47" s="1051" t="s">
        <v>413</v>
      </c>
      <c r="D47" s="949"/>
      <c r="E47" s="949"/>
      <c r="F47" s="950"/>
      <c r="G47" s="624" t="s">
        <v>184</v>
      </c>
      <c r="H47" s="625">
        <f>'1-ABA-DE-CARREGAMENTO'!L52</f>
        <v>220</v>
      </c>
      <c r="I47" s="624"/>
      <c r="J47" s="627">
        <f>I29*I40</f>
        <v>1915.595</v>
      </c>
      <c r="K47" s="628"/>
    </row>
    <row r="48" spans="1:11" ht="11.25" customHeight="1">
      <c r="A48" s="579"/>
      <c r="B48" s="589" t="s">
        <v>371</v>
      </c>
      <c r="C48" s="1051" t="s">
        <v>688</v>
      </c>
      <c r="D48" s="949"/>
      <c r="E48" s="949"/>
      <c r="F48" s="1090" t="str">
        <f>'1-ABA-DE-CARREGAMENTO'!L38</f>
        <v>SEM ADICIONAL DE FUNÇÃO</v>
      </c>
      <c r="G48" s="949"/>
      <c r="H48" s="950"/>
      <c r="I48" s="867">
        <f>'1-ABA-DE-CARREGAMENTO'!L39</f>
        <v>0</v>
      </c>
      <c r="J48" s="627">
        <f>J47*I48</f>
        <v>0</v>
      </c>
      <c r="K48" s="628"/>
    </row>
    <row r="49" spans="1:11" ht="11.25" customHeight="1">
      <c r="A49" s="579"/>
      <c r="B49" s="589" t="s">
        <v>373</v>
      </c>
      <c r="C49" s="1051" t="s">
        <v>1102</v>
      </c>
      <c r="D49" s="949"/>
      <c r="E49" s="949"/>
      <c r="F49" s="949"/>
      <c r="G49" s="949"/>
      <c r="H49" s="950"/>
      <c r="I49" s="756">
        <f>'1-ABA-DE-CARREGAMENTO'!L44</f>
        <v>0</v>
      </c>
      <c r="J49" s="627">
        <f>ROUND(J47*I49,2)</f>
        <v>0</v>
      </c>
      <c r="K49" s="628"/>
    </row>
    <row r="50" spans="1:11" ht="11.25" customHeight="1">
      <c r="A50" s="579"/>
      <c r="B50" s="589" t="s">
        <v>375</v>
      </c>
      <c r="C50" s="1051" t="s">
        <v>1103</v>
      </c>
      <c r="D50" s="949"/>
      <c r="E50" s="949"/>
      <c r="F50" s="949"/>
      <c r="G50" s="1090" t="str">
        <f>'1-ABA-DE-CARREGAMENTO'!L40</f>
        <v>INSALUB S/MINIMO</v>
      </c>
      <c r="H50" s="950"/>
      <c r="I50" s="869">
        <f>'1-ABA-DE-CARREGAMENTO'!L41</f>
        <v>0.2</v>
      </c>
      <c r="J50" s="627">
        <f>ROUND(I50*I41,2)</f>
        <v>264</v>
      </c>
      <c r="K50" s="628"/>
    </row>
    <row r="51" spans="1:11" ht="30.75" customHeight="1">
      <c r="A51" s="579"/>
      <c r="B51" s="589" t="s">
        <v>417</v>
      </c>
      <c r="C51" s="1051" t="s">
        <v>1104</v>
      </c>
      <c r="D51" s="949"/>
      <c r="E51" s="949"/>
      <c r="F51" s="949"/>
      <c r="G51" s="949"/>
      <c r="H51" s="949"/>
      <c r="I51" s="950"/>
      <c r="J51" s="627">
        <f>ROUND(2*8*15*I36,2)*0</f>
        <v>0</v>
      </c>
      <c r="K51" s="628"/>
    </row>
    <row r="52" spans="1:11" ht="39" customHeight="1">
      <c r="A52" s="579"/>
      <c r="B52" s="589" t="s">
        <v>421</v>
      </c>
      <c r="C52" s="1092" t="s">
        <v>1105</v>
      </c>
      <c r="D52" s="949"/>
      <c r="E52" s="949"/>
      <c r="F52" s="949"/>
      <c r="G52" s="949"/>
      <c r="H52" s="949"/>
      <c r="I52" s="950"/>
      <c r="J52" s="627">
        <f>ROUND(I38*(((12*15)+15)-((44/6)*26))*I35,2)*0+ROUND(2*4.33*I35,2)*0</f>
        <v>0</v>
      </c>
      <c r="K52" s="628"/>
    </row>
    <row r="53" spans="1:11" ht="37.5" customHeight="1">
      <c r="A53" s="579"/>
      <c r="B53" s="589" t="s">
        <v>423</v>
      </c>
      <c r="C53" s="1092" t="s">
        <v>1106</v>
      </c>
      <c r="D53" s="949"/>
      <c r="E53" s="949"/>
      <c r="F53" s="949"/>
      <c r="G53" s="949"/>
      <c r="H53" s="949"/>
      <c r="I53" s="950"/>
      <c r="J53" s="627">
        <f>ROUND(I39*I40*15,2)*0</f>
        <v>0</v>
      </c>
      <c r="K53" s="628"/>
    </row>
    <row r="54" spans="1:11" ht="24" customHeight="1">
      <c r="A54" s="579"/>
      <c r="B54" s="589" t="s">
        <v>425</v>
      </c>
      <c r="C54" s="1092" t="s">
        <v>990</v>
      </c>
      <c r="D54" s="949"/>
      <c r="E54" s="949"/>
      <c r="F54" s="1185" t="s">
        <v>1107</v>
      </c>
      <c r="G54" s="949"/>
      <c r="H54" s="949"/>
      <c r="I54" s="919">
        <f>'1-ABA-DE-CARREGAMENTO'!L65</f>
        <v>0</v>
      </c>
      <c r="J54" s="627">
        <f>ROUND((((SUM(J47:J50))/220)*1.5)*I54,2)</f>
        <v>0</v>
      </c>
      <c r="K54" s="628"/>
    </row>
    <row r="55" spans="1:11" ht="24" customHeight="1">
      <c r="A55" s="579"/>
      <c r="B55" s="589" t="s">
        <v>429</v>
      </c>
      <c r="C55" s="1092" t="s">
        <v>992</v>
      </c>
      <c r="D55" s="949"/>
      <c r="E55" s="949"/>
      <c r="F55" s="1185" t="s">
        <v>1108</v>
      </c>
      <c r="G55" s="949"/>
      <c r="H55" s="949"/>
      <c r="I55" s="919">
        <f>'1-ABA-DE-CARREGAMENTO'!L68</f>
        <v>0</v>
      </c>
      <c r="J55" s="627">
        <f>ROUND((((SUM(J47:J50))/220)*2)*I55,2)</f>
        <v>0</v>
      </c>
      <c r="K55" s="628"/>
    </row>
    <row r="56" spans="1:11" ht="11.25" customHeight="1">
      <c r="A56" s="579"/>
      <c r="B56" s="589" t="s">
        <v>433</v>
      </c>
      <c r="C56" s="1051" t="s">
        <v>1109</v>
      </c>
      <c r="D56" s="949"/>
      <c r="E56" s="949"/>
      <c r="F56" s="949"/>
      <c r="G56" s="949"/>
      <c r="H56" s="949"/>
      <c r="I56" s="950"/>
      <c r="J56" s="627">
        <f>ROUND(((J54+J55)/25)*5,2)</f>
        <v>0</v>
      </c>
      <c r="K56" s="628"/>
    </row>
    <row r="57" spans="1:11" ht="11.25" customHeight="1">
      <c r="A57" s="579"/>
      <c r="B57" s="589" t="s">
        <v>436</v>
      </c>
      <c r="C57" s="1051" t="s">
        <v>437</v>
      </c>
      <c r="D57" s="949"/>
      <c r="E57" s="949"/>
      <c r="F57" s="949"/>
      <c r="G57" s="949"/>
      <c r="H57" s="949"/>
      <c r="I57" s="950"/>
      <c r="J57" s="643" t="s">
        <v>382</v>
      </c>
      <c r="K57" s="644"/>
    </row>
    <row r="58" spans="1:11" ht="11.25" customHeight="1">
      <c r="A58" s="579"/>
      <c r="B58" s="1050" t="s">
        <v>438</v>
      </c>
      <c r="C58" s="949"/>
      <c r="D58" s="949"/>
      <c r="E58" s="949"/>
      <c r="F58" s="949"/>
      <c r="G58" s="949"/>
      <c r="H58" s="949"/>
      <c r="I58" s="950"/>
      <c r="J58" s="645">
        <f>SUM(J47:J57)</f>
        <v>2179.5950000000003</v>
      </c>
      <c r="K58" s="646"/>
    </row>
    <row r="59" spans="1:11" ht="14.25" customHeight="1">
      <c r="A59" s="579"/>
      <c r="B59" s="647"/>
      <c r="C59" s="1095"/>
      <c r="D59" s="949"/>
      <c r="E59" s="949"/>
      <c r="F59" s="949"/>
      <c r="G59" s="949"/>
      <c r="H59" s="949"/>
      <c r="I59" s="950"/>
      <c r="J59" s="648"/>
      <c r="K59" s="646"/>
    </row>
    <row r="60" spans="1:11" ht="11.25" customHeight="1">
      <c r="A60" s="579"/>
      <c r="B60" s="589" t="s">
        <v>425</v>
      </c>
      <c r="C60" s="1051" t="s">
        <v>1110</v>
      </c>
      <c r="D60" s="949"/>
      <c r="E60" s="949"/>
      <c r="F60" s="949"/>
      <c r="G60" s="949"/>
      <c r="H60" s="949"/>
      <c r="I60" s="950"/>
      <c r="J60" s="627">
        <f>ROUND(I34*15*I40*0.5,2)*0</f>
        <v>0</v>
      </c>
      <c r="K60" s="628"/>
    </row>
    <row r="61" spans="1:11" ht="11.25" customHeight="1">
      <c r="A61" s="579"/>
      <c r="B61" s="1050" t="s">
        <v>1111</v>
      </c>
      <c r="C61" s="949"/>
      <c r="D61" s="949"/>
      <c r="E61" s="949"/>
      <c r="F61" s="949"/>
      <c r="G61" s="949"/>
      <c r="H61" s="949"/>
      <c r="I61" s="950"/>
      <c r="J61" s="645">
        <f>J60</f>
        <v>0</v>
      </c>
      <c r="K61" s="646"/>
    </row>
    <row r="62" spans="1:11" ht="11.25" customHeight="1">
      <c r="A62" s="579"/>
      <c r="B62" s="1045"/>
      <c r="C62" s="949"/>
      <c r="D62" s="949"/>
      <c r="E62" s="949"/>
      <c r="F62" s="949"/>
      <c r="G62" s="949"/>
      <c r="H62" s="949"/>
      <c r="I62" s="949"/>
      <c r="J62" s="950"/>
      <c r="K62" s="593"/>
    </row>
    <row r="63" spans="1:11" ht="11.25" customHeight="1">
      <c r="A63" s="579"/>
      <c r="B63" s="1096" t="s">
        <v>1112</v>
      </c>
      <c r="C63" s="949"/>
      <c r="D63" s="949"/>
      <c r="E63" s="949"/>
      <c r="F63" s="949"/>
      <c r="G63" s="949"/>
      <c r="H63" s="949"/>
      <c r="I63" s="950"/>
      <c r="J63" s="649">
        <f>J58+J61</f>
        <v>2179.5950000000003</v>
      </c>
      <c r="K63" s="650"/>
    </row>
    <row r="64" spans="1:11" ht="11.25" customHeight="1">
      <c r="A64" s="579"/>
      <c r="B64" s="1095"/>
      <c r="C64" s="949"/>
      <c r="D64" s="949"/>
      <c r="E64" s="949"/>
      <c r="F64" s="949"/>
      <c r="G64" s="949"/>
      <c r="H64" s="949"/>
      <c r="I64" s="949"/>
      <c r="J64" s="950"/>
      <c r="K64" s="651"/>
    </row>
    <row r="65" spans="1:11" ht="11.25" customHeight="1">
      <c r="A65" s="579"/>
      <c r="B65" s="1097" t="s">
        <v>442</v>
      </c>
      <c r="C65" s="949"/>
      <c r="D65" s="949"/>
      <c r="E65" s="949"/>
      <c r="F65" s="949"/>
      <c r="G65" s="949"/>
      <c r="H65" s="949"/>
      <c r="I65" s="949"/>
      <c r="J65" s="950"/>
      <c r="K65" s="652"/>
    </row>
    <row r="66" spans="1:11" ht="11.25" customHeight="1">
      <c r="A66" s="579"/>
      <c r="B66" s="1095"/>
      <c r="C66" s="949"/>
      <c r="D66" s="949"/>
      <c r="E66" s="949"/>
      <c r="F66" s="949"/>
      <c r="G66" s="949"/>
      <c r="H66" s="949"/>
      <c r="I66" s="949"/>
      <c r="J66" s="950"/>
      <c r="K66" s="651"/>
    </row>
    <row r="67" spans="1:11" ht="11.25" customHeight="1">
      <c r="A67" s="579"/>
      <c r="B67" s="1098" t="s">
        <v>443</v>
      </c>
      <c r="C67" s="949"/>
      <c r="D67" s="949"/>
      <c r="E67" s="949"/>
      <c r="F67" s="949"/>
      <c r="G67" s="949"/>
      <c r="H67" s="949"/>
      <c r="I67" s="949"/>
      <c r="J67" s="950"/>
      <c r="K67" s="653"/>
    </row>
    <row r="68" spans="1:11" ht="11.25" customHeight="1">
      <c r="A68" s="579"/>
      <c r="B68" s="1099" t="s">
        <v>1113</v>
      </c>
      <c r="C68" s="949"/>
      <c r="D68" s="949"/>
      <c r="E68" s="949"/>
      <c r="F68" s="949"/>
      <c r="G68" s="949"/>
      <c r="H68" s="949"/>
      <c r="I68" s="949"/>
      <c r="J68" s="950"/>
      <c r="K68" s="654"/>
    </row>
    <row r="69" spans="1:11" ht="15" customHeight="1">
      <c r="A69" s="579"/>
      <c r="B69" s="655" t="s">
        <v>445</v>
      </c>
      <c r="C69" s="1100" t="s">
        <v>1114</v>
      </c>
      <c r="D69" s="949"/>
      <c r="E69" s="949"/>
      <c r="F69" s="949"/>
      <c r="G69" s="949"/>
      <c r="H69" s="949"/>
      <c r="I69" s="950"/>
      <c r="J69" s="656" t="s">
        <v>447</v>
      </c>
      <c r="K69" s="657"/>
    </row>
    <row r="70" spans="1:11" ht="11.25" customHeight="1">
      <c r="A70" s="579"/>
      <c r="B70" s="655" t="s">
        <v>369</v>
      </c>
      <c r="C70" s="1092" t="s">
        <v>1115</v>
      </c>
      <c r="D70" s="949"/>
      <c r="E70" s="949"/>
      <c r="F70" s="949"/>
      <c r="G70" s="949"/>
      <c r="H70" s="950"/>
      <c r="I70" s="658">
        <v>8.3299999999999999E-2</v>
      </c>
      <c r="J70" s="659">
        <f>ROUND(J58*I70,2)</f>
        <v>181.56</v>
      </c>
      <c r="K70" s="660"/>
    </row>
    <row r="71" spans="1:11" ht="14.25" customHeight="1">
      <c r="A71" s="579"/>
      <c r="B71" s="655" t="s">
        <v>371</v>
      </c>
      <c r="C71" s="1101" t="s">
        <v>1116</v>
      </c>
      <c r="D71" s="949"/>
      <c r="E71" s="949"/>
      <c r="F71" s="949"/>
      <c r="G71" s="949"/>
      <c r="H71" s="950"/>
      <c r="I71" s="661">
        <v>3.0249999999999999E-2</v>
      </c>
      <c r="J71" s="659">
        <f>ROUND(J58*I71,2)</f>
        <v>65.930000000000007</v>
      </c>
      <c r="K71" s="660"/>
    </row>
    <row r="72" spans="1:11" ht="11.25" customHeight="1">
      <c r="A72" s="579"/>
      <c r="B72" s="1102" t="s">
        <v>450</v>
      </c>
      <c r="C72" s="949"/>
      <c r="D72" s="949"/>
      <c r="E72" s="949"/>
      <c r="F72" s="949"/>
      <c r="G72" s="949"/>
      <c r="H72" s="949"/>
      <c r="I72" s="950"/>
      <c r="J72" s="662">
        <f>SUM(J70+J71)</f>
        <v>247.49</v>
      </c>
      <c r="K72" s="663"/>
    </row>
    <row r="73" spans="1:11" ht="14.25" customHeight="1">
      <c r="A73" s="579"/>
      <c r="B73" s="1103"/>
      <c r="C73" s="949"/>
      <c r="D73" s="949"/>
      <c r="E73" s="949"/>
      <c r="F73" s="949"/>
      <c r="G73" s="949"/>
      <c r="H73" s="949"/>
      <c r="I73" s="949"/>
      <c r="J73" s="950"/>
      <c r="K73" s="664"/>
    </row>
    <row r="74" spans="1:11" ht="11.25" customHeight="1">
      <c r="A74" s="579"/>
      <c r="B74" s="1086" t="s">
        <v>1117</v>
      </c>
      <c r="C74" s="949"/>
      <c r="D74" s="949"/>
      <c r="E74" s="949"/>
      <c r="F74" s="949"/>
      <c r="G74" s="949"/>
      <c r="H74" s="949"/>
      <c r="I74" s="949"/>
      <c r="J74" s="950"/>
      <c r="K74" s="617"/>
    </row>
    <row r="75" spans="1:11" ht="14.25" customHeight="1">
      <c r="A75" s="579"/>
      <c r="B75" s="1104"/>
      <c r="C75" s="949"/>
      <c r="D75" s="949"/>
      <c r="E75" s="949"/>
      <c r="F75" s="949"/>
      <c r="G75" s="949"/>
      <c r="H75" s="949"/>
      <c r="I75" s="949"/>
      <c r="J75" s="950"/>
      <c r="K75" s="617"/>
    </row>
    <row r="76" spans="1:11" ht="14.25" customHeight="1">
      <c r="A76" s="579"/>
      <c r="B76" s="1105" t="s">
        <v>1118</v>
      </c>
      <c r="C76" s="949"/>
      <c r="D76" s="949"/>
      <c r="E76" s="949"/>
      <c r="F76" s="949"/>
      <c r="G76" s="949"/>
      <c r="H76" s="949"/>
      <c r="I76" s="949"/>
      <c r="J76" s="950"/>
      <c r="K76" s="665"/>
    </row>
    <row r="77" spans="1:11" ht="11.25" customHeight="1">
      <c r="A77" s="579"/>
      <c r="B77" s="666" t="s">
        <v>453</v>
      </c>
      <c r="C77" s="1110" t="s">
        <v>454</v>
      </c>
      <c r="D77" s="949"/>
      <c r="E77" s="949"/>
      <c r="F77" s="949"/>
      <c r="G77" s="949"/>
      <c r="H77" s="950"/>
      <c r="I77" s="667" t="s">
        <v>411</v>
      </c>
      <c r="J77" s="668" t="s">
        <v>455</v>
      </c>
      <c r="K77" s="657"/>
    </row>
    <row r="78" spans="1:11" ht="11.25" customHeight="1">
      <c r="A78" s="579"/>
      <c r="B78" s="669" t="s">
        <v>369</v>
      </c>
      <c r="C78" s="1051" t="s">
        <v>456</v>
      </c>
      <c r="D78" s="949"/>
      <c r="E78" s="949"/>
      <c r="F78" s="949"/>
      <c r="G78" s="949"/>
      <c r="H78" s="950"/>
      <c r="I78" s="670">
        <v>0.2</v>
      </c>
      <c r="J78" s="671">
        <f>ROUND((J58+J72)*I78,2)</f>
        <v>485.42</v>
      </c>
      <c r="K78" s="663"/>
    </row>
    <row r="79" spans="1:11" ht="11.25" customHeight="1">
      <c r="A79" s="579"/>
      <c r="B79" s="669" t="s">
        <v>371</v>
      </c>
      <c r="C79" s="1051" t="s">
        <v>457</v>
      </c>
      <c r="D79" s="949"/>
      <c r="E79" s="949"/>
      <c r="F79" s="949"/>
      <c r="G79" s="949"/>
      <c r="H79" s="950"/>
      <c r="I79" s="670">
        <v>2.5000000000000001E-2</v>
      </c>
      <c r="J79" s="671">
        <f>ROUND((J58+J72)*I79,2)</f>
        <v>60.68</v>
      </c>
      <c r="K79" s="663"/>
    </row>
    <row r="80" spans="1:11" ht="11.25" customHeight="1">
      <c r="A80" s="579"/>
      <c r="B80" s="669" t="s">
        <v>373</v>
      </c>
      <c r="C80" s="1051" t="s">
        <v>1119</v>
      </c>
      <c r="D80" s="950"/>
      <c r="E80" s="912" t="s">
        <v>459</v>
      </c>
      <c r="F80" s="913">
        <f>'1-ABA-DE-CARREGAMENTO'!L57</f>
        <v>0.03</v>
      </c>
      <c r="G80" s="912" t="s">
        <v>460</v>
      </c>
      <c r="H80" s="914">
        <f>'1-ABA-DE-CARREGAMENTO'!L58</f>
        <v>1</v>
      </c>
      <c r="I80" s="674">
        <f>ROUND((F80*H80),6)</f>
        <v>0.03</v>
      </c>
      <c r="J80" s="671">
        <f>ROUND((J58+J72)*I80,2)</f>
        <v>72.81</v>
      </c>
      <c r="K80" s="663"/>
    </row>
    <row r="81" spans="1:11" ht="16.5" customHeight="1">
      <c r="A81" s="579"/>
      <c r="B81" s="669" t="s">
        <v>375</v>
      </c>
      <c r="C81" s="1051" t="s">
        <v>461</v>
      </c>
      <c r="D81" s="949"/>
      <c r="E81" s="949"/>
      <c r="F81" s="949"/>
      <c r="G81" s="949"/>
      <c r="H81" s="950"/>
      <c r="I81" s="670">
        <v>1.4999999999999999E-2</v>
      </c>
      <c r="J81" s="671">
        <f>ROUND((J58+J72)*I81,2)</f>
        <v>36.409999999999997</v>
      </c>
      <c r="K81" s="663"/>
    </row>
    <row r="82" spans="1:11" ht="16.5" customHeight="1">
      <c r="A82" s="579"/>
      <c r="B82" s="669" t="s">
        <v>417</v>
      </c>
      <c r="C82" s="1051" t="s">
        <v>462</v>
      </c>
      <c r="D82" s="949"/>
      <c r="E82" s="949"/>
      <c r="F82" s="949"/>
      <c r="G82" s="949"/>
      <c r="H82" s="950"/>
      <c r="I82" s="670">
        <v>0.01</v>
      </c>
      <c r="J82" s="671">
        <f>ROUND((J58+J72)*I82,2)</f>
        <v>24.27</v>
      </c>
      <c r="K82" s="663"/>
    </row>
    <row r="83" spans="1:11" ht="16.5" customHeight="1">
      <c r="A83" s="579"/>
      <c r="B83" s="669" t="s">
        <v>421</v>
      </c>
      <c r="C83" s="1051" t="s">
        <v>463</v>
      </c>
      <c r="D83" s="949"/>
      <c r="E83" s="949"/>
      <c r="F83" s="949"/>
      <c r="G83" s="949"/>
      <c r="H83" s="950"/>
      <c r="I83" s="670">
        <v>6.0000000000000001E-3</v>
      </c>
      <c r="J83" s="671">
        <f>ROUND((J58+J72)*I83,2)</f>
        <v>14.56</v>
      </c>
      <c r="K83" s="663"/>
    </row>
    <row r="84" spans="1:11" ht="16.5" customHeight="1">
      <c r="A84" s="579"/>
      <c r="B84" s="669" t="s">
        <v>423</v>
      </c>
      <c r="C84" s="1051" t="s">
        <v>464</v>
      </c>
      <c r="D84" s="949"/>
      <c r="E84" s="949"/>
      <c r="F84" s="949"/>
      <c r="G84" s="949"/>
      <c r="H84" s="950"/>
      <c r="I84" s="670">
        <v>2E-3</v>
      </c>
      <c r="J84" s="671">
        <f>ROUND((J58+J72)*I84,2)</f>
        <v>4.8499999999999996</v>
      </c>
      <c r="K84" s="663"/>
    </row>
    <row r="85" spans="1:11" ht="28.5" customHeight="1">
      <c r="A85" s="579"/>
      <c r="B85" s="669" t="s">
        <v>425</v>
      </c>
      <c r="C85" s="1051" t="s">
        <v>465</v>
      </c>
      <c r="D85" s="949"/>
      <c r="E85" s="949"/>
      <c r="F85" s="949"/>
      <c r="G85" s="949"/>
      <c r="H85" s="950"/>
      <c r="I85" s="670">
        <v>0.08</v>
      </c>
      <c r="J85" s="671">
        <f>ROUND((J58+J72)*I85,2)</f>
        <v>194.17</v>
      </c>
      <c r="K85" s="663"/>
    </row>
    <row r="86" spans="1:11" ht="12" customHeight="1">
      <c r="A86" s="579"/>
      <c r="B86" s="1108" t="s">
        <v>450</v>
      </c>
      <c r="C86" s="949"/>
      <c r="D86" s="949"/>
      <c r="E86" s="949"/>
      <c r="F86" s="949"/>
      <c r="G86" s="949"/>
      <c r="H86" s="950"/>
      <c r="I86" s="675">
        <f t="shared" ref="I86:J86" si="0">SUM(I78:I85)</f>
        <v>0.36800000000000005</v>
      </c>
      <c r="J86" s="662">
        <f t="shared" si="0"/>
        <v>893.17</v>
      </c>
      <c r="K86" s="663"/>
    </row>
    <row r="87" spans="1:11" ht="12" customHeight="1">
      <c r="A87" s="579"/>
      <c r="B87" s="676"/>
      <c r="C87" s="677"/>
      <c r="D87" s="677"/>
      <c r="E87" s="677"/>
      <c r="F87" s="677"/>
      <c r="G87" s="677"/>
      <c r="H87" s="677"/>
      <c r="I87" s="678"/>
      <c r="J87" s="679"/>
      <c r="K87" s="663"/>
    </row>
    <row r="88" spans="1:11" ht="32.25" customHeight="1">
      <c r="A88" s="579"/>
      <c r="B88" s="1086" t="s">
        <v>466</v>
      </c>
      <c r="C88" s="949"/>
      <c r="D88" s="949"/>
      <c r="E88" s="949"/>
      <c r="F88" s="949"/>
      <c r="G88" s="949"/>
      <c r="H88" s="949"/>
      <c r="I88" s="949"/>
      <c r="J88" s="950"/>
      <c r="K88" s="617"/>
    </row>
    <row r="89" spans="1:11" ht="18.75" customHeight="1">
      <c r="A89" s="579"/>
      <c r="B89" s="1047"/>
      <c r="C89" s="949"/>
      <c r="D89" s="949"/>
      <c r="E89" s="949"/>
      <c r="F89" s="949"/>
      <c r="G89" s="949"/>
      <c r="H89" s="949"/>
      <c r="I89" s="949"/>
      <c r="J89" s="950"/>
      <c r="K89" s="362"/>
    </row>
    <row r="90" spans="1:11" ht="15" customHeight="1">
      <c r="A90" s="579"/>
      <c r="B90" s="1114" t="s">
        <v>467</v>
      </c>
      <c r="C90" s="949"/>
      <c r="D90" s="949"/>
      <c r="E90" s="949"/>
      <c r="F90" s="949"/>
      <c r="G90" s="949"/>
      <c r="H90" s="949"/>
      <c r="I90" s="949"/>
      <c r="J90" s="950"/>
      <c r="K90" s="654"/>
    </row>
    <row r="91" spans="1:11" ht="15" customHeight="1">
      <c r="A91" s="579"/>
      <c r="B91" s="680" t="s">
        <v>468</v>
      </c>
      <c r="C91" s="1089" t="s">
        <v>469</v>
      </c>
      <c r="D91" s="949"/>
      <c r="E91" s="949"/>
      <c r="F91" s="949"/>
      <c r="G91" s="949"/>
      <c r="H91" s="949"/>
      <c r="I91" s="950"/>
      <c r="J91" s="681" t="s">
        <v>447</v>
      </c>
      <c r="K91" s="592"/>
    </row>
    <row r="92" spans="1:11" ht="15" customHeight="1">
      <c r="A92" s="579"/>
      <c r="B92" s="682" t="s">
        <v>369</v>
      </c>
      <c r="C92" s="1051" t="s">
        <v>1120</v>
      </c>
      <c r="D92" s="949"/>
      <c r="E92" s="949"/>
      <c r="F92" s="949"/>
      <c r="G92" s="949"/>
      <c r="H92" s="950"/>
      <c r="I92" s="683">
        <f>J47</f>
        <v>1915.595</v>
      </c>
      <c r="J92" s="684">
        <f>IF(ROUND((I93*I95*I94)-(J47*I96),2)&lt;0,0,ROUND((I93*I95*I94)-(J47*I96),2))</f>
        <v>0</v>
      </c>
      <c r="K92" s="663"/>
    </row>
    <row r="93" spans="1:11" ht="28.5" customHeight="1">
      <c r="A93" s="579"/>
      <c r="B93" s="682" t="s">
        <v>371</v>
      </c>
      <c r="C93" s="1051" t="s">
        <v>1121</v>
      </c>
      <c r="D93" s="949"/>
      <c r="E93" s="949"/>
      <c r="F93" s="949"/>
      <c r="G93" s="949"/>
      <c r="H93" s="949"/>
      <c r="I93" s="685">
        <f>'1-ABA-DE-CARREGAMENTO'!L72</f>
        <v>0</v>
      </c>
      <c r="J93" s="686" t="s">
        <v>382</v>
      </c>
      <c r="K93" s="644"/>
    </row>
    <row r="94" spans="1:11" ht="25.5" customHeight="1">
      <c r="A94" s="579"/>
      <c r="B94" s="682" t="s">
        <v>373</v>
      </c>
      <c r="C94" s="1051" t="s">
        <v>1122</v>
      </c>
      <c r="D94" s="949"/>
      <c r="E94" s="949"/>
      <c r="F94" s="949"/>
      <c r="G94" s="949"/>
      <c r="H94" s="950"/>
      <c r="I94" s="687">
        <f>'1-ABA-DE-CARREGAMENTO'!L73</f>
        <v>2</v>
      </c>
      <c r="J94" s="686" t="s">
        <v>382</v>
      </c>
      <c r="K94" s="644"/>
    </row>
    <row r="95" spans="1:11" ht="19.5" customHeight="1">
      <c r="A95" s="579"/>
      <c r="B95" s="682" t="s">
        <v>375</v>
      </c>
      <c r="C95" s="1062" t="s">
        <v>473</v>
      </c>
      <c r="D95" s="949"/>
      <c r="E95" s="949"/>
      <c r="F95" s="949"/>
      <c r="G95" s="949"/>
      <c r="H95" s="950"/>
      <c r="I95" s="687">
        <f>'1-ABA-DE-CARREGAMENTO'!L74</f>
        <v>9</v>
      </c>
      <c r="J95" s="686" t="s">
        <v>382</v>
      </c>
      <c r="K95" s="644"/>
    </row>
    <row r="96" spans="1:11" ht="25.5" customHeight="1">
      <c r="A96" s="579"/>
      <c r="B96" s="682" t="s">
        <v>417</v>
      </c>
      <c r="C96" s="1062" t="s">
        <v>1123</v>
      </c>
      <c r="D96" s="949"/>
      <c r="E96" s="949"/>
      <c r="F96" s="949"/>
      <c r="G96" s="949"/>
      <c r="H96" s="950"/>
      <c r="I96" s="688">
        <f>'1-ABA-DE-CARREGAMENTO'!L75</f>
        <v>0.06</v>
      </c>
      <c r="J96" s="689" t="s">
        <v>382</v>
      </c>
      <c r="K96" s="644"/>
    </row>
    <row r="97" spans="1:11" ht="15" customHeight="1">
      <c r="A97" s="579"/>
      <c r="B97" s="682" t="s">
        <v>421</v>
      </c>
      <c r="C97" s="1051" t="s">
        <v>1124</v>
      </c>
      <c r="D97" s="949"/>
      <c r="E97" s="949"/>
      <c r="F97" s="949"/>
      <c r="G97" s="949"/>
      <c r="H97" s="949"/>
      <c r="I97" s="949"/>
      <c r="J97" s="684">
        <f>ROUND(I98*I99,2)-ROUND((I98*I99)*I100,2)</f>
        <v>0</v>
      </c>
      <c r="K97" s="663"/>
    </row>
    <row r="98" spans="1:11" ht="15" customHeight="1">
      <c r="A98" s="579"/>
      <c r="B98" s="682" t="s">
        <v>423</v>
      </c>
      <c r="C98" s="1051" t="s">
        <v>1125</v>
      </c>
      <c r="D98" s="949"/>
      <c r="E98" s="949"/>
      <c r="F98" s="949"/>
      <c r="G98" s="949"/>
      <c r="H98" s="949"/>
      <c r="I98" s="685">
        <f>IF('1-ABA-DE-CARREGAMENTO'!L60&gt;0,'1-ABA-DE-CARREGAMENTO'!L60,'1-ABA-DE-CARREGAMENTO'!L63)</f>
        <v>0</v>
      </c>
      <c r="J98" s="691"/>
      <c r="K98" s="644"/>
    </row>
    <row r="99" spans="1:11" ht="15" customHeight="1">
      <c r="A99" s="579"/>
      <c r="B99" s="682" t="s">
        <v>425</v>
      </c>
      <c r="C99" s="1051" t="s">
        <v>1126</v>
      </c>
      <c r="D99" s="949"/>
      <c r="E99" s="949"/>
      <c r="F99" s="949"/>
      <c r="G99" s="949"/>
      <c r="H99" s="949"/>
      <c r="I99" s="687">
        <f>'1-ABA-DE-CARREGAMENTO'!L62</f>
        <v>22</v>
      </c>
      <c r="J99" s="691"/>
      <c r="K99" s="644"/>
    </row>
    <row r="100" spans="1:11" ht="28.5" customHeight="1">
      <c r="A100" s="579"/>
      <c r="B100" s="682" t="s">
        <v>429</v>
      </c>
      <c r="C100" s="1107" t="s">
        <v>1127</v>
      </c>
      <c r="D100" s="949"/>
      <c r="E100" s="949"/>
      <c r="F100" s="949"/>
      <c r="G100" s="949"/>
      <c r="H100" s="950"/>
      <c r="I100" s="688">
        <f>'1-ABA-DE-CARREGAMENTO'!L61</f>
        <v>0</v>
      </c>
      <c r="J100" s="693"/>
      <c r="K100" s="644"/>
    </row>
    <row r="101" spans="1:11" ht="15" customHeight="1">
      <c r="A101" s="579"/>
      <c r="B101" s="682" t="s">
        <v>433</v>
      </c>
      <c r="C101" s="1051" t="s">
        <v>715</v>
      </c>
      <c r="D101" s="949"/>
      <c r="E101" s="949"/>
      <c r="F101" s="949"/>
      <c r="G101" s="949"/>
      <c r="H101" s="949"/>
      <c r="I101" s="949"/>
      <c r="J101" s="671">
        <v>0</v>
      </c>
      <c r="K101" s="663"/>
    </row>
    <row r="102" spans="1:11" ht="36.75" customHeight="1">
      <c r="A102" s="579"/>
      <c r="B102" s="682" t="s">
        <v>436</v>
      </c>
      <c r="C102" s="1051" t="s">
        <v>1128</v>
      </c>
      <c r="D102" s="949"/>
      <c r="E102" s="949"/>
      <c r="F102" s="949"/>
      <c r="G102" s="949"/>
      <c r="H102" s="949"/>
      <c r="I102" s="949"/>
      <c r="J102" s="671">
        <f>'1-ABA-DE-CARREGAMENTO'!L77</f>
        <v>0</v>
      </c>
      <c r="K102" s="663"/>
    </row>
    <row r="103" spans="1:11" ht="36.75" customHeight="1">
      <c r="A103" s="579"/>
      <c r="B103" s="682" t="s">
        <v>481</v>
      </c>
      <c r="C103" s="1051" t="s">
        <v>1129</v>
      </c>
      <c r="D103" s="949"/>
      <c r="E103" s="949"/>
      <c r="F103" s="949"/>
      <c r="G103" s="949"/>
      <c r="H103" s="949"/>
      <c r="I103" s="950"/>
      <c r="J103" s="671">
        <f>'1-ABA-DE-CARREGAMENTO'!L78</f>
        <v>0</v>
      </c>
      <c r="K103" s="663"/>
    </row>
    <row r="104" spans="1:11" ht="16.5" customHeight="1">
      <c r="A104" s="579"/>
      <c r="B104" s="682" t="s">
        <v>483</v>
      </c>
      <c r="C104" s="1051" t="s">
        <v>718</v>
      </c>
      <c r="D104" s="949"/>
      <c r="E104" s="949"/>
      <c r="F104" s="949"/>
      <c r="G104" s="949"/>
      <c r="H104" s="949"/>
      <c r="I104" s="950"/>
      <c r="J104" s="671">
        <f>'1-ABA-DE-CARREGAMENTO'!L76</f>
        <v>0</v>
      </c>
      <c r="K104" s="663"/>
    </row>
    <row r="105" spans="1:11" ht="17.25" customHeight="1">
      <c r="A105" s="579"/>
      <c r="B105" s="682" t="s">
        <v>129</v>
      </c>
      <c r="C105" s="1111" t="s">
        <v>524</v>
      </c>
      <c r="D105" s="949"/>
      <c r="E105" s="949"/>
      <c r="F105" s="949"/>
      <c r="G105" s="949"/>
      <c r="H105" s="949"/>
      <c r="I105" s="949"/>
      <c r="J105" s="742">
        <v>0</v>
      </c>
      <c r="K105" s="704"/>
    </row>
    <row r="106" spans="1:11" ht="33.75" customHeight="1">
      <c r="A106" s="579"/>
      <c r="B106" s="705"/>
      <c r="C106" s="1108" t="s">
        <v>450</v>
      </c>
      <c r="D106" s="949"/>
      <c r="E106" s="949"/>
      <c r="F106" s="949"/>
      <c r="G106" s="949"/>
      <c r="H106" s="949"/>
      <c r="I106" s="949"/>
      <c r="J106" s="662">
        <f>SUM(J92:J105)</f>
        <v>0</v>
      </c>
      <c r="K106" s="663"/>
    </row>
    <row r="107" spans="1:11" ht="17.25" customHeight="1">
      <c r="A107" s="579"/>
      <c r="B107" s="1047"/>
      <c r="C107" s="949"/>
      <c r="D107" s="949"/>
      <c r="E107" s="949"/>
      <c r="F107" s="949"/>
      <c r="G107" s="949"/>
      <c r="H107" s="949"/>
      <c r="I107" s="949"/>
      <c r="J107" s="950"/>
      <c r="K107" s="362"/>
    </row>
    <row r="108" spans="1:11" ht="33" customHeight="1">
      <c r="A108" s="579"/>
      <c r="B108" s="1086" t="s">
        <v>486</v>
      </c>
      <c r="C108" s="949"/>
      <c r="D108" s="949"/>
      <c r="E108" s="949"/>
      <c r="F108" s="949"/>
      <c r="G108" s="949"/>
      <c r="H108" s="949"/>
      <c r="I108" s="949"/>
      <c r="J108" s="950"/>
      <c r="K108" s="617"/>
    </row>
    <row r="109" spans="1:11" ht="19.5" customHeight="1">
      <c r="A109" s="579"/>
      <c r="B109" s="1045"/>
      <c r="C109" s="949"/>
      <c r="D109" s="949"/>
      <c r="E109" s="949"/>
      <c r="F109" s="949"/>
      <c r="G109" s="949"/>
      <c r="H109" s="949"/>
      <c r="I109" s="949"/>
      <c r="J109" s="950"/>
      <c r="K109" s="593"/>
    </row>
    <row r="110" spans="1:11" ht="19.5" customHeight="1">
      <c r="A110" s="579"/>
      <c r="B110" s="1109" t="s">
        <v>487</v>
      </c>
      <c r="C110" s="949"/>
      <c r="D110" s="949"/>
      <c r="E110" s="949"/>
      <c r="F110" s="949"/>
      <c r="G110" s="949"/>
      <c r="H110" s="949"/>
      <c r="I110" s="949"/>
      <c r="J110" s="950"/>
      <c r="K110" s="706"/>
    </row>
    <row r="111" spans="1:11" ht="19.5" customHeight="1">
      <c r="A111" s="579"/>
      <c r="B111" s="668">
        <v>2</v>
      </c>
      <c r="C111" s="1110" t="s">
        <v>488</v>
      </c>
      <c r="D111" s="949"/>
      <c r="E111" s="949"/>
      <c r="F111" s="949"/>
      <c r="G111" s="949"/>
      <c r="H111" s="949"/>
      <c r="I111" s="950"/>
      <c r="J111" s="668" t="s">
        <v>447</v>
      </c>
      <c r="K111" s="657"/>
    </row>
    <row r="112" spans="1:11" ht="19.5" customHeight="1">
      <c r="A112" s="579"/>
      <c r="B112" s="600" t="s">
        <v>445</v>
      </c>
      <c r="C112" s="1092" t="s">
        <v>1130</v>
      </c>
      <c r="D112" s="949"/>
      <c r="E112" s="949"/>
      <c r="F112" s="949"/>
      <c r="G112" s="949"/>
      <c r="H112" s="949"/>
      <c r="I112" s="950"/>
      <c r="J112" s="707">
        <f>J72</f>
        <v>247.49</v>
      </c>
      <c r="K112" s="708"/>
    </row>
    <row r="113" spans="1:11" ht="19.5" customHeight="1">
      <c r="A113" s="579"/>
      <c r="B113" s="600" t="s">
        <v>453</v>
      </c>
      <c r="C113" s="1092" t="s">
        <v>454</v>
      </c>
      <c r="D113" s="949"/>
      <c r="E113" s="949"/>
      <c r="F113" s="949"/>
      <c r="G113" s="949"/>
      <c r="H113" s="949"/>
      <c r="I113" s="950"/>
      <c r="J113" s="707">
        <f>J86</f>
        <v>893.17</v>
      </c>
      <c r="K113" s="708"/>
    </row>
    <row r="114" spans="1:11" ht="19.5" customHeight="1">
      <c r="A114" s="579"/>
      <c r="B114" s="600" t="s">
        <v>468</v>
      </c>
      <c r="C114" s="1092" t="s">
        <v>469</v>
      </c>
      <c r="D114" s="949"/>
      <c r="E114" s="949"/>
      <c r="F114" s="949"/>
      <c r="G114" s="949"/>
      <c r="H114" s="949"/>
      <c r="I114" s="950"/>
      <c r="J114" s="707">
        <f>J106</f>
        <v>0</v>
      </c>
      <c r="K114" s="708"/>
    </row>
    <row r="115" spans="1:11" ht="14.25" customHeight="1">
      <c r="A115" s="579"/>
      <c r="B115" s="1115" t="s">
        <v>450</v>
      </c>
      <c r="C115" s="949"/>
      <c r="D115" s="949"/>
      <c r="E115" s="949"/>
      <c r="F115" s="949"/>
      <c r="G115" s="949"/>
      <c r="H115" s="949"/>
      <c r="I115" s="950"/>
      <c r="J115" s="709">
        <f>SUM(J112+J113+J114)</f>
        <v>1140.6599999999999</v>
      </c>
      <c r="K115" s="708"/>
    </row>
    <row r="116" spans="1:11" ht="14.25" customHeight="1">
      <c r="A116" s="579"/>
      <c r="B116" s="1116"/>
      <c r="C116" s="949"/>
      <c r="D116" s="949"/>
      <c r="E116" s="949"/>
      <c r="F116" s="949"/>
      <c r="G116" s="949"/>
      <c r="H116" s="949"/>
      <c r="I116" s="949"/>
      <c r="J116" s="950"/>
      <c r="K116" s="710"/>
    </row>
    <row r="117" spans="1:11" ht="18.75" customHeight="1">
      <c r="A117" s="579"/>
      <c r="B117" s="1117" t="s">
        <v>490</v>
      </c>
      <c r="C117" s="949"/>
      <c r="D117" s="949"/>
      <c r="E117" s="949"/>
      <c r="F117" s="949"/>
      <c r="G117" s="949"/>
      <c r="H117" s="949"/>
      <c r="I117" s="949"/>
      <c r="J117" s="950"/>
      <c r="K117" s="711"/>
    </row>
    <row r="118" spans="1:11" ht="15.75" customHeight="1">
      <c r="A118" s="579"/>
      <c r="B118" s="680">
        <v>3</v>
      </c>
      <c r="C118" s="1118" t="s">
        <v>491</v>
      </c>
      <c r="D118" s="949"/>
      <c r="E118" s="949"/>
      <c r="F118" s="949"/>
      <c r="G118" s="949"/>
      <c r="H118" s="949"/>
      <c r="I118" s="950"/>
      <c r="J118" s="680" t="s">
        <v>447</v>
      </c>
      <c r="K118" s="712"/>
    </row>
    <row r="119" spans="1:11" ht="43.5" customHeight="1">
      <c r="A119" s="579"/>
      <c r="B119" s="682" t="s">
        <v>369</v>
      </c>
      <c r="C119" s="1051" t="s">
        <v>1131</v>
      </c>
      <c r="D119" s="949"/>
      <c r="E119" s="949"/>
      <c r="F119" s="949"/>
      <c r="G119" s="949"/>
      <c r="H119" s="949"/>
      <c r="I119" s="950"/>
      <c r="J119" s="671">
        <f>ROUND((($J$58/12)+($J$70/12)+(J58/12/12)+($J$71/12))*(30/30)*0.05,2)</f>
        <v>10.87</v>
      </c>
      <c r="K119" s="663"/>
    </row>
    <row r="120" spans="1:11" ht="21" customHeight="1">
      <c r="A120" s="579"/>
      <c r="B120" s="682" t="s">
        <v>371</v>
      </c>
      <c r="C120" s="1111" t="s">
        <v>493</v>
      </c>
      <c r="D120" s="949"/>
      <c r="E120" s="949"/>
      <c r="F120" s="949"/>
      <c r="G120" s="949"/>
      <c r="H120" s="949"/>
      <c r="I120" s="950"/>
      <c r="J120" s="671">
        <f>ROUND($I$85*J119,2)</f>
        <v>0.87</v>
      </c>
      <c r="K120" s="663"/>
    </row>
    <row r="121" spans="1:11" ht="26.25" customHeight="1">
      <c r="A121" s="579"/>
      <c r="B121" s="682" t="s">
        <v>373</v>
      </c>
      <c r="C121" s="1051" t="s">
        <v>1132</v>
      </c>
      <c r="D121" s="949"/>
      <c r="E121" s="949"/>
      <c r="F121" s="949"/>
      <c r="G121" s="949"/>
      <c r="H121" s="949"/>
      <c r="I121" s="950"/>
      <c r="J121" s="671">
        <f>ROUND(((7/30)/$I$11)*$J$58*1,2)</f>
        <v>16.95</v>
      </c>
      <c r="K121" s="663"/>
    </row>
    <row r="122" spans="1:11" ht="18" customHeight="1">
      <c r="A122" s="579"/>
      <c r="B122" s="682" t="s">
        <v>375</v>
      </c>
      <c r="C122" s="1111" t="s">
        <v>495</v>
      </c>
      <c r="D122" s="949"/>
      <c r="E122" s="949"/>
      <c r="F122" s="949"/>
      <c r="G122" s="949"/>
      <c r="H122" s="949"/>
      <c r="I122" s="950"/>
      <c r="J122" s="671">
        <f>ROUND($I$86*J121,2)</f>
        <v>6.24</v>
      </c>
      <c r="K122" s="663"/>
    </row>
    <row r="123" spans="1:11" ht="40.5" customHeight="1">
      <c r="A123" s="579"/>
      <c r="B123" s="682" t="s">
        <v>417</v>
      </c>
      <c r="C123" s="1051" t="s">
        <v>1133</v>
      </c>
      <c r="D123" s="949"/>
      <c r="E123" s="949"/>
      <c r="F123" s="949"/>
      <c r="G123" s="949"/>
      <c r="H123" s="950"/>
      <c r="I123" s="714">
        <v>0.04</v>
      </c>
      <c r="J123" s="671">
        <f>ROUND(J58*I123,2)</f>
        <v>87.18</v>
      </c>
      <c r="K123" s="663"/>
    </row>
    <row r="124" spans="1:11" ht="19.5" customHeight="1">
      <c r="A124" s="579"/>
      <c r="B124" s="1108" t="s">
        <v>497</v>
      </c>
      <c r="C124" s="949"/>
      <c r="D124" s="949"/>
      <c r="E124" s="949"/>
      <c r="F124" s="949"/>
      <c r="G124" s="949"/>
      <c r="H124" s="949"/>
      <c r="I124" s="950"/>
      <c r="J124" s="662">
        <f>SUM(J119:J123)</f>
        <v>122.11000000000001</v>
      </c>
      <c r="K124" s="663"/>
    </row>
    <row r="125" spans="1:11" ht="15.75" customHeight="1">
      <c r="A125" s="579"/>
      <c r="B125" s="1112"/>
      <c r="C125" s="949"/>
      <c r="D125" s="949"/>
      <c r="E125" s="949"/>
      <c r="F125" s="949"/>
      <c r="G125" s="949"/>
      <c r="H125" s="949"/>
      <c r="I125" s="949"/>
      <c r="J125" s="950"/>
      <c r="K125" s="715"/>
    </row>
    <row r="126" spans="1:11" ht="17.25" customHeight="1">
      <c r="A126" s="579"/>
      <c r="B126" s="1113" t="s">
        <v>498</v>
      </c>
      <c r="C126" s="949"/>
      <c r="D126" s="949"/>
      <c r="E126" s="949"/>
      <c r="F126" s="949"/>
      <c r="G126" s="949"/>
      <c r="H126" s="949"/>
      <c r="I126" s="949"/>
      <c r="J126" s="950"/>
      <c r="K126" s="716"/>
    </row>
    <row r="127" spans="1:11" ht="24" customHeight="1">
      <c r="A127" s="579"/>
      <c r="B127" s="1086" t="s">
        <v>499</v>
      </c>
      <c r="C127" s="949"/>
      <c r="D127" s="949"/>
      <c r="E127" s="949"/>
      <c r="F127" s="949"/>
      <c r="G127" s="949"/>
      <c r="H127" s="949"/>
      <c r="I127" s="949"/>
      <c r="J127" s="950"/>
      <c r="K127" s="617"/>
    </row>
    <row r="128" spans="1:11" ht="54.75" customHeight="1">
      <c r="A128" s="579"/>
      <c r="B128" s="1105" t="s">
        <v>1134</v>
      </c>
      <c r="C128" s="949"/>
      <c r="D128" s="949"/>
      <c r="E128" s="949"/>
      <c r="F128" s="949"/>
      <c r="G128" s="949"/>
      <c r="H128" s="949"/>
      <c r="I128" s="949"/>
      <c r="J128" s="950"/>
      <c r="K128" s="665"/>
    </row>
    <row r="129" spans="1:11" ht="26.25" customHeight="1">
      <c r="A129" s="579"/>
      <c r="B129" s="717" t="s">
        <v>501</v>
      </c>
      <c r="C129" s="718">
        <f>J58</f>
        <v>2179.5950000000003</v>
      </c>
      <c r="D129" s="719" t="s">
        <v>502</v>
      </c>
      <c r="E129" s="717" t="s">
        <v>1135</v>
      </c>
      <c r="F129" s="718">
        <f>J115-J92-J97</f>
        <v>1140.6599999999999</v>
      </c>
      <c r="G129" s="719" t="s">
        <v>502</v>
      </c>
      <c r="H129" s="717" t="s">
        <v>504</v>
      </c>
      <c r="I129" s="718">
        <f>J124</f>
        <v>122.11000000000001</v>
      </c>
      <c r="J129" s="720">
        <f>C129+F129+I129</f>
        <v>3442.3650000000002</v>
      </c>
      <c r="K129" s="721"/>
    </row>
    <row r="130" spans="1:11" ht="30.75" customHeight="1">
      <c r="A130" s="579"/>
      <c r="B130" s="1120"/>
      <c r="C130" s="949"/>
      <c r="D130" s="949"/>
      <c r="E130" s="949"/>
      <c r="F130" s="949"/>
      <c r="G130" s="949"/>
      <c r="H130" s="949"/>
      <c r="I130" s="949"/>
      <c r="J130" s="950"/>
      <c r="K130" s="722"/>
    </row>
    <row r="131" spans="1:11" ht="15.75" customHeight="1">
      <c r="A131" s="579"/>
      <c r="B131" s="1121" t="s">
        <v>505</v>
      </c>
      <c r="C131" s="949"/>
      <c r="D131" s="949"/>
      <c r="E131" s="949"/>
      <c r="F131" s="949"/>
      <c r="G131" s="949"/>
      <c r="H131" s="949"/>
      <c r="I131" s="949"/>
      <c r="J131" s="950"/>
      <c r="K131" s="723"/>
    </row>
    <row r="132" spans="1:11" ht="17.25" customHeight="1">
      <c r="A132" s="579"/>
      <c r="B132" s="724" t="s">
        <v>506</v>
      </c>
      <c r="C132" s="1118" t="s">
        <v>507</v>
      </c>
      <c r="D132" s="949"/>
      <c r="E132" s="949"/>
      <c r="F132" s="949"/>
      <c r="G132" s="949"/>
      <c r="H132" s="949"/>
      <c r="I132" s="950"/>
      <c r="J132" s="724" t="s">
        <v>447</v>
      </c>
      <c r="K132" s="726"/>
    </row>
    <row r="133" spans="1:11" ht="50.25" customHeight="1">
      <c r="A133" s="579"/>
      <c r="B133" s="682" t="s">
        <v>369</v>
      </c>
      <c r="C133" s="1092" t="s">
        <v>1136</v>
      </c>
      <c r="D133" s="949"/>
      <c r="E133" s="949"/>
      <c r="F133" s="949"/>
      <c r="G133" s="949"/>
      <c r="H133" s="727">
        <v>9.0749999999999997E-2</v>
      </c>
      <c r="I133" s="873">
        <f>I86</f>
        <v>0.36800000000000005</v>
      </c>
      <c r="J133" s="671">
        <f>ROUND(H133*J58,2)*(1+I133)</f>
        <v>270.59040000000005</v>
      </c>
      <c r="K133" s="663"/>
    </row>
    <row r="134" spans="1:11" ht="17.25" customHeight="1">
      <c r="A134" s="579"/>
      <c r="B134" s="682" t="s">
        <v>371</v>
      </c>
      <c r="C134" s="1051" t="s">
        <v>1137</v>
      </c>
      <c r="D134" s="949"/>
      <c r="E134" s="949"/>
      <c r="F134" s="949"/>
      <c r="G134" s="949"/>
      <c r="H134" s="949"/>
      <c r="I134" s="950"/>
      <c r="J134" s="671">
        <f>ROUND((1/30)/12*(J129),2)</f>
        <v>9.56</v>
      </c>
      <c r="K134" s="663"/>
    </row>
    <row r="135" spans="1:11" ht="28.5" customHeight="1">
      <c r="A135" s="579"/>
      <c r="B135" s="682" t="s">
        <v>373</v>
      </c>
      <c r="C135" s="1051" t="s">
        <v>1138</v>
      </c>
      <c r="D135" s="949"/>
      <c r="E135" s="949"/>
      <c r="F135" s="949"/>
      <c r="G135" s="949"/>
      <c r="H135" s="949"/>
      <c r="I135" s="950"/>
      <c r="J135" s="671">
        <f>ROUND((5/30)/12*0.015*(J129),2)</f>
        <v>0.72</v>
      </c>
      <c r="K135" s="663"/>
    </row>
    <row r="136" spans="1:11" ht="27.75" customHeight="1">
      <c r="A136" s="579"/>
      <c r="B136" s="682" t="s">
        <v>375</v>
      </c>
      <c r="C136" s="1051" t="s">
        <v>1139</v>
      </c>
      <c r="D136" s="949"/>
      <c r="E136" s="949"/>
      <c r="F136" s="949"/>
      <c r="G136" s="949"/>
      <c r="H136" s="949"/>
      <c r="I136" s="950"/>
      <c r="J136" s="671">
        <f>ROUND(((15/30)/12)*0.0078*(J129),2)</f>
        <v>1.1200000000000001</v>
      </c>
      <c r="K136" s="663"/>
    </row>
    <row r="137" spans="1:11" ht="30.75" customHeight="1">
      <c r="A137" s="579"/>
      <c r="B137" s="730" t="s">
        <v>417</v>
      </c>
      <c r="C137" s="1119" t="s">
        <v>1140</v>
      </c>
      <c r="D137" s="949"/>
      <c r="E137" s="949"/>
      <c r="F137" s="949"/>
      <c r="G137" s="949"/>
      <c r="H137" s="949"/>
      <c r="I137" s="950"/>
      <c r="J137" s="731">
        <f>ROUND(((((C129+C129/3)+(I86)*(C129+C129/3))*(4/12))/12)*0.02,2) + ((J106 -J92-J97+ J124)*4/12)*0.02</f>
        <v>3.0240666666666667</v>
      </c>
      <c r="K137" s="732"/>
    </row>
    <row r="138" spans="1:11" ht="39" customHeight="1">
      <c r="A138" s="579"/>
      <c r="B138" s="682" t="s">
        <v>421</v>
      </c>
      <c r="C138" s="1051" t="s">
        <v>1141</v>
      </c>
      <c r="D138" s="949"/>
      <c r="E138" s="949"/>
      <c r="F138" s="949"/>
      <c r="G138" s="949"/>
      <c r="H138" s="949"/>
      <c r="I138" s="950"/>
      <c r="J138" s="671">
        <f>ROUND(((3/30)/12)*(J129),2)</f>
        <v>28.69</v>
      </c>
      <c r="K138" s="663"/>
    </row>
    <row r="139" spans="1:11" ht="19.5" customHeight="1">
      <c r="A139" s="579"/>
      <c r="B139" s="1108" t="s">
        <v>450</v>
      </c>
      <c r="C139" s="949"/>
      <c r="D139" s="949"/>
      <c r="E139" s="949"/>
      <c r="F139" s="949"/>
      <c r="G139" s="949"/>
      <c r="H139" s="949"/>
      <c r="I139" s="950"/>
      <c r="J139" s="662">
        <f>SUM(J133:J138)</f>
        <v>313.70446666666675</v>
      </c>
      <c r="K139" s="663"/>
    </row>
    <row r="140" spans="1:11" ht="9.75" customHeight="1">
      <c r="A140" s="579"/>
      <c r="B140" s="1112"/>
      <c r="C140" s="949"/>
      <c r="D140" s="949"/>
      <c r="E140" s="949"/>
      <c r="F140" s="949"/>
      <c r="G140" s="949"/>
      <c r="H140" s="949"/>
      <c r="I140" s="949"/>
      <c r="J140" s="950"/>
      <c r="K140" s="715"/>
    </row>
    <row r="141" spans="1:11" ht="19.5" customHeight="1">
      <c r="A141" s="579"/>
      <c r="B141" s="1114" t="s">
        <v>514</v>
      </c>
      <c r="C141" s="949"/>
      <c r="D141" s="949"/>
      <c r="E141" s="949"/>
      <c r="F141" s="949"/>
      <c r="G141" s="949"/>
      <c r="H141" s="949"/>
      <c r="I141" s="949"/>
      <c r="J141" s="950"/>
      <c r="K141" s="654"/>
    </row>
    <row r="142" spans="1:11" ht="19.5" customHeight="1">
      <c r="A142" s="579"/>
      <c r="B142" s="733" t="s">
        <v>515</v>
      </c>
      <c r="C142" s="1122" t="s">
        <v>516</v>
      </c>
      <c r="D142" s="949"/>
      <c r="E142" s="949"/>
      <c r="F142" s="949"/>
      <c r="G142" s="949"/>
      <c r="H142" s="949"/>
      <c r="I142" s="950"/>
      <c r="J142" s="734" t="s">
        <v>447</v>
      </c>
      <c r="K142" s="735"/>
    </row>
    <row r="143" spans="1:11" ht="19.5" customHeight="1">
      <c r="A143" s="579"/>
      <c r="B143" s="736" t="s">
        <v>369</v>
      </c>
      <c r="C143" s="1125" t="s">
        <v>517</v>
      </c>
      <c r="D143" s="949"/>
      <c r="E143" s="949"/>
      <c r="F143" s="949"/>
      <c r="G143" s="949"/>
      <c r="H143" s="949"/>
      <c r="I143" s="950"/>
      <c r="J143" s="737">
        <v>0</v>
      </c>
      <c r="K143" s="738"/>
    </row>
    <row r="144" spans="1:11" ht="19.5" customHeight="1">
      <c r="A144" s="579"/>
      <c r="B144" s="1102" t="s">
        <v>450</v>
      </c>
      <c r="C144" s="949"/>
      <c r="D144" s="949"/>
      <c r="E144" s="949"/>
      <c r="F144" s="949"/>
      <c r="G144" s="949"/>
      <c r="H144" s="949"/>
      <c r="I144" s="950"/>
      <c r="J144" s="739">
        <v>0</v>
      </c>
      <c r="K144" s="738"/>
    </row>
    <row r="145" spans="1:11" ht="12" customHeight="1">
      <c r="A145" s="579"/>
      <c r="B145" s="1126"/>
      <c r="C145" s="949"/>
      <c r="D145" s="949"/>
      <c r="E145" s="949"/>
      <c r="F145" s="949"/>
      <c r="G145" s="949"/>
      <c r="H145" s="949"/>
      <c r="I145" s="949"/>
      <c r="J145" s="950"/>
      <c r="K145" s="740"/>
    </row>
    <row r="146" spans="1:11" ht="19.5" customHeight="1">
      <c r="A146" s="579"/>
      <c r="B146" s="1098" t="s">
        <v>518</v>
      </c>
      <c r="C146" s="949"/>
      <c r="D146" s="949"/>
      <c r="E146" s="949"/>
      <c r="F146" s="949"/>
      <c r="G146" s="949"/>
      <c r="H146" s="949"/>
      <c r="I146" s="949"/>
      <c r="J146" s="950"/>
      <c r="K146" s="653"/>
    </row>
    <row r="147" spans="1:11" ht="19.5" customHeight="1">
      <c r="A147" s="579"/>
      <c r="B147" s="668">
        <v>4</v>
      </c>
      <c r="C147" s="1122" t="s">
        <v>519</v>
      </c>
      <c r="D147" s="949"/>
      <c r="E147" s="949"/>
      <c r="F147" s="949"/>
      <c r="G147" s="949"/>
      <c r="H147" s="949"/>
      <c r="I147" s="950"/>
      <c r="J147" s="734" t="s">
        <v>447</v>
      </c>
      <c r="K147" s="735"/>
    </row>
    <row r="148" spans="1:11" ht="28.5" customHeight="1">
      <c r="A148" s="579"/>
      <c r="B148" s="600" t="s">
        <v>506</v>
      </c>
      <c r="C148" s="1125" t="s">
        <v>507</v>
      </c>
      <c r="D148" s="949"/>
      <c r="E148" s="949"/>
      <c r="F148" s="949"/>
      <c r="G148" s="949"/>
      <c r="H148" s="949"/>
      <c r="I148" s="950"/>
      <c r="J148" s="737">
        <f>J139</f>
        <v>313.70446666666675</v>
      </c>
      <c r="K148" s="738"/>
    </row>
    <row r="149" spans="1:11" ht="24" customHeight="1">
      <c r="A149" s="579"/>
      <c r="B149" s="600" t="s">
        <v>520</v>
      </c>
      <c r="C149" s="1125" t="s">
        <v>516</v>
      </c>
      <c r="D149" s="949"/>
      <c r="E149" s="949"/>
      <c r="F149" s="949"/>
      <c r="G149" s="949"/>
      <c r="H149" s="949"/>
      <c r="I149" s="950"/>
      <c r="J149" s="737">
        <f>J144</f>
        <v>0</v>
      </c>
      <c r="K149" s="738"/>
    </row>
    <row r="150" spans="1:11" ht="24" customHeight="1">
      <c r="A150" s="579"/>
      <c r="B150" s="1115" t="s">
        <v>450</v>
      </c>
      <c r="C150" s="949"/>
      <c r="D150" s="949"/>
      <c r="E150" s="949"/>
      <c r="F150" s="949"/>
      <c r="G150" s="949"/>
      <c r="H150" s="949"/>
      <c r="I150" s="950"/>
      <c r="J150" s="739">
        <f>SUM(J148+J149)</f>
        <v>313.70446666666675</v>
      </c>
      <c r="K150" s="738"/>
    </row>
    <row r="151" spans="1:11" ht="10.5" customHeight="1">
      <c r="A151" s="579"/>
      <c r="B151" s="1126"/>
      <c r="C151" s="949"/>
      <c r="D151" s="949"/>
      <c r="E151" s="949"/>
      <c r="F151" s="949"/>
      <c r="G151" s="949"/>
      <c r="H151" s="949"/>
      <c r="I151" s="949"/>
      <c r="J151" s="950"/>
      <c r="K151" s="740"/>
    </row>
    <row r="152" spans="1:11" ht="15.75" customHeight="1">
      <c r="A152" s="579"/>
      <c r="B152" s="1113" t="s">
        <v>521</v>
      </c>
      <c r="C152" s="949"/>
      <c r="D152" s="949"/>
      <c r="E152" s="949"/>
      <c r="F152" s="949"/>
      <c r="G152" s="949"/>
      <c r="H152" s="949"/>
      <c r="I152" s="949"/>
      <c r="J152" s="950"/>
      <c r="K152" s="716"/>
    </row>
    <row r="153" spans="1:11" ht="15.75" customHeight="1">
      <c r="A153" s="579"/>
      <c r="B153" s="680">
        <v>3</v>
      </c>
      <c r="C153" s="1089" t="s">
        <v>522</v>
      </c>
      <c r="D153" s="949"/>
      <c r="E153" s="949"/>
      <c r="F153" s="949"/>
      <c r="G153" s="949"/>
      <c r="H153" s="949"/>
      <c r="I153" s="950"/>
      <c r="J153" s="680" t="s">
        <v>447</v>
      </c>
      <c r="K153" s="712"/>
    </row>
    <row r="154" spans="1:11" ht="18" customHeight="1">
      <c r="A154" s="579"/>
      <c r="B154" s="682" t="s">
        <v>369</v>
      </c>
      <c r="C154" s="1051" t="s">
        <v>658</v>
      </c>
      <c r="D154" s="949"/>
      <c r="E154" s="949"/>
      <c r="F154" s="949"/>
      <c r="G154" s="949"/>
      <c r="H154" s="949"/>
      <c r="I154" s="950"/>
      <c r="J154" s="671">
        <v>0</v>
      </c>
      <c r="K154" s="663"/>
    </row>
    <row r="155" spans="1:11" ht="15.75" customHeight="1">
      <c r="A155" s="579"/>
      <c r="B155" s="682" t="s">
        <v>371</v>
      </c>
      <c r="C155" s="1051" t="s">
        <v>659</v>
      </c>
      <c r="D155" s="949"/>
      <c r="E155" s="949"/>
      <c r="F155" s="949"/>
      <c r="G155" s="949"/>
      <c r="H155" s="949"/>
      <c r="I155" s="950"/>
      <c r="J155" s="742">
        <v>0</v>
      </c>
      <c r="K155" s="704"/>
    </row>
    <row r="156" spans="1:11" ht="15.75" customHeight="1">
      <c r="A156" s="579"/>
      <c r="B156" s="682" t="s">
        <v>373</v>
      </c>
      <c r="C156" s="1051" t="s">
        <v>524</v>
      </c>
      <c r="D156" s="949"/>
      <c r="E156" s="949"/>
      <c r="F156" s="949"/>
      <c r="G156" s="949"/>
      <c r="H156" s="949"/>
      <c r="I156" s="950"/>
      <c r="J156" s="742" t="s">
        <v>525</v>
      </c>
      <c r="K156" s="704"/>
    </row>
    <row r="157" spans="1:11" ht="19.5" customHeight="1">
      <c r="A157" s="579"/>
      <c r="B157" s="1108" t="s">
        <v>526</v>
      </c>
      <c r="C157" s="949"/>
      <c r="D157" s="949"/>
      <c r="E157" s="949"/>
      <c r="F157" s="949"/>
      <c r="G157" s="949"/>
      <c r="H157" s="949"/>
      <c r="I157" s="950"/>
      <c r="J157" s="743">
        <f>ROUND(SUM(J154:J156),2)</f>
        <v>0</v>
      </c>
      <c r="K157" s="704"/>
    </row>
    <row r="158" spans="1:11" ht="15.75" customHeight="1">
      <c r="A158" s="579"/>
      <c r="B158" s="1153"/>
      <c r="C158" s="949"/>
      <c r="D158" s="949"/>
      <c r="E158" s="949"/>
      <c r="F158" s="949"/>
      <c r="G158" s="949"/>
      <c r="H158" s="949"/>
      <c r="I158" s="949"/>
      <c r="J158" s="950"/>
      <c r="K158" s="744"/>
    </row>
    <row r="159" spans="1:11" ht="27.75" customHeight="1">
      <c r="A159" s="579"/>
      <c r="B159" s="1154" t="s">
        <v>527</v>
      </c>
      <c r="C159" s="949"/>
      <c r="D159" s="949"/>
      <c r="E159" s="949"/>
      <c r="F159" s="949"/>
      <c r="G159" s="949"/>
      <c r="H159" s="949"/>
      <c r="I159" s="949"/>
      <c r="J159" s="950"/>
      <c r="K159" s="745"/>
    </row>
    <row r="160" spans="1:11" ht="19.5" customHeight="1">
      <c r="A160" s="579"/>
      <c r="B160" s="746"/>
      <c r="C160" s="747"/>
      <c r="D160" s="747"/>
      <c r="E160" s="747"/>
      <c r="F160" s="747"/>
      <c r="G160" s="747"/>
      <c r="H160" s="747"/>
      <c r="I160" s="747"/>
      <c r="J160" s="748"/>
      <c r="K160" s="314"/>
    </row>
    <row r="161" spans="1:11" ht="24" customHeight="1">
      <c r="A161" s="579"/>
      <c r="B161" s="1117" t="s">
        <v>528</v>
      </c>
      <c r="C161" s="949"/>
      <c r="D161" s="949"/>
      <c r="E161" s="949"/>
      <c r="F161" s="949"/>
      <c r="G161" s="949"/>
      <c r="H161" s="949"/>
      <c r="I161" s="949"/>
      <c r="J161" s="950"/>
      <c r="K161" s="711"/>
    </row>
    <row r="162" spans="1:11" ht="18.75" customHeight="1">
      <c r="A162" s="579"/>
      <c r="B162" s="680">
        <v>6</v>
      </c>
      <c r="C162" s="1118" t="s">
        <v>529</v>
      </c>
      <c r="D162" s="949"/>
      <c r="E162" s="949"/>
      <c r="F162" s="949"/>
      <c r="G162" s="949"/>
      <c r="H162" s="950"/>
      <c r="I162" s="749" t="s">
        <v>411</v>
      </c>
      <c r="J162" s="750" t="s">
        <v>455</v>
      </c>
      <c r="K162" s="751"/>
    </row>
    <row r="163" spans="1:11" ht="57" customHeight="1">
      <c r="A163" s="579"/>
      <c r="B163" s="1062" t="s">
        <v>530</v>
      </c>
      <c r="C163" s="949"/>
      <c r="D163" s="949"/>
      <c r="E163" s="949"/>
      <c r="F163" s="949"/>
      <c r="G163" s="949"/>
      <c r="H163" s="950"/>
      <c r="I163" s="341" t="s">
        <v>382</v>
      </c>
      <c r="J163" s="752">
        <f>SUM(J63+J115+J124+J150+J157)</f>
        <v>3756.0694666666668</v>
      </c>
      <c r="K163" s="753"/>
    </row>
    <row r="164" spans="1:11" ht="27" customHeight="1">
      <c r="A164" s="579"/>
      <c r="B164" s="682" t="s">
        <v>369</v>
      </c>
      <c r="C164" s="1155" t="s">
        <v>531</v>
      </c>
      <c r="D164" s="949"/>
      <c r="E164" s="949"/>
      <c r="F164" s="949"/>
      <c r="G164" s="949"/>
      <c r="H164" s="950"/>
      <c r="I164" s="670">
        <f>'1-ABA-DE-CARREGAMENTO'!L85</f>
        <v>0.06</v>
      </c>
      <c r="J164" s="671">
        <f>ROUND(I164*J163,2)</f>
        <v>225.36</v>
      </c>
      <c r="K164" s="663"/>
    </row>
    <row r="165" spans="1:11" ht="51" customHeight="1">
      <c r="A165" s="579"/>
      <c r="B165" s="1062" t="s">
        <v>532</v>
      </c>
      <c r="C165" s="949"/>
      <c r="D165" s="949"/>
      <c r="E165" s="949"/>
      <c r="F165" s="949"/>
      <c r="G165" s="949"/>
      <c r="H165" s="950"/>
      <c r="I165" s="754" t="s">
        <v>382</v>
      </c>
      <c r="J165" s="752">
        <f>SUM(J63+J115+J124+J150+J157+J164)</f>
        <v>3981.4294666666669</v>
      </c>
      <c r="K165" s="753"/>
    </row>
    <row r="166" spans="1:11" ht="19.5" customHeight="1">
      <c r="A166" s="579"/>
      <c r="B166" s="682" t="s">
        <v>371</v>
      </c>
      <c r="C166" s="1155" t="s">
        <v>312</v>
      </c>
      <c r="D166" s="949"/>
      <c r="E166" s="949"/>
      <c r="F166" s="949"/>
      <c r="G166" s="949"/>
      <c r="H166" s="950"/>
      <c r="I166" s="670">
        <f>'1-ABA-DE-CARREGAMENTO'!L86</f>
        <v>0.06</v>
      </c>
      <c r="J166" s="671">
        <f>ROUND(I166*J165,2)</f>
        <v>238.89</v>
      </c>
      <c r="K166" s="663"/>
    </row>
    <row r="167" spans="1:11" ht="57" customHeight="1">
      <c r="A167" s="579"/>
      <c r="B167" s="1062" t="s">
        <v>533</v>
      </c>
      <c r="C167" s="949"/>
      <c r="D167" s="949"/>
      <c r="E167" s="949"/>
      <c r="F167" s="949"/>
      <c r="G167" s="949"/>
      <c r="H167" s="950"/>
      <c r="I167" s="754" t="s">
        <v>382</v>
      </c>
      <c r="J167" s="752">
        <f>SUM(J163+J164+J166)</f>
        <v>4220.3194666666668</v>
      </c>
      <c r="K167" s="753"/>
    </row>
    <row r="168" spans="1:11" ht="18.75" customHeight="1">
      <c r="A168" s="579"/>
      <c r="B168" s="755" t="s">
        <v>373</v>
      </c>
      <c r="C168" s="1117" t="s">
        <v>534</v>
      </c>
      <c r="D168" s="949"/>
      <c r="E168" s="949"/>
      <c r="F168" s="949"/>
      <c r="G168" s="949"/>
      <c r="H168" s="950"/>
      <c r="I168" s="756" t="s">
        <v>382</v>
      </c>
      <c r="J168" s="643" t="s">
        <v>382</v>
      </c>
      <c r="K168" s="644"/>
    </row>
    <row r="169" spans="1:11" ht="12" customHeight="1">
      <c r="A169" s="579"/>
      <c r="B169" s="682"/>
      <c r="C169" s="1111" t="s">
        <v>535</v>
      </c>
      <c r="D169" s="949"/>
      <c r="E169" s="949"/>
      <c r="F169" s="949"/>
      <c r="G169" s="949"/>
      <c r="H169" s="950"/>
      <c r="I169" s="756" t="s">
        <v>382</v>
      </c>
      <c r="J169" s="643" t="s">
        <v>382</v>
      </c>
      <c r="K169" s="644"/>
    </row>
    <row r="170" spans="1:11" ht="24" customHeight="1">
      <c r="A170" s="579"/>
      <c r="B170" s="682"/>
      <c r="C170" s="1156" t="s">
        <v>1142</v>
      </c>
      <c r="D170" s="949"/>
      <c r="E170" s="949"/>
      <c r="F170" s="949"/>
      <c r="G170" s="949"/>
      <c r="H170" s="950"/>
      <c r="I170" s="629">
        <f>'1-ABA-DE-CARREGAMENTO'!E28</f>
        <v>1.6500000000000001E-2</v>
      </c>
      <c r="J170" s="757">
        <f t="shared" ref="J170:J171" si="1">ROUND(($J$167/(1-$I$179))*I170,2)</f>
        <v>79.36</v>
      </c>
      <c r="K170" s="758"/>
    </row>
    <row r="171" spans="1:11" ht="24" customHeight="1">
      <c r="A171" s="579"/>
      <c r="B171" s="682"/>
      <c r="C171" s="1156" t="s">
        <v>1143</v>
      </c>
      <c r="D171" s="949"/>
      <c r="E171" s="949"/>
      <c r="F171" s="949"/>
      <c r="G171" s="949"/>
      <c r="H171" s="950"/>
      <c r="I171" s="629">
        <f>'1-ABA-DE-CARREGAMENTO'!F28</f>
        <v>7.5999999999999998E-2</v>
      </c>
      <c r="J171" s="757">
        <f t="shared" si="1"/>
        <v>365.52</v>
      </c>
      <c r="K171" s="758"/>
    </row>
    <row r="172" spans="1:11" ht="28.5" customHeight="1">
      <c r="A172" s="579"/>
      <c r="B172" s="682"/>
      <c r="C172" s="1051" t="s">
        <v>1144</v>
      </c>
      <c r="D172" s="949"/>
      <c r="E172" s="949"/>
      <c r="F172" s="949"/>
      <c r="G172" s="949"/>
      <c r="H172" s="950"/>
      <c r="I172" s="759" t="s">
        <v>382</v>
      </c>
      <c r="J172" s="643" t="s">
        <v>382</v>
      </c>
      <c r="K172" s="644"/>
    </row>
    <row r="173" spans="1:11" ht="28.5" customHeight="1">
      <c r="A173" s="579"/>
      <c r="B173" s="682"/>
      <c r="C173" s="1051" t="s">
        <v>1145</v>
      </c>
      <c r="D173" s="949"/>
      <c r="E173" s="949"/>
      <c r="F173" s="949"/>
      <c r="G173" s="949"/>
      <c r="H173" s="950"/>
      <c r="I173" s="759" t="s">
        <v>382</v>
      </c>
      <c r="J173" s="643" t="s">
        <v>382</v>
      </c>
      <c r="K173" s="644"/>
    </row>
    <row r="174" spans="1:11" ht="15.75" customHeight="1">
      <c r="A174" s="579"/>
      <c r="B174" s="682"/>
      <c r="C174" s="1051" t="s">
        <v>540</v>
      </c>
      <c r="D174" s="949"/>
      <c r="E174" s="949"/>
      <c r="F174" s="949"/>
      <c r="G174" s="949"/>
      <c r="H174" s="949"/>
      <c r="I174" s="760" t="s">
        <v>382</v>
      </c>
      <c r="J174" s="761" t="s">
        <v>382</v>
      </c>
      <c r="K174" s="762"/>
    </row>
    <row r="175" spans="1:11" ht="15.75" customHeight="1">
      <c r="A175" s="579"/>
      <c r="B175" s="682"/>
      <c r="C175" s="1051" t="s">
        <v>541</v>
      </c>
      <c r="D175" s="949"/>
      <c r="E175" s="949"/>
      <c r="F175" s="949"/>
      <c r="G175" s="949"/>
      <c r="H175" s="949"/>
      <c r="I175" s="760" t="s">
        <v>382</v>
      </c>
      <c r="J175" s="761" t="s">
        <v>382</v>
      </c>
      <c r="K175" s="762"/>
    </row>
    <row r="176" spans="1:11" ht="15.75" customHeight="1">
      <c r="A176" s="579"/>
      <c r="B176" s="682"/>
      <c r="C176" s="1051" t="s">
        <v>1146</v>
      </c>
      <c r="D176" s="949"/>
      <c r="E176" s="949"/>
      <c r="F176" s="949"/>
      <c r="G176" s="949"/>
      <c r="H176" s="950"/>
      <c r="I176" s="763">
        <f>'1-ABA-DE-CARREGAMENTO'!D87</f>
        <v>0.03</v>
      </c>
      <c r="J176" s="757">
        <f>ROUND(($J$167/(1-$I$179))*I176,2)</f>
        <v>144.28</v>
      </c>
      <c r="K176" s="758"/>
    </row>
    <row r="177" spans="1:11" ht="15.75" customHeight="1">
      <c r="A177" s="579"/>
      <c r="B177" s="1108" t="s">
        <v>497</v>
      </c>
      <c r="C177" s="949"/>
      <c r="D177" s="949"/>
      <c r="E177" s="949"/>
      <c r="F177" s="949"/>
      <c r="G177" s="949"/>
      <c r="H177" s="949"/>
      <c r="I177" s="950"/>
      <c r="J177" s="662">
        <f>SUM(J164+J166+J170+J171+J176)</f>
        <v>1053.4100000000001</v>
      </c>
      <c r="K177" s="663"/>
    </row>
    <row r="178" spans="1:11" ht="15.75" customHeight="1">
      <c r="A178" s="579"/>
      <c r="B178" s="1112"/>
      <c r="C178" s="949"/>
      <c r="D178" s="949"/>
      <c r="E178" s="949"/>
      <c r="F178" s="949"/>
      <c r="G178" s="949"/>
      <c r="H178" s="949"/>
      <c r="I178" s="949"/>
      <c r="J178" s="950"/>
      <c r="K178" s="715"/>
    </row>
    <row r="179" spans="1:11" ht="15.75" customHeight="1">
      <c r="A179" s="579"/>
      <c r="B179" s="1157" t="s">
        <v>543</v>
      </c>
      <c r="C179" s="949"/>
      <c r="D179" s="949"/>
      <c r="E179" s="949"/>
      <c r="F179" s="949"/>
      <c r="G179" s="949"/>
      <c r="H179" s="950"/>
      <c r="I179" s="764">
        <f t="shared" ref="I179:J179" si="2">SUM(I170:I176)</f>
        <v>0.1225</v>
      </c>
      <c r="J179" s="752">
        <f t="shared" si="2"/>
        <v>589.16</v>
      </c>
      <c r="K179" s="753"/>
    </row>
    <row r="180" spans="1:11" ht="15.75" customHeight="1">
      <c r="A180" s="579"/>
      <c r="B180" s="1158" t="s">
        <v>544</v>
      </c>
      <c r="C180" s="947"/>
      <c r="D180" s="1159" t="s">
        <v>545</v>
      </c>
      <c r="E180" s="947"/>
      <c r="F180" s="947"/>
      <c r="G180" s="947"/>
      <c r="H180" s="947"/>
      <c r="I180" s="947"/>
      <c r="J180" s="1020"/>
      <c r="K180" s="765"/>
    </row>
    <row r="181" spans="1:11" ht="15.75" customHeight="1">
      <c r="A181" s="579"/>
      <c r="B181" s="1151"/>
      <c r="C181" s="947"/>
      <c r="D181" s="1160" t="s">
        <v>546</v>
      </c>
      <c r="E181" s="947"/>
      <c r="F181" s="947"/>
      <c r="G181" s="947"/>
      <c r="H181" s="947"/>
      <c r="I181" s="947"/>
      <c r="J181" s="1020"/>
      <c r="K181" s="766"/>
    </row>
    <row r="182" spans="1:11" ht="15.75" customHeight="1">
      <c r="A182" s="579"/>
      <c r="B182" s="1134"/>
      <c r="C182" s="1037"/>
      <c r="D182" s="1161" t="s">
        <v>547</v>
      </c>
      <c r="E182" s="1037"/>
      <c r="F182" s="1037"/>
      <c r="G182" s="1037"/>
      <c r="H182" s="1037"/>
      <c r="I182" s="1037"/>
      <c r="J182" s="1038"/>
      <c r="K182" s="765"/>
    </row>
    <row r="183" spans="1:11" ht="7.5" customHeight="1">
      <c r="A183" s="579"/>
      <c r="B183" s="1162"/>
      <c r="C183" s="949"/>
      <c r="D183" s="949"/>
      <c r="E183" s="949"/>
      <c r="F183" s="949"/>
      <c r="G183" s="949"/>
      <c r="H183" s="949"/>
      <c r="I183" s="949"/>
      <c r="J183" s="950"/>
      <c r="K183" s="767"/>
    </row>
    <row r="184" spans="1:11" ht="22.5" customHeight="1">
      <c r="A184" s="579"/>
      <c r="B184" s="1046" t="s">
        <v>548</v>
      </c>
      <c r="C184" s="949"/>
      <c r="D184" s="949"/>
      <c r="E184" s="949"/>
      <c r="F184" s="949"/>
      <c r="G184" s="949"/>
      <c r="H184" s="949"/>
      <c r="I184" s="949"/>
      <c r="J184" s="950"/>
      <c r="K184" s="596"/>
    </row>
    <row r="185" spans="1:11" ht="10.5" customHeight="1">
      <c r="A185" s="579"/>
      <c r="B185" s="1112"/>
      <c r="C185" s="949"/>
      <c r="D185" s="949"/>
      <c r="E185" s="949"/>
      <c r="F185" s="949"/>
      <c r="G185" s="949"/>
      <c r="H185" s="949"/>
      <c r="I185" s="949"/>
      <c r="J185" s="950"/>
      <c r="K185" s="715"/>
    </row>
    <row r="186" spans="1:11" ht="15.75" customHeight="1">
      <c r="A186" s="579"/>
      <c r="B186" s="1113" t="s">
        <v>1147</v>
      </c>
      <c r="C186" s="949"/>
      <c r="D186" s="949"/>
      <c r="E186" s="949"/>
      <c r="F186" s="949"/>
      <c r="G186" s="949"/>
      <c r="H186" s="949"/>
      <c r="I186" s="949"/>
      <c r="J186" s="950"/>
      <c r="K186" s="716"/>
    </row>
    <row r="187" spans="1:11" ht="15.75" customHeight="1">
      <c r="A187" s="579"/>
      <c r="B187" s="1050" t="s">
        <v>550</v>
      </c>
      <c r="C187" s="949"/>
      <c r="D187" s="949"/>
      <c r="E187" s="949"/>
      <c r="F187" s="949"/>
      <c r="G187" s="949"/>
      <c r="H187" s="949"/>
      <c r="I187" s="950"/>
      <c r="J187" s="749" t="s">
        <v>447</v>
      </c>
      <c r="K187" s="593"/>
    </row>
    <row r="188" spans="1:11" ht="15.75" customHeight="1">
      <c r="A188" s="579"/>
      <c r="B188" s="768" t="s">
        <v>369</v>
      </c>
      <c r="C188" s="1123" t="s">
        <v>551</v>
      </c>
      <c r="D188" s="949"/>
      <c r="E188" s="949"/>
      <c r="F188" s="949"/>
      <c r="G188" s="949"/>
      <c r="H188" s="949"/>
      <c r="I188" s="949"/>
      <c r="J188" s="742">
        <f>J63</f>
        <v>2179.5950000000003</v>
      </c>
      <c r="K188" s="704"/>
    </row>
    <row r="189" spans="1:11" ht="15.75" customHeight="1">
      <c r="A189" s="579"/>
      <c r="B189" s="768" t="s">
        <v>371</v>
      </c>
      <c r="C189" s="1123" t="s">
        <v>552</v>
      </c>
      <c r="D189" s="949"/>
      <c r="E189" s="949"/>
      <c r="F189" s="949"/>
      <c r="G189" s="949"/>
      <c r="H189" s="949"/>
      <c r="I189" s="949"/>
      <c r="J189" s="742">
        <f>J115</f>
        <v>1140.6599999999999</v>
      </c>
      <c r="K189" s="704"/>
    </row>
    <row r="190" spans="1:11" ht="15.75" customHeight="1">
      <c r="A190" s="579"/>
      <c r="B190" s="768" t="s">
        <v>373</v>
      </c>
      <c r="C190" s="1123" t="s">
        <v>553</v>
      </c>
      <c r="D190" s="949"/>
      <c r="E190" s="949"/>
      <c r="F190" s="949"/>
      <c r="G190" s="949"/>
      <c r="H190" s="949"/>
      <c r="I190" s="949"/>
      <c r="J190" s="742">
        <f>J124</f>
        <v>122.11000000000001</v>
      </c>
      <c r="K190" s="704"/>
    </row>
    <row r="191" spans="1:11" ht="15.75" customHeight="1">
      <c r="A191" s="579"/>
      <c r="B191" s="768" t="s">
        <v>375</v>
      </c>
      <c r="C191" s="1123" t="s">
        <v>554</v>
      </c>
      <c r="D191" s="949"/>
      <c r="E191" s="949"/>
      <c r="F191" s="949"/>
      <c r="G191" s="949"/>
      <c r="H191" s="949"/>
      <c r="I191" s="949"/>
      <c r="J191" s="742">
        <f>J150</f>
        <v>313.70446666666675</v>
      </c>
      <c r="K191" s="704"/>
    </row>
    <row r="192" spans="1:11" ht="15.75" customHeight="1">
      <c r="A192" s="579"/>
      <c r="B192" s="768" t="s">
        <v>417</v>
      </c>
      <c r="C192" s="1123" t="s">
        <v>555</v>
      </c>
      <c r="D192" s="949"/>
      <c r="E192" s="949"/>
      <c r="F192" s="949"/>
      <c r="G192" s="949"/>
      <c r="H192" s="949"/>
      <c r="I192" s="949"/>
      <c r="J192" s="742">
        <f>J157</f>
        <v>0</v>
      </c>
      <c r="K192" s="704"/>
    </row>
    <row r="193" spans="1:11" ht="15.75" customHeight="1">
      <c r="A193" s="579"/>
      <c r="B193" s="1124" t="s">
        <v>556</v>
      </c>
      <c r="C193" s="949"/>
      <c r="D193" s="949"/>
      <c r="E193" s="949"/>
      <c r="F193" s="949"/>
      <c r="G193" s="949"/>
      <c r="H193" s="949"/>
      <c r="I193" s="949"/>
      <c r="J193" s="743">
        <f>ROUND(SUM(J188:J192),2)</f>
        <v>3756.07</v>
      </c>
      <c r="K193" s="704"/>
    </row>
    <row r="194" spans="1:11" ht="15.75" customHeight="1">
      <c r="A194" s="579"/>
      <c r="B194" s="769" t="s">
        <v>421</v>
      </c>
      <c r="C194" s="1123" t="s">
        <v>528</v>
      </c>
      <c r="D194" s="949"/>
      <c r="E194" s="949"/>
      <c r="F194" s="949"/>
      <c r="G194" s="949"/>
      <c r="H194" s="949"/>
      <c r="I194" s="949"/>
      <c r="J194" s="742">
        <f>J177</f>
        <v>1053.4100000000001</v>
      </c>
      <c r="K194" s="704"/>
    </row>
    <row r="195" spans="1:11" ht="15.75" customHeight="1">
      <c r="A195" s="579"/>
      <c r="B195" s="1124" t="s">
        <v>666</v>
      </c>
      <c r="C195" s="949"/>
      <c r="D195" s="949"/>
      <c r="E195" s="949"/>
      <c r="F195" s="949"/>
      <c r="G195" s="949"/>
      <c r="H195" s="949"/>
      <c r="I195" s="949"/>
      <c r="J195" s="743">
        <f>J193+J194</f>
        <v>4809.4800000000005</v>
      </c>
      <c r="K195" s="704"/>
    </row>
    <row r="196" spans="1:11" ht="35.25" customHeight="1">
      <c r="A196" s="579"/>
      <c r="B196" s="1169" t="s">
        <v>558</v>
      </c>
      <c r="C196" s="949"/>
      <c r="D196" s="949"/>
      <c r="E196" s="949"/>
      <c r="F196" s="949"/>
      <c r="G196" s="949"/>
      <c r="H196" s="949"/>
      <c r="I196" s="949"/>
      <c r="J196" s="950"/>
      <c r="K196" s="874"/>
    </row>
    <row r="197" spans="1:11" ht="10.5" customHeight="1">
      <c r="A197" s="579"/>
      <c r="B197" s="1170"/>
      <c r="C197" s="949"/>
      <c r="D197" s="949"/>
      <c r="E197" s="949"/>
      <c r="F197" s="949"/>
      <c r="G197" s="949"/>
      <c r="H197" s="949"/>
      <c r="I197" s="949"/>
      <c r="J197" s="950"/>
      <c r="K197" s="771"/>
    </row>
    <row r="198" spans="1:11" ht="15.75" customHeight="1">
      <c r="A198" s="579"/>
      <c r="B198" s="772"/>
      <c r="C198" s="587"/>
      <c r="D198" s="587"/>
      <c r="E198" s="587"/>
      <c r="F198" s="587"/>
      <c r="G198" s="587"/>
      <c r="H198" s="587"/>
      <c r="I198" s="773"/>
      <c r="J198" s="774"/>
      <c r="K198" s="773"/>
    </row>
    <row r="199" spans="1:11" ht="15.75" customHeight="1">
      <c r="A199" s="579"/>
      <c r="B199" s="1129" t="s">
        <v>1033</v>
      </c>
      <c r="C199" s="947"/>
      <c r="D199" s="947"/>
      <c r="E199" s="947"/>
      <c r="F199" s="947"/>
      <c r="G199" s="947"/>
      <c r="H199" s="947"/>
      <c r="I199" s="947"/>
      <c r="J199" s="1020"/>
      <c r="K199" s="588"/>
    </row>
    <row r="200" spans="1:11" ht="42" customHeight="1">
      <c r="A200" s="579"/>
      <c r="B200" s="1075" t="s">
        <v>560</v>
      </c>
      <c r="C200" s="949"/>
      <c r="D200" s="949"/>
      <c r="E200" s="950"/>
      <c r="F200" s="1075" t="s">
        <v>667</v>
      </c>
      <c r="G200" s="950"/>
      <c r="H200" s="749" t="s">
        <v>563</v>
      </c>
      <c r="I200" s="1075" t="s">
        <v>564</v>
      </c>
      <c r="J200" s="950"/>
      <c r="K200" s="593"/>
    </row>
    <row r="201" spans="1:11" ht="39" hidden="1" customHeight="1" outlineLevel="1">
      <c r="A201" s="579"/>
      <c r="B201" s="1051" t="s">
        <v>565</v>
      </c>
      <c r="C201" s="949"/>
      <c r="D201" s="949"/>
      <c r="E201" s="950"/>
      <c r="F201" s="1140">
        <v>0</v>
      </c>
      <c r="G201" s="950"/>
      <c r="H201" s="875">
        <f t="shared" ref="H201:H202" si="3">E201*F201</f>
        <v>0</v>
      </c>
      <c r="I201" s="1140">
        <f t="shared" ref="I201:I203" si="4">F201*H201</f>
        <v>0</v>
      </c>
      <c r="J201" s="950"/>
      <c r="K201" s="779"/>
    </row>
    <row r="202" spans="1:11" ht="39" hidden="1" customHeight="1" outlineLevel="1">
      <c r="A202" s="579"/>
      <c r="B202" s="1051" t="s">
        <v>566</v>
      </c>
      <c r="C202" s="949"/>
      <c r="D202" s="949"/>
      <c r="E202" s="950"/>
      <c r="F202" s="1140">
        <v>0</v>
      </c>
      <c r="G202" s="950"/>
      <c r="H202" s="875">
        <f t="shared" si="3"/>
        <v>0</v>
      </c>
      <c r="I202" s="1140">
        <f t="shared" si="4"/>
        <v>0</v>
      </c>
      <c r="J202" s="950"/>
      <c r="K202" s="779"/>
    </row>
    <row r="203" spans="1:11" ht="39" customHeight="1" collapsed="1">
      <c r="A203" s="579"/>
      <c r="B203" s="1141" t="str">
        <f>B3</f>
        <v>A NÃO TEM MAIS POSTOS-77</v>
      </c>
      <c r="C203" s="949"/>
      <c r="D203" s="949"/>
      <c r="E203" s="950"/>
      <c r="F203" s="1131">
        <f>J195</f>
        <v>4809.4800000000005</v>
      </c>
      <c r="G203" s="950"/>
      <c r="H203" s="875">
        <f>I17</f>
        <v>0</v>
      </c>
      <c r="I203" s="1140">
        <f t="shared" si="4"/>
        <v>0</v>
      </c>
      <c r="J203" s="950"/>
      <c r="K203" s="779"/>
    </row>
    <row r="204" spans="1:11" ht="39" hidden="1" customHeight="1" outlineLevel="1">
      <c r="A204" s="579"/>
      <c r="B204" s="1051" t="s">
        <v>567</v>
      </c>
      <c r="C204" s="949"/>
      <c r="D204" s="949"/>
      <c r="E204" s="950"/>
      <c r="F204" s="1131">
        <v>0</v>
      </c>
      <c r="G204" s="950"/>
      <c r="H204" s="875">
        <f t="shared" ref="H204:I204" si="5">E204*G204</f>
        <v>0</v>
      </c>
      <c r="I204" s="1140">
        <f t="shared" si="5"/>
        <v>0</v>
      </c>
      <c r="J204" s="950"/>
      <c r="K204" s="779"/>
    </row>
    <row r="205" spans="1:11" ht="39" hidden="1" customHeight="1" outlineLevel="1">
      <c r="A205" s="579"/>
      <c r="B205" s="1051" t="s">
        <v>568</v>
      </c>
      <c r="C205" s="949"/>
      <c r="D205" s="949"/>
      <c r="E205" s="950"/>
      <c r="F205" s="1131">
        <v>0</v>
      </c>
      <c r="G205" s="950"/>
      <c r="H205" s="875">
        <f t="shared" ref="H205:I205" si="6">E205*G205</f>
        <v>0</v>
      </c>
      <c r="I205" s="1140">
        <f t="shared" si="6"/>
        <v>0</v>
      </c>
      <c r="J205" s="950"/>
      <c r="K205" s="779"/>
    </row>
    <row r="206" spans="1:11" ht="39" hidden="1" customHeight="1" outlineLevel="1">
      <c r="A206" s="579"/>
      <c r="B206" s="1142" t="s">
        <v>1148</v>
      </c>
      <c r="C206" s="949"/>
      <c r="D206" s="949"/>
      <c r="E206" s="950"/>
      <c r="F206" s="1140">
        <v>0</v>
      </c>
      <c r="G206" s="950"/>
      <c r="H206" s="875">
        <f t="shared" ref="H206:I206" si="7">E206*G206</f>
        <v>0</v>
      </c>
      <c r="I206" s="1140">
        <f t="shared" si="7"/>
        <v>0</v>
      </c>
      <c r="J206" s="950"/>
      <c r="K206" s="779"/>
    </row>
    <row r="207" spans="1:11" ht="15.75" customHeight="1" collapsed="1">
      <c r="A207" s="579"/>
      <c r="B207" s="1143" t="s">
        <v>570</v>
      </c>
      <c r="C207" s="949"/>
      <c r="D207" s="949"/>
      <c r="E207" s="949"/>
      <c r="F207" s="949"/>
      <c r="G207" s="950"/>
      <c r="H207" s="906">
        <f>SUM(H201:H206)</f>
        <v>0</v>
      </c>
      <c r="I207" s="1176">
        <f>SUM(I201:J206)</f>
        <v>0</v>
      </c>
      <c r="J207" s="950"/>
      <c r="K207" s="786"/>
    </row>
    <row r="208" spans="1:11" ht="9" customHeight="1">
      <c r="A208" s="579"/>
      <c r="B208" s="1144"/>
      <c r="C208" s="1145"/>
      <c r="D208" s="1145"/>
      <c r="E208" s="1145"/>
      <c r="F208" s="1145"/>
      <c r="G208" s="1145"/>
      <c r="H208" s="1145"/>
      <c r="I208" s="1145"/>
      <c r="J208" s="1146"/>
      <c r="K208" s="715"/>
    </row>
    <row r="209" spans="1:11" ht="15.75" customHeight="1">
      <c r="A209" s="579"/>
      <c r="B209" s="1147" t="s">
        <v>571</v>
      </c>
      <c r="C209" s="1037"/>
      <c r="D209" s="1037"/>
      <c r="E209" s="1037"/>
      <c r="F209" s="1037"/>
      <c r="G209" s="1037"/>
      <c r="H209" s="1037"/>
      <c r="I209" s="1037"/>
      <c r="J209" s="1038"/>
      <c r="K209" s="596"/>
    </row>
    <row r="210" spans="1:11" ht="9" customHeight="1">
      <c r="A210" s="579"/>
      <c r="B210" s="1148"/>
      <c r="C210" s="949"/>
      <c r="D210" s="949"/>
      <c r="E210" s="949"/>
      <c r="F210" s="949"/>
      <c r="G210" s="949"/>
      <c r="H210" s="949"/>
      <c r="I210" s="949"/>
      <c r="J210" s="950"/>
      <c r="K210" s="787"/>
    </row>
    <row r="211" spans="1:11" ht="15.75" customHeight="1">
      <c r="A211" s="579"/>
      <c r="B211" s="1072" t="s">
        <v>572</v>
      </c>
      <c r="C211" s="949"/>
      <c r="D211" s="949"/>
      <c r="E211" s="949"/>
      <c r="F211" s="949"/>
      <c r="G211" s="950"/>
      <c r="H211" s="1149">
        <f>$I$207</f>
        <v>0</v>
      </c>
      <c r="I211" s="949"/>
      <c r="J211" s="950"/>
      <c r="K211" s="788"/>
    </row>
    <row r="212" spans="1:11" ht="9" customHeight="1">
      <c r="A212" s="579"/>
      <c r="B212" s="1135"/>
      <c r="C212" s="954"/>
      <c r="D212" s="954"/>
      <c r="E212" s="954"/>
      <c r="F212" s="954"/>
      <c r="G212" s="954"/>
      <c r="H212" s="954"/>
      <c r="I212" s="954"/>
      <c r="J212" s="1136"/>
      <c r="K212" s="789"/>
    </row>
    <row r="213" spans="1:11" ht="15.75" customHeight="1">
      <c r="A213" s="579"/>
      <c r="B213" s="1072" t="s">
        <v>573</v>
      </c>
      <c r="C213" s="949"/>
      <c r="D213" s="949"/>
      <c r="E213" s="949"/>
      <c r="F213" s="949"/>
      <c r="G213" s="950"/>
      <c r="H213" s="1073">
        <f>$I$11</f>
        <v>30</v>
      </c>
      <c r="I213" s="949"/>
      <c r="J213" s="950"/>
      <c r="K213" s="790"/>
    </row>
    <row r="214" spans="1:11" ht="9" customHeight="1">
      <c r="A214" s="579"/>
      <c r="B214" s="1137"/>
      <c r="C214" s="949"/>
      <c r="D214" s="949"/>
      <c r="E214" s="949"/>
      <c r="F214" s="949"/>
      <c r="G214" s="949"/>
      <c r="H214" s="949"/>
      <c r="I214" s="949"/>
      <c r="J214" s="950"/>
      <c r="K214" s="791"/>
    </row>
    <row r="215" spans="1:11" ht="15.75" customHeight="1">
      <c r="A215" s="579"/>
      <c r="B215" s="1072" t="s">
        <v>1149</v>
      </c>
      <c r="C215" s="949"/>
      <c r="D215" s="949"/>
      <c r="E215" s="949"/>
      <c r="F215" s="949"/>
      <c r="G215" s="950"/>
      <c r="H215" s="1138">
        <f>ROUND(H211*H213,2)</f>
        <v>0</v>
      </c>
      <c r="I215" s="949"/>
      <c r="J215" s="950"/>
      <c r="K215" s="792"/>
    </row>
    <row r="216" spans="1:11" ht="9" customHeight="1">
      <c r="A216" s="579"/>
      <c r="B216" s="1139"/>
      <c r="C216" s="949"/>
      <c r="D216" s="949"/>
      <c r="E216" s="949"/>
      <c r="F216" s="949"/>
      <c r="G216" s="949"/>
      <c r="H216" s="949"/>
      <c r="I216" s="949"/>
      <c r="J216" s="950"/>
      <c r="K216" s="587"/>
    </row>
    <row r="217" spans="1:11" ht="15.75" customHeight="1">
      <c r="A217" s="579"/>
      <c r="B217" s="579"/>
      <c r="C217" s="579"/>
      <c r="D217" s="579"/>
      <c r="E217" s="579"/>
      <c r="F217" s="579"/>
      <c r="G217" s="579"/>
      <c r="H217" s="579"/>
      <c r="I217" s="579"/>
      <c r="J217" s="579"/>
      <c r="K217" s="579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3">
    <mergeCell ref="C101:I101"/>
    <mergeCell ref="C102:I102"/>
    <mergeCell ref="C103:I103"/>
    <mergeCell ref="B89:J89"/>
    <mergeCell ref="B90:J90"/>
    <mergeCell ref="C91:I91"/>
    <mergeCell ref="C92:H92"/>
    <mergeCell ref="C93:H93"/>
    <mergeCell ref="C94:H94"/>
    <mergeCell ref="C95:H95"/>
    <mergeCell ref="C96:H96"/>
    <mergeCell ref="B63:I63"/>
    <mergeCell ref="B64:J64"/>
    <mergeCell ref="B65:J65"/>
    <mergeCell ref="B66:J66"/>
    <mergeCell ref="B67:J67"/>
    <mergeCell ref="C97:I97"/>
    <mergeCell ref="C98:H98"/>
    <mergeCell ref="C99:H99"/>
    <mergeCell ref="C100:H100"/>
    <mergeCell ref="C82:H82"/>
    <mergeCell ref="C83:H83"/>
    <mergeCell ref="C84:H84"/>
    <mergeCell ref="C85:H85"/>
    <mergeCell ref="B86:H86"/>
    <mergeCell ref="B88:J88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79:H79"/>
    <mergeCell ref="C80:D80"/>
    <mergeCell ref="C81:H81"/>
    <mergeCell ref="C70:H70"/>
    <mergeCell ref="C71:H71"/>
    <mergeCell ref="B72:I72"/>
    <mergeCell ref="B73:J73"/>
    <mergeCell ref="B74:J74"/>
    <mergeCell ref="B75:J75"/>
    <mergeCell ref="B76:J76"/>
    <mergeCell ref="C77:H77"/>
    <mergeCell ref="C78:H78"/>
    <mergeCell ref="C57:I57"/>
    <mergeCell ref="B58:I58"/>
    <mergeCell ref="C59:I59"/>
    <mergeCell ref="C60:I60"/>
    <mergeCell ref="B61:I61"/>
    <mergeCell ref="B62:J62"/>
    <mergeCell ref="C33:F33"/>
    <mergeCell ref="C34:F34"/>
    <mergeCell ref="G34:H34"/>
    <mergeCell ref="I34:J34"/>
    <mergeCell ref="C35:F35"/>
    <mergeCell ref="G35:H35"/>
    <mergeCell ref="I35:J35"/>
    <mergeCell ref="B68:J68"/>
    <mergeCell ref="C69:I69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C54:E54"/>
    <mergeCell ref="F54:H54"/>
    <mergeCell ref="C55:E55"/>
    <mergeCell ref="F55:H55"/>
    <mergeCell ref="C56:I56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92:I192"/>
    <mergeCell ref="B193:I193"/>
    <mergeCell ref="C194:I194"/>
    <mergeCell ref="B195:I19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B141:J141"/>
    <mergeCell ref="C142:I142"/>
    <mergeCell ref="C143:I143"/>
    <mergeCell ref="B144:I144"/>
    <mergeCell ref="B145:J145"/>
    <mergeCell ref="B146:J146"/>
    <mergeCell ref="C189:I189"/>
    <mergeCell ref="C190:I190"/>
    <mergeCell ref="C191:I191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88:I188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F206:G206"/>
    <mergeCell ref="B207:G207"/>
    <mergeCell ref="B208:J208"/>
    <mergeCell ref="B209:J209"/>
    <mergeCell ref="B210:J210"/>
    <mergeCell ref="B215:G215"/>
    <mergeCell ref="B216:J216"/>
    <mergeCell ref="B211:G211"/>
    <mergeCell ref="H211:J211"/>
    <mergeCell ref="B212:J212"/>
    <mergeCell ref="B213:G213"/>
    <mergeCell ref="H213:J213"/>
    <mergeCell ref="B214:J214"/>
    <mergeCell ref="H215:J215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B196:J196"/>
    <mergeCell ref="B197:J197"/>
    <mergeCell ref="B199:J199"/>
    <mergeCell ref="B200:E200"/>
    <mergeCell ref="F200:G200"/>
    <mergeCell ref="B201:E201"/>
    <mergeCell ref="F201:G201"/>
    <mergeCell ref="B202:E202"/>
    <mergeCell ref="F202:G202"/>
    <mergeCell ref="B203:E203"/>
    <mergeCell ref="F203:G203"/>
    <mergeCell ref="B204:E204"/>
    <mergeCell ref="F204:G204"/>
    <mergeCell ref="F205:G205"/>
    <mergeCell ref="B205:E205"/>
    <mergeCell ref="B206:E206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56:I156"/>
    <mergeCell ref="B157:I157"/>
    <mergeCell ref="B158:J158"/>
    <mergeCell ref="B159:J159"/>
    <mergeCell ref="B161:J161"/>
    <mergeCell ref="C176:H176"/>
    <mergeCell ref="B177:I177"/>
    <mergeCell ref="B178:J178"/>
    <mergeCell ref="B179:H179"/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</mergeCells>
  <conditionalFormatting sqref="I49:I50">
    <cfRule type="cellIs" dxfId="5" priority="1" operator="equal">
      <formula>0</formula>
    </cfRule>
  </conditionalFormatting>
  <conditionalFormatting sqref="I48">
    <cfRule type="cellIs" dxfId="4" priority="2" operator="equal">
      <formula>0</formula>
    </cfRule>
  </conditionalFormatting>
  <pageMargins left="0.511811024" right="0.511811024" top="0.78740157499999996" bottom="0.78740157499999996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7" width="15.140625" customWidth="1"/>
    <col min="8" max="8" width="14.42578125" customWidth="1"/>
    <col min="9" max="9" width="11.28515625" customWidth="1"/>
    <col min="10" max="10" width="14.5703125" customWidth="1"/>
    <col min="11" max="11" width="1.42578125" customWidth="1"/>
  </cols>
  <sheetData>
    <row r="1" spans="1:11" ht="11.25" customHeight="1">
      <c r="A1" s="579"/>
      <c r="B1" s="579"/>
      <c r="C1" s="579"/>
      <c r="D1" s="579"/>
      <c r="E1" s="579"/>
      <c r="F1" s="579"/>
      <c r="G1" s="579"/>
      <c r="H1" s="579"/>
      <c r="I1" s="579"/>
      <c r="J1" s="904"/>
      <c r="K1" s="579"/>
    </row>
    <row r="2" spans="1:11" ht="11.25" customHeight="1">
      <c r="A2" s="579"/>
      <c r="B2" s="1066" t="str">
        <f>'1-ABA-DE-CARREGAMENTO'!C11</f>
        <v xml:space="preserve"> S E R V I Ç O S     -    INTERPRETE DE LIBRAS e SINAIS </v>
      </c>
      <c r="C2" s="1054"/>
      <c r="D2" s="1054"/>
      <c r="E2" s="1054"/>
      <c r="F2" s="1054"/>
      <c r="G2" s="1054"/>
      <c r="H2" s="1054"/>
      <c r="I2" s="1054"/>
      <c r="J2" s="1055"/>
      <c r="K2" s="583"/>
    </row>
    <row r="3" spans="1:11" ht="11.25" customHeight="1">
      <c r="A3" s="579"/>
      <c r="B3" s="1067" t="str">
        <f>'1-ABA-DE-CARREGAMENTO'!M33</f>
        <v>A NÃO TEM MAIS POSTOS-88</v>
      </c>
      <c r="C3" s="1037"/>
      <c r="D3" s="1037"/>
      <c r="E3" s="1037"/>
      <c r="F3" s="1037"/>
      <c r="G3" s="1037"/>
      <c r="H3" s="1037"/>
      <c r="I3" s="1037"/>
      <c r="J3" s="1038"/>
      <c r="K3" s="584"/>
    </row>
    <row r="4" spans="1:11" ht="11.25" customHeight="1">
      <c r="A4" s="579"/>
      <c r="B4" s="1060" t="s">
        <v>366</v>
      </c>
      <c r="C4" s="1037"/>
      <c r="D4" s="1037"/>
      <c r="E4" s="1037"/>
      <c r="F4" s="1038"/>
      <c r="G4" s="1068">
        <f>'1-ABA-DE-CARREGAMENTO'!C12</f>
        <v>0</v>
      </c>
      <c r="H4" s="1037"/>
      <c r="I4" s="1037"/>
      <c r="J4" s="1038"/>
      <c r="K4" s="585"/>
    </row>
    <row r="5" spans="1:11" ht="11.25" customHeight="1">
      <c r="A5" s="579"/>
      <c r="B5" s="1051" t="s">
        <v>367</v>
      </c>
      <c r="C5" s="949"/>
      <c r="D5" s="949"/>
      <c r="E5" s="949"/>
      <c r="F5" s="950"/>
      <c r="G5" s="1069">
        <f>'1-ABA-DE-CARREGAMENTO'!C13</f>
        <v>0</v>
      </c>
      <c r="H5" s="949"/>
      <c r="I5" s="949"/>
      <c r="J5" s="950"/>
      <c r="K5" s="585"/>
    </row>
    <row r="6" spans="1:11" ht="11.25" customHeight="1">
      <c r="A6" s="579"/>
      <c r="B6" s="1070">
        <f>'1-ABA-DE-CARREGAMENTO'!C16</f>
        <v>0</v>
      </c>
      <c r="C6" s="949"/>
      <c r="D6" s="949"/>
      <c r="E6" s="949"/>
      <c r="F6" s="949"/>
      <c r="G6" s="949"/>
      <c r="H6" s="949"/>
      <c r="I6" s="949"/>
      <c r="J6" s="950"/>
      <c r="K6" s="587"/>
    </row>
    <row r="7" spans="1:11" ht="11.25" customHeight="1">
      <c r="A7" s="579"/>
      <c r="B7" s="1050" t="s">
        <v>368</v>
      </c>
      <c r="C7" s="949"/>
      <c r="D7" s="949"/>
      <c r="E7" s="949"/>
      <c r="F7" s="949"/>
      <c r="G7" s="949"/>
      <c r="H7" s="949"/>
      <c r="I7" s="949"/>
      <c r="J7" s="950"/>
      <c r="K7" s="588"/>
    </row>
    <row r="8" spans="1:11" ht="11.25" customHeight="1">
      <c r="A8" s="579"/>
      <c r="B8" s="589" t="s">
        <v>369</v>
      </c>
      <c r="C8" s="1051" t="s">
        <v>370</v>
      </c>
      <c r="D8" s="949"/>
      <c r="E8" s="949"/>
      <c r="F8" s="949"/>
      <c r="G8" s="949"/>
      <c r="H8" s="950"/>
      <c r="I8" s="1071">
        <f>'1-ABA-DE-CARREGAMENTO'!C16</f>
        <v>0</v>
      </c>
      <c r="J8" s="950"/>
      <c r="K8" s="590"/>
    </row>
    <row r="9" spans="1:11" ht="11.25" customHeight="1">
      <c r="A9" s="579"/>
      <c r="B9" s="589" t="s">
        <v>371</v>
      </c>
      <c r="C9" s="1051" t="s">
        <v>372</v>
      </c>
      <c r="D9" s="949"/>
      <c r="E9" s="949"/>
      <c r="F9" s="949"/>
      <c r="G9" s="949"/>
      <c r="H9" s="950"/>
      <c r="I9" s="1069" t="str">
        <f>'1-ABA-DE-CARREGAMENTO'!C14</f>
        <v xml:space="preserve">SANTO-AUGUSTO </v>
      </c>
      <c r="J9" s="950"/>
      <c r="K9" s="585"/>
    </row>
    <row r="10" spans="1:11" ht="11.25" customHeight="1">
      <c r="A10" s="579"/>
      <c r="B10" s="589" t="s">
        <v>373</v>
      </c>
      <c r="C10" s="1051" t="s">
        <v>374</v>
      </c>
      <c r="D10" s="949"/>
      <c r="E10" s="949"/>
      <c r="F10" s="949"/>
      <c r="G10" s="949"/>
      <c r="H10" s="950"/>
      <c r="I10" s="1069" t="str">
        <f>VLOOKUP('1-ABA-DE-CARREGAMENTO'!M35,'DADOS-CADASTRAIS'!C6:O102,1,0)</f>
        <v>RS000947/2019-</v>
      </c>
      <c r="J10" s="950"/>
      <c r="K10" s="585"/>
    </row>
    <row r="11" spans="1:11" ht="11.25" customHeight="1">
      <c r="A11" s="579"/>
      <c r="B11" s="589" t="s">
        <v>375</v>
      </c>
      <c r="C11" s="1051" t="s">
        <v>376</v>
      </c>
      <c r="D11" s="949"/>
      <c r="E11" s="949"/>
      <c r="F11" s="949"/>
      <c r="G11" s="949"/>
      <c r="H11" s="950"/>
      <c r="I11" s="1175">
        <f>'1-ABA-DE-CARREGAMENTO'!M94</f>
        <v>30</v>
      </c>
      <c r="J11" s="950"/>
      <c r="K11" s="585"/>
    </row>
    <row r="12" spans="1:11" ht="11.25" customHeight="1">
      <c r="A12" s="579"/>
      <c r="B12" s="1074" t="s">
        <v>377</v>
      </c>
      <c r="C12" s="949"/>
      <c r="D12" s="949"/>
      <c r="E12" s="949"/>
      <c r="F12" s="949"/>
      <c r="G12" s="949"/>
      <c r="H12" s="949"/>
      <c r="I12" s="949"/>
      <c r="J12" s="950"/>
      <c r="K12" s="592"/>
    </row>
    <row r="13" spans="1:11" ht="40.5" customHeight="1">
      <c r="A13" s="579"/>
      <c r="B13" s="1075" t="str">
        <f>'1-ABA-DE-CARREGAMENTO'!C11</f>
        <v xml:space="preserve"> S E R V I Ç O S     -    INTERPRETE DE LIBRAS e SINAIS </v>
      </c>
      <c r="C13" s="949"/>
      <c r="D13" s="949"/>
      <c r="E13" s="949"/>
      <c r="F13" s="949"/>
      <c r="G13" s="1075" t="s">
        <v>378</v>
      </c>
      <c r="H13" s="950"/>
      <c r="I13" s="1075" t="s">
        <v>379</v>
      </c>
      <c r="J13" s="950"/>
      <c r="K13" s="593"/>
    </row>
    <row r="14" spans="1:11" ht="11.25" hidden="1" customHeight="1" outlineLevel="1">
      <c r="A14" s="579"/>
      <c r="B14" s="1040" t="s">
        <v>380</v>
      </c>
      <c r="C14" s="949"/>
      <c r="D14" s="949"/>
      <c r="E14" s="949"/>
      <c r="F14" s="950"/>
      <c r="G14" s="1041" t="s">
        <v>381</v>
      </c>
      <c r="H14" s="950"/>
      <c r="I14" s="1042" t="s">
        <v>382</v>
      </c>
      <c r="J14" s="950"/>
      <c r="K14" s="594"/>
    </row>
    <row r="15" spans="1:11" ht="11.25" hidden="1" customHeight="1" outlineLevel="1">
      <c r="A15" s="579"/>
      <c r="B15" s="1040" t="s">
        <v>383</v>
      </c>
      <c r="C15" s="949"/>
      <c r="D15" s="949"/>
      <c r="E15" s="949"/>
      <c r="F15" s="950"/>
      <c r="G15" s="1041" t="s">
        <v>381</v>
      </c>
      <c r="H15" s="950"/>
      <c r="I15" s="1042" t="s">
        <v>382</v>
      </c>
      <c r="J15" s="950"/>
      <c r="K15" s="594"/>
    </row>
    <row r="16" spans="1:11" ht="11.25" hidden="1" customHeight="1" outlineLevel="1">
      <c r="A16" s="579"/>
      <c r="B16" s="1040" t="s">
        <v>384</v>
      </c>
      <c r="C16" s="949"/>
      <c r="D16" s="949"/>
      <c r="E16" s="949"/>
      <c r="F16" s="950"/>
      <c r="G16" s="1041" t="s">
        <v>381</v>
      </c>
      <c r="H16" s="950"/>
      <c r="I16" s="1042" t="s">
        <v>382</v>
      </c>
      <c r="J16" s="950"/>
      <c r="K16" s="594"/>
    </row>
    <row r="17" spans="1:11" ht="11.25" customHeight="1" collapsed="1">
      <c r="A17" s="579"/>
      <c r="B17" s="1040" t="str">
        <f>B3</f>
        <v>A NÃO TEM MAIS POSTOS-88</v>
      </c>
      <c r="C17" s="949"/>
      <c r="D17" s="949"/>
      <c r="E17" s="949"/>
      <c r="F17" s="950"/>
      <c r="G17" s="1041" t="s">
        <v>381</v>
      </c>
      <c r="H17" s="950"/>
      <c r="I17" s="1042">
        <f>'1-ABA-DE-CARREGAMENTO'!M92</f>
        <v>0</v>
      </c>
      <c r="J17" s="950"/>
      <c r="K17" s="594"/>
    </row>
    <row r="18" spans="1:11" ht="11.25" hidden="1" customHeight="1" outlineLevel="1">
      <c r="A18" s="579"/>
      <c r="B18" s="1040" t="s">
        <v>385</v>
      </c>
      <c r="C18" s="949"/>
      <c r="D18" s="949"/>
      <c r="E18" s="949"/>
      <c r="F18" s="950"/>
      <c r="G18" s="1041" t="s">
        <v>381</v>
      </c>
      <c r="H18" s="950"/>
      <c r="I18" s="1042" t="s">
        <v>382</v>
      </c>
      <c r="J18" s="950"/>
      <c r="K18" s="594"/>
    </row>
    <row r="19" spans="1:11" ht="11.25" hidden="1" customHeight="1" outlineLevel="1">
      <c r="A19" s="579"/>
      <c r="B19" s="1040" t="s">
        <v>1150</v>
      </c>
      <c r="C19" s="949"/>
      <c r="D19" s="949"/>
      <c r="E19" s="949"/>
      <c r="F19" s="950"/>
      <c r="G19" s="1041" t="s">
        <v>381</v>
      </c>
      <c r="H19" s="950"/>
      <c r="I19" s="1042" t="s">
        <v>382</v>
      </c>
      <c r="J19" s="950"/>
      <c r="K19" s="594"/>
    </row>
    <row r="20" spans="1:11" ht="11.25" customHeight="1" collapsed="1">
      <c r="A20" s="579"/>
      <c r="B20" s="1044" t="s">
        <v>387</v>
      </c>
      <c r="C20" s="949"/>
      <c r="D20" s="949"/>
      <c r="E20" s="949"/>
      <c r="F20" s="949"/>
      <c r="G20" s="949"/>
      <c r="H20" s="950"/>
      <c r="I20" s="1043">
        <f>SUM(I14:I19)</f>
        <v>0</v>
      </c>
      <c r="J20" s="950"/>
      <c r="K20" s="595"/>
    </row>
    <row r="21" spans="1:11" ht="11.25" customHeight="1">
      <c r="A21" s="579"/>
      <c r="B21" s="1045"/>
      <c r="C21" s="949"/>
      <c r="D21" s="949"/>
      <c r="E21" s="949"/>
      <c r="F21" s="949"/>
      <c r="G21" s="949"/>
      <c r="H21" s="949"/>
      <c r="I21" s="949"/>
      <c r="J21" s="950"/>
      <c r="K21" s="593"/>
    </row>
    <row r="22" spans="1:11" ht="11.25" customHeight="1">
      <c r="A22" s="579"/>
      <c r="B22" s="1046" t="s">
        <v>388</v>
      </c>
      <c r="C22" s="949"/>
      <c r="D22" s="949"/>
      <c r="E22" s="949"/>
      <c r="F22" s="949"/>
      <c r="G22" s="949"/>
      <c r="H22" s="949"/>
      <c r="I22" s="949"/>
      <c r="J22" s="950"/>
      <c r="K22" s="596"/>
    </row>
    <row r="23" spans="1:11" ht="11.25" customHeight="1">
      <c r="A23" s="579"/>
      <c r="B23" s="1047"/>
      <c r="C23" s="949"/>
      <c r="D23" s="949"/>
      <c r="E23" s="949"/>
      <c r="F23" s="949"/>
      <c r="G23" s="949"/>
      <c r="H23" s="949"/>
      <c r="I23" s="949"/>
      <c r="J23" s="950"/>
      <c r="K23" s="362"/>
    </row>
    <row r="24" spans="1:11" ht="15" customHeight="1">
      <c r="A24" s="579"/>
      <c r="B24" s="1048" t="s">
        <v>1151</v>
      </c>
      <c r="C24" s="949"/>
      <c r="D24" s="949"/>
      <c r="E24" s="949"/>
      <c r="F24" s="949"/>
      <c r="G24" s="949"/>
      <c r="H24" s="949"/>
      <c r="I24" s="949"/>
      <c r="J24" s="950"/>
      <c r="K24" s="597"/>
    </row>
    <row r="25" spans="1:11" ht="15" customHeight="1">
      <c r="A25" s="579"/>
      <c r="B25" s="1049"/>
      <c r="C25" s="949"/>
      <c r="D25" s="949"/>
      <c r="E25" s="949"/>
      <c r="F25" s="949"/>
      <c r="G25" s="949"/>
      <c r="H25" s="949"/>
      <c r="I25" s="949"/>
      <c r="J25" s="950"/>
      <c r="K25" s="598"/>
    </row>
    <row r="26" spans="1:11" ht="11.25" customHeight="1">
      <c r="A26" s="593"/>
      <c r="B26" s="1050" t="s">
        <v>390</v>
      </c>
      <c r="C26" s="949"/>
      <c r="D26" s="949"/>
      <c r="E26" s="949"/>
      <c r="F26" s="949"/>
      <c r="G26" s="949"/>
      <c r="H26" s="949"/>
      <c r="I26" s="949"/>
      <c r="J26" s="950"/>
      <c r="K26" s="588"/>
    </row>
    <row r="27" spans="1:11" ht="31.5" customHeight="1">
      <c r="A27" s="579"/>
      <c r="B27" s="589">
        <v>1</v>
      </c>
      <c r="C27" s="1051" t="s">
        <v>391</v>
      </c>
      <c r="D27" s="949"/>
      <c r="E27" s="949"/>
      <c r="F27" s="949"/>
      <c r="G27" s="949"/>
      <c r="H27" s="950"/>
      <c r="I27" s="1052" t="str">
        <f>'1-ABA-DE-CARREGAMENTO'!M33</f>
        <v>A NÃO TEM MAIS POSTOS-88</v>
      </c>
      <c r="J27" s="950"/>
      <c r="K27" s="599"/>
    </row>
    <row r="28" spans="1:11" ht="11.25" customHeight="1">
      <c r="A28" s="579"/>
      <c r="B28" s="600">
        <v>2</v>
      </c>
      <c r="C28" s="1092" t="s">
        <v>392</v>
      </c>
      <c r="D28" s="949"/>
      <c r="E28" s="949"/>
      <c r="F28" s="949"/>
      <c r="G28" s="949"/>
      <c r="H28" s="950"/>
      <c r="I28" s="1056"/>
      <c r="J28" s="950"/>
      <c r="K28" s="601"/>
    </row>
    <row r="29" spans="1:11" ht="30" customHeight="1">
      <c r="A29" s="579"/>
      <c r="B29" s="589">
        <v>3</v>
      </c>
      <c r="C29" s="1057" t="s">
        <v>862</v>
      </c>
      <c r="D29" s="929"/>
      <c r="E29" s="907">
        <v>220</v>
      </c>
      <c r="F29" s="604">
        <f>'1-ABA-DE-CARREGAMENTO'!M37</f>
        <v>0</v>
      </c>
      <c r="G29" s="586" t="s">
        <v>394</v>
      </c>
      <c r="H29" s="864">
        <f>'1-ABA-DE-CARREGAMENTO'!M52</f>
        <v>220</v>
      </c>
      <c r="I29" s="1058">
        <f>F29/E29*H29</f>
        <v>0</v>
      </c>
      <c r="J29" s="950"/>
      <c r="K29" s="606"/>
    </row>
    <row r="30" spans="1:11" ht="11.25" customHeight="1">
      <c r="A30" s="579"/>
      <c r="B30" s="589">
        <v>4</v>
      </c>
      <c r="C30" s="1051" t="s">
        <v>395</v>
      </c>
      <c r="D30" s="949"/>
      <c r="E30" s="949"/>
      <c r="F30" s="949"/>
      <c r="G30" s="949"/>
      <c r="H30" s="950"/>
      <c r="I30" s="1059"/>
      <c r="J30" s="950"/>
      <c r="K30" s="607"/>
    </row>
    <row r="31" spans="1:11" ht="11.25" customHeight="1">
      <c r="A31" s="579"/>
      <c r="B31" s="589">
        <v>5</v>
      </c>
      <c r="C31" s="1051" t="s">
        <v>396</v>
      </c>
      <c r="D31" s="949"/>
      <c r="E31" s="949"/>
      <c r="F31" s="949"/>
      <c r="G31" s="949"/>
      <c r="H31" s="950"/>
      <c r="I31" s="1061" t="str">
        <f>'1-ABA-DE-CARREGAMENTO'!M36</f>
        <v>01 de FEVEREIRO</v>
      </c>
      <c r="J31" s="950"/>
      <c r="K31" s="608"/>
    </row>
    <row r="32" spans="1:11" ht="12.75" customHeight="1">
      <c r="A32" s="579"/>
      <c r="B32" s="609">
        <v>6</v>
      </c>
      <c r="C32" s="1062" t="s">
        <v>1152</v>
      </c>
      <c r="D32" s="949"/>
      <c r="E32" s="949"/>
      <c r="F32" s="949"/>
      <c r="G32" s="949"/>
      <c r="H32" s="950"/>
      <c r="I32" s="1063">
        <f>ROUND(I29/220,2)*0</f>
        <v>0</v>
      </c>
      <c r="J32" s="950"/>
      <c r="K32" s="610"/>
    </row>
    <row r="33" spans="1:11" ht="24.75" customHeight="1">
      <c r="A33" s="579"/>
      <c r="B33" s="609">
        <v>7</v>
      </c>
      <c r="C33" s="1062" t="s">
        <v>1153</v>
      </c>
      <c r="D33" s="949"/>
      <c r="E33" s="949"/>
      <c r="F33" s="950"/>
      <c r="G33" s="1064"/>
      <c r="H33" s="950"/>
      <c r="I33" s="1063">
        <f>SUM(J47:J50)/220</f>
        <v>0</v>
      </c>
      <c r="J33" s="950"/>
      <c r="K33" s="610"/>
    </row>
    <row r="34" spans="1:11" ht="24.75" customHeight="1">
      <c r="A34" s="579"/>
      <c r="B34" s="609">
        <v>8</v>
      </c>
      <c r="C34" s="1062" t="s">
        <v>1154</v>
      </c>
      <c r="D34" s="949"/>
      <c r="E34" s="949"/>
      <c r="F34" s="950"/>
      <c r="G34" s="1064"/>
      <c r="H34" s="950"/>
      <c r="I34" s="1063">
        <f>TRUNC(I33*1.5,2)*0</f>
        <v>0</v>
      </c>
      <c r="J34" s="950"/>
      <c r="K34" s="610"/>
    </row>
    <row r="35" spans="1:11" ht="24.75" customHeight="1">
      <c r="A35" s="579"/>
      <c r="B35" s="609">
        <v>9</v>
      </c>
      <c r="C35" s="1062" t="s">
        <v>1155</v>
      </c>
      <c r="D35" s="949"/>
      <c r="E35" s="949"/>
      <c r="F35" s="950"/>
      <c r="G35" s="1064" t="s">
        <v>401</v>
      </c>
      <c r="H35" s="950"/>
      <c r="I35" s="1184">
        <f>I33*1.5</f>
        <v>0</v>
      </c>
      <c r="J35" s="950"/>
      <c r="K35" s="611"/>
    </row>
    <row r="36" spans="1:11" ht="24.75" customHeight="1">
      <c r="A36" s="579"/>
      <c r="B36" s="609">
        <v>10</v>
      </c>
      <c r="C36" s="1062" t="s">
        <v>1156</v>
      </c>
      <c r="D36" s="949"/>
      <c r="E36" s="949"/>
      <c r="F36" s="949"/>
      <c r="G36" s="949"/>
      <c r="H36" s="950"/>
      <c r="I36" s="1063">
        <f>TRUNC(1.3*I32*0.2,2)</f>
        <v>0</v>
      </c>
      <c r="J36" s="950"/>
      <c r="K36" s="610"/>
    </row>
    <row r="37" spans="1:11" ht="24.75" customHeight="1">
      <c r="A37" s="579"/>
      <c r="B37" s="609">
        <v>11</v>
      </c>
      <c r="C37" s="1062" t="s">
        <v>1157</v>
      </c>
      <c r="D37" s="949"/>
      <c r="E37" s="949"/>
      <c r="F37" s="949"/>
      <c r="G37" s="949"/>
      <c r="H37" s="950"/>
      <c r="I37" s="1063">
        <f>I33*2</f>
        <v>0</v>
      </c>
      <c r="J37" s="950"/>
      <c r="K37" s="610"/>
    </row>
    <row r="38" spans="1:11" ht="14.25" customHeight="1">
      <c r="A38" s="579"/>
      <c r="B38" s="609">
        <v>12</v>
      </c>
      <c r="C38" s="1062" t="s">
        <v>1158</v>
      </c>
      <c r="D38" s="949"/>
      <c r="E38" s="949"/>
      <c r="F38" s="949"/>
      <c r="G38" s="949"/>
      <c r="H38" s="950"/>
      <c r="I38" s="1063">
        <f>I29*'1-ABA-DE-CARREGAMENTO'!D44</f>
        <v>0</v>
      </c>
      <c r="J38" s="950"/>
      <c r="K38" s="610"/>
    </row>
    <row r="39" spans="1:11" ht="14.25" customHeight="1">
      <c r="A39" s="579"/>
      <c r="B39" s="609">
        <v>13</v>
      </c>
      <c r="C39" s="1062" t="s">
        <v>405</v>
      </c>
      <c r="D39" s="949"/>
      <c r="E39" s="949"/>
      <c r="F39" s="949"/>
      <c r="G39" s="949"/>
      <c r="H39" s="950"/>
      <c r="I39" s="1063">
        <f>ROUND(I32/6,2)*1.3</f>
        <v>0</v>
      </c>
      <c r="J39" s="950"/>
      <c r="K39" s="610"/>
    </row>
    <row r="40" spans="1:11" ht="11.25" customHeight="1">
      <c r="A40" s="579"/>
      <c r="B40" s="609">
        <v>14</v>
      </c>
      <c r="C40" s="1164" t="s">
        <v>406</v>
      </c>
      <c r="D40" s="949"/>
      <c r="E40" s="949"/>
      <c r="F40" s="949"/>
      <c r="G40" s="949"/>
      <c r="H40" s="950"/>
      <c r="I40" s="1182">
        <f>'1-ABA-DE-CARREGAMENTO'!M93</f>
        <v>1</v>
      </c>
      <c r="J40" s="950"/>
      <c r="K40" s="614"/>
    </row>
    <row r="41" spans="1:11" ht="11.25" customHeight="1">
      <c r="A41" s="579"/>
      <c r="B41" s="609">
        <v>15</v>
      </c>
      <c r="C41" s="1164" t="s">
        <v>687</v>
      </c>
      <c r="D41" s="949"/>
      <c r="E41" s="949"/>
      <c r="F41" s="949"/>
      <c r="G41" s="949"/>
      <c r="H41" s="950"/>
      <c r="I41" s="1165">
        <f>'1-ABA-DE-CARREGAMENTO'!E42</f>
        <v>1320</v>
      </c>
      <c r="J41" s="950"/>
      <c r="K41" s="616"/>
    </row>
    <row r="42" spans="1:11" ht="11.25" customHeight="1">
      <c r="A42" s="579"/>
      <c r="B42" s="1047"/>
      <c r="C42" s="949"/>
      <c r="D42" s="949"/>
      <c r="E42" s="949"/>
      <c r="F42" s="949"/>
      <c r="G42" s="949"/>
      <c r="H42" s="949"/>
      <c r="I42" s="949"/>
      <c r="J42" s="950"/>
      <c r="K42" s="362"/>
    </row>
    <row r="43" spans="1:11" ht="25.5" customHeight="1">
      <c r="A43" s="579"/>
      <c r="B43" s="1086" t="s">
        <v>408</v>
      </c>
      <c r="C43" s="949"/>
      <c r="D43" s="949"/>
      <c r="E43" s="949"/>
      <c r="F43" s="949"/>
      <c r="G43" s="949"/>
      <c r="H43" s="949"/>
      <c r="I43" s="949"/>
      <c r="J43" s="950"/>
      <c r="K43" s="617"/>
    </row>
    <row r="44" spans="1:11" ht="14.25" customHeight="1">
      <c r="A44" s="579"/>
      <c r="B44" s="1087"/>
      <c r="C44" s="949"/>
      <c r="D44" s="949"/>
      <c r="E44" s="949"/>
      <c r="F44" s="949"/>
      <c r="G44" s="949"/>
      <c r="H44" s="949"/>
      <c r="I44" s="949"/>
      <c r="J44" s="950"/>
      <c r="K44" s="618"/>
    </row>
    <row r="45" spans="1:11" ht="11.25" customHeight="1">
      <c r="A45" s="579"/>
      <c r="B45" s="1088" t="s">
        <v>409</v>
      </c>
      <c r="C45" s="949"/>
      <c r="D45" s="949"/>
      <c r="E45" s="949"/>
      <c r="F45" s="949"/>
      <c r="G45" s="949"/>
      <c r="H45" s="949"/>
      <c r="I45" s="949"/>
      <c r="J45" s="950"/>
      <c r="K45" s="620"/>
    </row>
    <row r="46" spans="1:11" ht="11.25" customHeight="1">
      <c r="A46" s="621"/>
      <c r="B46" s="622">
        <v>1</v>
      </c>
      <c r="C46" s="1089" t="s">
        <v>410</v>
      </c>
      <c r="D46" s="949"/>
      <c r="E46" s="949"/>
      <c r="F46" s="949"/>
      <c r="G46" s="949"/>
      <c r="H46" s="950"/>
      <c r="I46" s="623" t="s">
        <v>411</v>
      </c>
      <c r="J46" s="622" t="s">
        <v>412</v>
      </c>
      <c r="K46" s="592"/>
    </row>
    <row r="47" spans="1:11" ht="12.75" customHeight="1">
      <c r="A47" s="579"/>
      <c r="B47" s="589" t="s">
        <v>369</v>
      </c>
      <c r="C47" s="1051" t="s">
        <v>413</v>
      </c>
      <c r="D47" s="949"/>
      <c r="E47" s="949"/>
      <c r="F47" s="950"/>
      <c r="G47" s="624" t="s">
        <v>184</v>
      </c>
      <c r="H47" s="625">
        <f>'1-ABA-DE-CARREGAMENTO'!M52</f>
        <v>220</v>
      </c>
      <c r="I47" s="624"/>
      <c r="J47" s="627">
        <f>I29*I40</f>
        <v>0</v>
      </c>
      <c r="K47" s="628"/>
    </row>
    <row r="48" spans="1:11" ht="11.25" customHeight="1">
      <c r="A48" s="579"/>
      <c r="B48" s="589" t="s">
        <v>371</v>
      </c>
      <c r="C48" s="1051" t="s">
        <v>688</v>
      </c>
      <c r="D48" s="949"/>
      <c r="E48" s="949"/>
      <c r="F48" s="1090" t="str">
        <f>'1-ABA-DE-CARREGAMENTO'!M38</f>
        <v>SEM ADICIONAL DE FUNÇÃO</v>
      </c>
      <c r="G48" s="949"/>
      <c r="H48" s="950"/>
      <c r="I48" s="867">
        <f>'1-ABA-DE-CARREGAMENTO'!M39</f>
        <v>0</v>
      </c>
      <c r="J48" s="627">
        <f>J47*I48</f>
        <v>0</v>
      </c>
      <c r="K48" s="628"/>
    </row>
    <row r="49" spans="1:11" ht="11.25" customHeight="1">
      <c r="A49" s="579"/>
      <c r="B49" s="589" t="s">
        <v>373</v>
      </c>
      <c r="C49" s="1051" t="s">
        <v>1159</v>
      </c>
      <c r="D49" s="949"/>
      <c r="E49" s="949"/>
      <c r="F49" s="949"/>
      <c r="G49" s="949"/>
      <c r="H49" s="950"/>
      <c r="I49" s="756">
        <f>'1-ABA-DE-CARREGAMENTO'!M44</f>
        <v>0</v>
      </c>
      <c r="J49" s="627">
        <f>ROUND(J47*I49,2)</f>
        <v>0</v>
      </c>
      <c r="K49" s="628"/>
    </row>
    <row r="50" spans="1:11" ht="11.25" customHeight="1">
      <c r="A50" s="579"/>
      <c r="B50" s="589" t="s">
        <v>375</v>
      </c>
      <c r="C50" s="1051" t="s">
        <v>1160</v>
      </c>
      <c r="D50" s="949"/>
      <c r="E50" s="949"/>
      <c r="F50" s="949"/>
      <c r="G50" s="1090" t="str">
        <f>'1-ABA-DE-CARREGAMENTO'!M40</f>
        <v>SEM ADICIONAL DE RISCO</v>
      </c>
      <c r="H50" s="950"/>
      <c r="I50" s="869">
        <f>'1-ABA-DE-CARREGAMENTO'!M41</f>
        <v>0</v>
      </c>
      <c r="J50" s="627">
        <f>ROUND(I50*I41,2)</f>
        <v>0</v>
      </c>
      <c r="K50" s="628"/>
    </row>
    <row r="51" spans="1:11" ht="39" customHeight="1">
      <c r="A51" s="579"/>
      <c r="B51" s="589" t="s">
        <v>417</v>
      </c>
      <c r="C51" s="1051" t="s">
        <v>1161</v>
      </c>
      <c r="D51" s="949"/>
      <c r="E51" s="949"/>
      <c r="F51" s="949"/>
      <c r="G51" s="949"/>
      <c r="H51" s="949"/>
      <c r="I51" s="950"/>
      <c r="J51" s="627">
        <f>ROUND(2*8*15*I36,2)*0</f>
        <v>0</v>
      </c>
      <c r="K51" s="628"/>
    </row>
    <row r="52" spans="1:11" ht="39" customHeight="1">
      <c r="A52" s="579"/>
      <c r="B52" s="589" t="s">
        <v>421</v>
      </c>
      <c r="C52" s="1092" t="s">
        <v>1162</v>
      </c>
      <c r="D52" s="949"/>
      <c r="E52" s="949"/>
      <c r="F52" s="949"/>
      <c r="G52" s="949"/>
      <c r="H52" s="949"/>
      <c r="I52" s="950"/>
      <c r="J52" s="627">
        <f>ROUND(I38*(((12*15)+15)-((44/6)*26))*I35,2)*0+ROUND(2*4.33*I35,2)*0</f>
        <v>0</v>
      </c>
      <c r="K52" s="628"/>
    </row>
    <row r="53" spans="1:11" ht="39" customHeight="1">
      <c r="A53" s="579"/>
      <c r="B53" s="589" t="s">
        <v>423</v>
      </c>
      <c r="C53" s="1092" t="s">
        <v>1163</v>
      </c>
      <c r="D53" s="949"/>
      <c r="E53" s="949"/>
      <c r="F53" s="949"/>
      <c r="G53" s="949"/>
      <c r="H53" s="949"/>
      <c r="I53" s="950"/>
      <c r="J53" s="627">
        <f>ROUND(I39*I40*15,2)*0</f>
        <v>0</v>
      </c>
      <c r="K53" s="628"/>
    </row>
    <row r="54" spans="1:11" ht="26.25" customHeight="1">
      <c r="A54" s="579"/>
      <c r="B54" s="589" t="s">
        <v>425</v>
      </c>
      <c r="C54" s="1092" t="s">
        <v>990</v>
      </c>
      <c r="D54" s="949"/>
      <c r="E54" s="949"/>
      <c r="F54" s="1185" t="s">
        <v>1164</v>
      </c>
      <c r="G54" s="949"/>
      <c r="H54" s="949"/>
      <c r="I54" s="919">
        <f>'1-ABA-DE-CARREGAMENTO'!M65</f>
        <v>0</v>
      </c>
      <c r="J54" s="627">
        <f>ROUND((((SUM(J47:J50))/220)*1.5)*I54,2)</f>
        <v>0</v>
      </c>
      <c r="K54" s="628"/>
    </row>
    <row r="55" spans="1:11" ht="26.25" customHeight="1">
      <c r="A55" s="579"/>
      <c r="B55" s="589" t="s">
        <v>429</v>
      </c>
      <c r="C55" s="1092" t="s">
        <v>992</v>
      </c>
      <c r="D55" s="949"/>
      <c r="E55" s="949"/>
      <c r="F55" s="1185" t="s">
        <v>1165</v>
      </c>
      <c r="G55" s="949"/>
      <c r="H55" s="949"/>
      <c r="I55" s="919">
        <f>'1-ABA-DE-CARREGAMENTO'!M68</f>
        <v>0</v>
      </c>
      <c r="J55" s="627">
        <f>ROUND((((SUM(J47:J50))/220)*2)*I55,2)</f>
        <v>0</v>
      </c>
      <c r="K55" s="628"/>
    </row>
    <row r="56" spans="1:11" ht="39" customHeight="1">
      <c r="A56" s="579"/>
      <c r="B56" s="589" t="s">
        <v>433</v>
      </c>
      <c r="C56" s="1051" t="s">
        <v>1166</v>
      </c>
      <c r="D56" s="949"/>
      <c r="E56" s="949"/>
      <c r="F56" s="949"/>
      <c r="G56" s="949"/>
      <c r="H56" s="949"/>
      <c r="I56" s="950"/>
      <c r="J56" s="627">
        <f>ROUND(((J54+J55)/25)*5,2)</f>
        <v>0</v>
      </c>
      <c r="K56" s="628"/>
    </row>
    <row r="57" spans="1:11" ht="11.25" customHeight="1">
      <c r="A57" s="579"/>
      <c r="B57" s="589" t="s">
        <v>436</v>
      </c>
      <c r="C57" s="1051" t="s">
        <v>437</v>
      </c>
      <c r="D57" s="949"/>
      <c r="E57" s="949"/>
      <c r="F57" s="949"/>
      <c r="G57" s="949"/>
      <c r="H57" s="949"/>
      <c r="I57" s="950"/>
      <c r="J57" s="643" t="s">
        <v>382</v>
      </c>
      <c r="K57" s="644"/>
    </row>
    <row r="58" spans="1:11" ht="11.25" customHeight="1">
      <c r="A58" s="579"/>
      <c r="B58" s="1050" t="s">
        <v>438</v>
      </c>
      <c r="C58" s="949"/>
      <c r="D58" s="949"/>
      <c r="E58" s="949"/>
      <c r="F58" s="949"/>
      <c r="G58" s="949"/>
      <c r="H58" s="949"/>
      <c r="I58" s="950"/>
      <c r="J58" s="645">
        <f>SUM(J47:J57)</f>
        <v>0</v>
      </c>
      <c r="K58" s="646"/>
    </row>
    <row r="59" spans="1:11" ht="14.25" customHeight="1">
      <c r="A59" s="579"/>
      <c r="B59" s="647"/>
      <c r="C59" s="1095"/>
      <c r="D59" s="949"/>
      <c r="E59" s="949"/>
      <c r="F59" s="949"/>
      <c r="G59" s="949"/>
      <c r="H59" s="949"/>
      <c r="I59" s="950"/>
      <c r="J59" s="648"/>
      <c r="K59" s="646"/>
    </row>
    <row r="60" spans="1:11" ht="11.25" customHeight="1">
      <c r="A60" s="579"/>
      <c r="B60" s="589" t="s">
        <v>425</v>
      </c>
      <c r="C60" s="1051" t="s">
        <v>1167</v>
      </c>
      <c r="D60" s="949"/>
      <c r="E60" s="949"/>
      <c r="F60" s="949"/>
      <c r="G60" s="949"/>
      <c r="H60" s="949"/>
      <c r="I60" s="950"/>
      <c r="J60" s="627">
        <f>ROUND(I34*15*I40*0.5,2)*0</f>
        <v>0</v>
      </c>
      <c r="K60" s="628"/>
    </row>
    <row r="61" spans="1:11" ht="11.25" customHeight="1">
      <c r="A61" s="579"/>
      <c r="B61" s="1050" t="s">
        <v>1168</v>
      </c>
      <c r="C61" s="949"/>
      <c r="D61" s="949"/>
      <c r="E61" s="949"/>
      <c r="F61" s="949"/>
      <c r="G61" s="949"/>
      <c r="H61" s="949"/>
      <c r="I61" s="950"/>
      <c r="J61" s="645">
        <f>J60</f>
        <v>0</v>
      </c>
      <c r="K61" s="646"/>
    </row>
    <row r="62" spans="1:11" ht="11.25" customHeight="1">
      <c r="A62" s="579"/>
      <c r="B62" s="1045"/>
      <c r="C62" s="949"/>
      <c r="D62" s="949"/>
      <c r="E62" s="949"/>
      <c r="F62" s="949"/>
      <c r="G62" s="949"/>
      <c r="H62" s="949"/>
      <c r="I62" s="949"/>
      <c r="J62" s="950"/>
      <c r="K62" s="593"/>
    </row>
    <row r="63" spans="1:11" ht="11.25" customHeight="1">
      <c r="A63" s="579"/>
      <c r="B63" s="1096" t="s">
        <v>1169</v>
      </c>
      <c r="C63" s="949"/>
      <c r="D63" s="949"/>
      <c r="E63" s="949"/>
      <c r="F63" s="949"/>
      <c r="G63" s="949"/>
      <c r="H63" s="949"/>
      <c r="I63" s="950"/>
      <c r="J63" s="649">
        <f>J58+J61</f>
        <v>0</v>
      </c>
      <c r="K63" s="650"/>
    </row>
    <row r="64" spans="1:11" ht="11.25" customHeight="1">
      <c r="A64" s="579"/>
      <c r="B64" s="1095"/>
      <c r="C64" s="949"/>
      <c r="D64" s="949"/>
      <c r="E64" s="949"/>
      <c r="F64" s="949"/>
      <c r="G64" s="949"/>
      <c r="H64" s="949"/>
      <c r="I64" s="949"/>
      <c r="J64" s="950"/>
      <c r="K64" s="651"/>
    </row>
    <row r="65" spans="1:11" ht="11.25" customHeight="1">
      <c r="A65" s="579"/>
      <c r="B65" s="1097" t="s">
        <v>442</v>
      </c>
      <c r="C65" s="949"/>
      <c r="D65" s="949"/>
      <c r="E65" s="949"/>
      <c r="F65" s="949"/>
      <c r="G65" s="949"/>
      <c r="H65" s="949"/>
      <c r="I65" s="949"/>
      <c r="J65" s="950"/>
      <c r="K65" s="652"/>
    </row>
    <row r="66" spans="1:11" ht="11.25" customHeight="1">
      <c r="A66" s="579"/>
      <c r="B66" s="1095"/>
      <c r="C66" s="949"/>
      <c r="D66" s="949"/>
      <c r="E66" s="949"/>
      <c r="F66" s="949"/>
      <c r="G66" s="949"/>
      <c r="H66" s="949"/>
      <c r="I66" s="949"/>
      <c r="J66" s="950"/>
      <c r="K66" s="651"/>
    </row>
    <row r="67" spans="1:11" ht="11.25" customHeight="1">
      <c r="A67" s="579"/>
      <c r="B67" s="1098" t="s">
        <v>443</v>
      </c>
      <c r="C67" s="949"/>
      <c r="D67" s="949"/>
      <c r="E67" s="949"/>
      <c r="F67" s="949"/>
      <c r="G67" s="949"/>
      <c r="H67" s="949"/>
      <c r="I67" s="949"/>
      <c r="J67" s="950"/>
      <c r="K67" s="653"/>
    </row>
    <row r="68" spans="1:11" ht="11.25" customHeight="1">
      <c r="A68" s="579"/>
      <c r="B68" s="1099" t="s">
        <v>1170</v>
      </c>
      <c r="C68" s="949"/>
      <c r="D68" s="949"/>
      <c r="E68" s="949"/>
      <c r="F68" s="949"/>
      <c r="G68" s="949"/>
      <c r="H68" s="949"/>
      <c r="I68" s="949"/>
      <c r="J68" s="950"/>
      <c r="K68" s="654"/>
    </row>
    <row r="69" spans="1:11" ht="15" customHeight="1">
      <c r="A69" s="579"/>
      <c r="B69" s="655" t="s">
        <v>445</v>
      </c>
      <c r="C69" s="1100" t="s">
        <v>1171</v>
      </c>
      <c r="D69" s="949"/>
      <c r="E69" s="949"/>
      <c r="F69" s="949"/>
      <c r="G69" s="949"/>
      <c r="H69" s="949"/>
      <c r="I69" s="950"/>
      <c r="J69" s="656" t="s">
        <v>447</v>
      </c>
      <c r="K69" s="657"/>
    </row>
    <row r="70" spans="1:11" ht="11.25" customHeight="1">
      <c r="A70" s="579"/>
      <c r="B70" s="655" t="s">
        <v>369</v>
      </c>
      <c r="C70" s="1092" t="s">
        <v>1172</v>
      </c>
      <c r="D70" s="949"/>
      <c r="E70" s="949"/>
      <c r="F70" s="949"/>
      <c r="G70" s="949"/>
      <c r="H70" s="950"/>
      <c r="I70" s="658">
        <v>8.3299999999999999E-2</v>
      </c>
      <c r="J70" s="659">
        <f>ROUND(J58*I70,2)</f>
        <v>0</v>
      </c>
      <c r="K70" s="660"/>
    </row>
    <row r="71" spans="1:11" ht="14.25" customHeight="1">
      <c r="A71" s="579"/>
      <c r="B71" s="655" t="s">
        <v>371</v>
      </c>
      <c r="C71" s="1101" t="s">
        <v>1173</v>
      </c>
      <c r="D71" s="949"/>
      <c r="E71" s="949"/>
      <c r="F71" s="949"/>
      <c r="G71" s="949"/>
      <c r="H71" s="950"/>
      <c r="I71" s="661">
        <v>3.0249999999999999E-2</v>
      </c>
      <c r="J71" s="659">
        <f>ROUND(J58*I71,2)</f>
        <v>0</v>
      </c>
      <c r="K71" s="660"/>
    </row>
    <row r="72" spans="1:11" ht="11.25" customHeight="1">
      <c r="A72" s="579"/>
      <c r="B72" s="1102" t="s">
        <v>450</v>
      </c>
      <c r="C72" s="949"/>
      <c r="D72" s="949"/>
      <c r="E72" s="949"/>
      <c r="F72" s="949"/>
      <c r="G72" s="949"/>
      <c r="H72" s="949"/>
      <c r="I72" s="950"/>
      <c r="J72" s="662">
        <f>SUM(J70+J71)</f>
        <v>0</v>
      </c>
      <c r="K72" s="663"/>
    </row>
    <row r="73" spans="1:11" ht="14.25" customHeight="1">
      <c r="A73" s="579"/>
      <c r="B73" s="1103"/>
      <c r="C73" s="949"/>
      <c r="D73" s="949"/>
      <c r="E73" s="949"/>
      <c r="F73" s="949"/>
      <c r="G73" s="949"/>
      <c r="H73" s="949"/>
      <c r="I73" s="949"/>
      <c r="J73" s="950"/>
      <c r="K73" s="664"/>
    </row>
    <row r="74" spans="1:11" ht="11.25" customHeight="1">
      <c r="A74" s="579"/>
      <c r="B74" s="1086" t="s">
        <v>1174</v>
      </c>
      <c r="C74" s="949"/>
      <c r="D74" s="949"/>
      <c r="E74" s="949"/>
      <c r="F74" s="949"/>
      <c r="G74" s="949"/>
      <c r="H74" s="949"/>
      <c r="I74" s="949"/>
      <c r="J74" s="950"/>
      <c r="K74" s="617"/>
    </row>
    <row r="75" spans="1:11" ht="14.25" customHeight="1">
      <c r="A75" s="579"/>
      <c r="B75" s="1104"/>
      <c r="C75" s="949"/>
      <c r="D75" s="949"/>
      <c r="E75" s="949"/>
      <c r="F75" s="949"/>
      <c r="G75" s="949"/>
      <c r="H75" s="949"/>
      <c r="I75" s="949"/>
      <c r="J75" s="950"/>
      <c r="K75" s="617"/>
    </row>
    <row r="76" spans="1:11" ht="14.25" customHeight="1">
      <c r="A76" s="579"/>
      <c r="B76" s="1105" t="s">
        <v>1175</v>
      </c>
      <c r="C76" s="949"/>
      <c r="D76" s="949"/>
      <c r="E76" s="949"/>
      <c r="F76" s="949"/>
      <c r="G76" s="949"/>
      <c r="H76" s="949"/>
      <c r="I76" s="949"/>
      <c r="J76" s="950"/>
      <c r="K76" s="665"/>
    </row>
    <row r="77" spans="1:11" ht="11.25" customHeight="1">
      <c r="A77" s="579"/>
      <c r="B77" s="666" t="s">
        <v>453</v>
      </c>
      <c r="C77" s="1110" t="s">
        <v>454</v>
      </c>
      <c r="D77" s="949"/>
      <c r="E77" s="949"/>
      <c r="F77" s="949"/>
      <c r="G77" s="949"/>
      <c r="H77" s="950"/>
      <c r="I77" s="667" t="s">
        <v>411</v>
      </c>
      <c r="J77" s="668" t="s">
        <v>455</v>
      </c>
      <c r="K77" s="657"/>
    </row>
    <row r="78" spans="1:11" ht="11.25" customHeight="1">
      <c r="A78" s="579"/>
      <c r="B78" s="669" t="s">
        <v>369</v>
      </c>
      <c r="C78" s="1051" t="s">
        <v>456</v>
      </c>
      <c r="D78" s="949"/>
      <c r="E78" s="949"/>
      <c r="F78" s="949"/>
      <c r="G78" s="949"/>
      <c r="H78" s="950"/>
      <c r="I78" s="670">
        <v>0.2</v>
      </c>
      <c r="J78" s="671">
        <f>ROUND((J58+J72)*I78,2)</f>
        <v>0</v>
      </c>
      <c r="K78" s="663"/>
    </row>
    <row r="79" spans="1:11" ht="11.25" customHeight="1">
      <c r="A79" s="579"/>
      <c r="B79" s="669" t="s">
        <v>371</v>
      </c>
      <c r="C79" s="1051" t="s">
        <v>457</v>
      </c>
      <c r="D79" s="949"/>
      <c r="E79" s="949"/>
      <c r="F79" s="949"/>
      <c r="G79" s="949"/>
      <c r="H79" s="950"/>
      <c r="I79" s="670">
        <v>2.5000000000000001E-2</v>
      </c>
      <c r="J79" s="671">
        <f>ROUND((J58+J72)*I79,2)</f>
        <v>0</v>
      </c>
      <c r="K79" s="663"/>
    </row>
    <row r="80" spans="1:11" ht="11.25" customHeight="1">
      <c r="A80" s="579"/>
      <c r="B80" s="669" t="s">
        <v>373</v>
      </c>
      <c r="C80" s="1051" t="s">
        <v>1176</v>
      </c>
      <c r="D80" s="950"/>
      <c r="E80" s="912" t="s">
        <v>459</v>
      </c>
      <c r="F80" s="913">
        <f>'1-ABA-DE-CARREGAMENTO'!M57</f>
        <v>0.03</v>
      </c>
      <c r="G80" s="912" t="s">
        <v>460</v>
      </c>
      <c r="H80" s="914">
        <f>'1-ABA-DE-CARREGAMENTO'!M58</f>
        <v>1</v>
      </c>
      <c r="I80" s="674">
        <f>ROUND((F80*H80),6)</f>
        <v>0.03</v>
      </c>
      <c r="J80" s="671">
        <f>ROUND((J58+J72)*I80,2)</f>
        <v>0</v>
      </c>
      <c r="K80" s="663"/>
    </row>
    <row r="81" spans="1:11" ht="16.5" customHeight="1">
      <c r="A81" s="579"/>
      <c r="B81" s="669" t="s">
        <v>375</v>
      </c>
      <c r="C81" s="1051" t="s">
        <v>461</v>
      </c>
      <c r="D81" s="949"/>
      <c r="E81" s="949"/>
      <c r="F81" s="949"/>
      <c r="G81" s="949"/>
      <c r="H81" s="950"/>
      <c r="I81" s="670">
        <v>1.4999999999999999E-2</v>
      </c>
      <c r="J81" s="671">
        <f>ROUND((J58+J72)*I81,2)</f>
        <v>0</v>
      </c>
      <c r="K81" s="663"/>
    </row>
    <row r="82" spans="1:11" ht="16.5" customHeight="1">
      <c r="A82" s="579"/>
      <c r="B82" s="669" t="s">
        <v>417</v>
      </c>
      <c r="C82" s="1051" t="s">
        <v>462</v>
      </c>
      <c r="D82" s="949"/>
      <c r="E82" s="949"/>
      <c r="F82" s="949"/>
      <c r="G82" s="949"/>
      <c r="H82" s="950"/>
      <c r="I82" s="670">
        <v>0.01</v>
      </c>
      <c r="J82" s="671">
        <f>ROUND((J58+J72)*I82,2)</f>
        <v>0</v>
      </c>
      <c r="K82" s="663"/>
    </row>
    <row r="83" spans="1:11" ht="16.5" customHeight="1">
      <c r="A83" s="579"/>
      <c r="B83" s="669" t="s">
        <v>421</v>
      </c>
      <c r="C83" s="1051" t="s">
        <v>463</v>
      </c>
      <c r="D83" s="949"/>
      <c r="E83" s="949"/>
      <c r="F83" s="949"/>
      <c r="G83" s="949"/>
      <c r="H83" s="950"/>
      <c r="I83" s="670">
        <v>6.0000000000000001E-3</v>
      </c>
      <c r="J83" s="671">
        <f>ROUND((J58+J72)*I83,2)</f>
        <v>0</v>
      </c>
      <c r="K83" s="663"/>
    </row>
    <row r="84" spans="1:11" ht="16.5" customHeight="1">
      <c r="A84" s="579"/>
      <c r="B84" s="669" t="s">
        <v>423</v>
      </c>
      <c r="C84" s="1051" t="s">
        <v>464</v>
      </c>
      <c r="D84" s="949"/>
      <c r="E84" s="949"/>
      <c r="F84" s="949"/>
      <c r="G84" s="949"/>
      <c r="H84" s="950"/>
      <c r="I84" s="670">
        <v>2E-3</v>
      </c>
      <c r="J84" s="671">
        <f>ROUND((J58+J72)*I84,2)</f>
        <v>0</v>
      </c>
      <c r="K84" s="663"/>
    </row>
    <row r="85" spans="1:11" ht="28.5" customHeight="1">
      <c r="A85" s="579"/>
      <c r="B85" s="669" t="s">
        <v>425</v>
      </c>
      <c r="C85" s="1051" t="s">
        <v>465</v>
      </c>
      <c r="D85" s="949"/>
      <c r="E85" s="949"/>
      <c r="F85" s="949"/>
      <c r="G85" s="949"/>
      <c r="H85" s="950"/>
      <c r="I85" s="670">
        <v>0.08</v>
      </c>
      <c r="J85" s="671">
        <f>ROUND((J58+J72)*I85,2)</f>
        <v>0</v>
      </c>
      <c r="K85" s="663"/>
    </row>
    <row r="86" spans="1:11" ht="12" customHeight="1">
      <c r="A86" s="579"/>
      <c r="B86" s="1108" t="s">
        <v>450</v>
      </c>
      <c r="C86" s="949"/>
      <c r="D86" s="949"/>
      <c r="E86" s="949"/>
      <c r="F86" s="949"/>
      <c r="G86" s="949"/>
      <c r="H86" s="950"/>
      <c r="I86" s="675">
        <f t="shared" ref="I86:J86" si="0">SUM(I78:I85)</f>
        <v>0.36800000000000005</v>
      </c>
      <c r="J86" s="662">
        <f t="shared" si="0"/>
        <v>0</v>
      </c>
      <c r="K86" s="663"/>
    </row>
    <row r="87" spans="1:11" ht="12" customHeight="1">
      <c r="A87" s="579"/>
      <c r="B87" s="676"/>
      <c r="C87" s="677"/>
      <c r="D87" s="677"/>
      <c r="E87" s="677"/>
      <c r="F87" s="677"/>
      <c r="G87" s="677"/>
      <c r="H87" s="677"/>
      <c r="I87" s="678"/>
      <c r="J87" s="679"/>
      <c r="K87" s="663"/>
    </row>
    <row r="88" spans="1:11" ht="39" customHeight="1">
      <c r="A88" s="579"/>
      <c r="B88" s="1086" t="s">
        <v>466</v>
      </c>
      <c r="C88" s="949"/>
      <c r="D88" s="949"/>
      <c r="E88" s="949"/>
      <c r="F88" s="949"/>
      <c r="G88" s="949"/>
      <c r="H88" s="949"/>
      <c r="I88" s="949"/>
      <c r="J88" s="950"/>
      <c r="K88" s="617"/>
    </row>
    <row r="89" spans="1:11" ht="18.75" customHeight="1">
      <c r="A89" s="579"/>
      <c r="B89" s="1047"/>
      <c r="C89" s="949"/>
      <c r="D89" s="949"/>
      <c r="E89" s="949"/>
      <c r="F89" s="949"/>
      <c r="G89" s="949"/>
      <c r="H89" s="949"/>
      <c r="I89" s="949"/>
      <c r="J89" s="950"/>
      <c r="K89" s="362"/>
    </row>
    <row r="90" spans="1:11" ht="15" customHeight="1">
      <c r="A90" s="579"/>
      <c r="B90" s="1114" t="s">
        <v>467</v>
      </c>
      <c r="C90" s="949"/>
      <c r="D90" s="949"/>
      <c r="E90" s="949"/>
      <c r="F90" s="949"/>
      <c r="G90" s="949"/>
      <c r="H90" s="949"/>
      <c r="I90" s="949"/>
      <c r="J90" s="950"/>
      <c r="K90" s="654"/>
    </row>
    <row r="91" spans="1:11" ht="15" customHeight="1">
      <c r="A91" s="579"/>
      <c r="B91" s="680" t="s">
        <v>468</v>
      </c>
      <c r="C91" s="1089" t="s">
        <v>469</v>
      </c>
      <c r="D91" s="949"/>
      <c r="E91" s="949"/>
      <c r="F91" s="949"/>
      <c r="G91" s="949"/>
      <c r="H91" s="949"/>
      <c r="I91" s="950"/>
      <c r="J91" s="681" t="s">
        <v>447</v>
      </c>
      <c r="K91" s="592"/>
    </row>
    <row r="92" spans="1:11" ht="15" customHeight="1">
      <c r="A92" s="579"/>
      <c r="B92" s="682" t="s">
        <v>369</v>
      </c>
      <c r="C92" s="1051" t="s">
        <v>1177</v>
      </c>
      <c r="D92" s="949"/>
      <c r="E92" s="949"/>
      <c r="F92" s="949"/>
      <c r="G92" s="949"/>
      <c r="H92" s="950"/>
      <c r="I92" s="683">
        <f>J47</f>
        <v>0</v>
      </c>
      <c r="J92" s="684">
        <f>IF(ROUND((I93*I95*I94)-(J47*I96),2)&lt;0,0,ROUND((I93*I95*I94)-(J47*I96),2))</f>
        <v>0</v>
      </c>
      <c r="K92" s="663"/>
    </row>
    <row r="93" spans="1:11" ht="28.5" customHeight="1">
      <c r="A93" s="579"/>
      <c r="B93" s="682" t="s">
        <v>371</v>
      </c>
      <c r="C93" s="1051" t="s">
        <v>1178</v>
      </c>
      <c r="D93" s="949"/>
      <c r="E93" s="949"/>
      <c r="F93" s="949"/>
      <c r="G93" s="949"/>
      <c r="H93" s="949"/>
      <c r="I93" s="685">
        <f>'1-ABA-DE-CARREGAMENTO'!M72</f>
        <v>0</v>
      </c>
      <c r="J93" s="686" t="s">
        <v>382</v>
      </c>
      <c r="K93" s="644"/>
    </row>
    <row r="94" spans="1:11" ht="17.25" customHeight="1">
      <c r="A94" s="579"/>
      <c r="B94" s="682" t="s">
        <v>373</v>
      </c>
      <c r="C94" s="1051" t="s">
        <v>1179</v>
      </c>
      <c r="D94" s="949"/>
      <c r="E94" s="949"/>
      <c r="F94" s="949"/>
      <c r="G94" s="949"/>
      <c r="H94" s="950"/>
      <c r="I94" s="687">
        <f>'1-ABA-DE-CARREGAMENTO'!M73</f>
        <v>2</v>
      </c>
      <c r="J94" s="686" t="s">
        <v>382</v>
      </c>
      <c r="K94" s="644"/>
    </row>
    <row r="95" spans="1:11" ht="19.5" customHeight="1">
      <c r="A95" s="579"/>
      <c r="B95" s="682" t="s">
        <v>375</v>
      </c>
      <c r="C95" s="1062" t="s">
        <v>473</v>
      </c>
      <c r="D95" s="949"/>
      <c r="E95" s="949"/>
      <c r="F95" s="949"/>
      <c r="G95" s="949"/>
      <c r="H95" s="950"/>
      <c r="I95" s="687">
        <f>'1-ABA-DE-CARREGAMENTO'!M74</f>
        <v>0</v>
      </c>
      <c r="J95" s="686" t="s">
        <v>382</v>
      </c>
      <c r="K95" s="644"/>
    </row>
    <row r="96" spans="1:11" ht="27" customHeight="1">
      <c r="A96" s="579"/>
      <c r="B96" s="682" t="s">
        <v>417</v>
      </c>
      <c r="C96" s="1062" t="s">
        <v>1180</v>
      </c>
      <c r="D96" s="949"/>
      <c r="E96" s="949"/>
      <c r="F96" s="949"/>
      <c r="G96" s="949"/>
      <c r="H96" s="950"/>
      <c r="I96" s="688">
        <f>'1-ABA-DE-CARREGAMENTO'!M75</f>
        <v>0.06</v>
      </c>
      <c r="J96" s="689" t="s">
        <v>382</v>
      </c>
      <c r="K96" s="644"/>
    </row>
    <row r="97" spans="1:11" ht="15" customHeight="1">
      <c r="A97" s="579"/>
      <c r="B97" s="682" t="s">
        <v>421</v>
      </c>
      <c r="C97" s="1051" t="s">
        <v>1181</v>
      </c>
      <c r="D97" s="949"/>
      <c r="E97" s="949"/>
      <c r="F97" s="949"/>
      <c r="G97" s="949"/>
      <c r="H97" s="949"/>
      <c r="I97" s="949"/>
      <c r="J97" s="684">
        <f>ROUND(I98*I99,2)-ROUND((I98*I99)*I100,2)</f>
        <v>0</v>
      </c>
      <c r="K97" s="663"/>
    </row>
    <row r="98" spans="1:11" ht="15" customHeight="1">
      <c r="A98" s="579"/>
      <c r="B98" s="682" t="s">
        <v>423</v>
      </c>
      <c r="C98" s="1051" t="s">
        <v>1182</v>
      </c>
      <c r="D98" s="949"/>
      <c r="E98" s="949"/>
      <c r="F98" s="949"/>
      <c r="G98" s="949"/>
      <c r="H98" s="949"/>
      <c r="I98" s="685">
        <f>IF('1-ABA-DE-CARREGAMENTO'!M60&gt;0,'1-ABA-DE-CARREGAMENTO'!M60,'1-ABA-DE-CARREGAMENTO'!M63)</f>
        <v>0</v>
      </c>
      <c r="J98" s="691"/>
      <c r="K98" s="644"/>
    </row>
    <row r="99" spans="1:11" ht="15" customHeight="1">
      <c r="A99" s="579"/>
      <c r="B99" s="682" t="s">
        <v>425</v>
      </c>
      <c r="C99" s="1051" t="s">
        <v>1183</v>
      </c>
      <c r="D99" s="949"/>
      <c r="E99" s="949"/>
      <c r="F99" s="949"/>
      <c r="G99" s="949"/>
      <c r="H99" s="949"/>
      <c r="I99" s="687">
        <f>'1-ABA-DE-CARREGAMENTO'!M62</f>
        <v>22</v>
      </c>
      <c r="J99" s="691"/>
      <c r="K99" s="644"/>
    </row>
    <row r="100" spans="1:11" ht="24" customHeight="1">
      <c r="A100" s="579"/>
      <c r="B100" s="682" t="s">
        <v>429</v>
      </c>
      <c r="C100" s="1107" t="s">
        <v>1184</v>
      </c>
      <c r="D100" s="949"/>
      <c r="E100" s="949"/>
      <c r="F100" s="949"/>
      <c r="G100" s="949"/>
      <c r="H100" s="950"/>
      <c r="I100" s="688">
        <f>'1-ABA-DE-CARREGAMENTO'!M61</f>
        <v>0</v>
      </c>
      <c r="J100" s="693"/>
      <c r="K100" s="644"/>
    </row>
    <row r="101" spans="1:11" ht="15" customHeight="1">
      <c r="A101" s="579"/>
      <c r="B101" s="682" t="s">
        <v>433</v>
      </c>
      <c r="C101" s="1051" t="s">
        <v>715</v>
      </c>
      <c r="D101" s="949"/>
      <c r="E101" s="949"/>
      <c r="F101" s="949"/>
      <c r="G101" s="949"/>
      <c r="H101" s="949"/>
      <c r="I101" s="949"/>
      <c r="J101" s="671">
        <v>0</v>
      </c>
      <c r="K101" s="663"/>
    </row>
    <row r="102" spans="1:11" ht="36.75" customHeight="1">
      <c r="A102" s="579"/>
      <c r="B102" s="682" t="s">
        <v>436</v>
      </c>
      <c r="C102" s="1051" t="s">
        <v>1185</v>
      </c>
      <c r="D102" s="949"/>
      <c r="E102" s="949"/>
      <c r="F102" s="949"/>
      <c r="G102" s="949"/>
      <c r="H102" s="949"/>
      <c r="I102" s="949"/>
      <c r="J102" s="671">
        <f>'1-ABA-DE-CARREGAMENTO'!M77</f>
        <v>0.06</v>
      </c>
      <c r="K102" s="663"/>
    </row>
    <row r="103" spans="1:11" ht="36.75" customHeight="1">
      <c r="A103" s="579"/>
      <c r="B103" s="682" t="s">
        <v>481</v>
      </c>
      <c r="C103" s="1051" t="s">
        <v>1186</v>
      </c>
      <c r="D103" s="949"/>
      <c r="E103" s="949"/>
      <c r="F103" s="949"/>
      <c r="G103" s="949"/>
      <c r="H103" s="949"/>
      <c r="I103" s="950"/>
      <c r="J103" s="671">
        <f>'1-ABA-DE-CARREGAMENTO'!M78</f>
        <v>0.06</v>
      </c>
      <c r="K103" s="663"/>
    </row>
    <row r="104" spans="1:11" ht="16.5" customHeight="1">
      <c r="A104" s="579"/>
      <c r="B104" s="682" t="s">
        <v>483</v>
      </c>
      <c r="C104" s="1051" t="s">
        <v>718</v>
      </c>
      <c r="D104" s="949"/>
      <c r="E104" s="949"/>
      <c r="F104" s="949"/>
      <c r="G104" s="949"/>
      <c r="H104" s="949"/>
      <c r="I104" s="950"/>
      <c r="J104" s="671">
        <f>'1-ABA-DE-CARREGAMENTO'!M76</f>
        <v>0.06</v>
      </c>
      <c r="K104" s="663"/>
    </row>
    <row r="105" spans="1:11" ht="17.25" customHeight="1">
      <c r="A105" s="579"/>
      <c r="B105" s="682" t="s">
        <v>129</v>
      </c>
      <c r="C105" s="1111" t="s">
        <v>524</v>
      </c>
      <c r="D105" s="949"/>
      <c r="E105" s="949"/>
      <c r="F105" s="949"/>
      <c r="G105" s="949"/>
      <c r="H105" s="949"/>
      <c r="I105" s="949"/>
      <c r="J105" s="742">
        <v>0</v>
      </c>
      <c r="K105" s="704"/>
    </row>
    <row r="106" spans="1:11" ht="33.75" customHeight="1">
      <c r="A106" s="579"/>
      <c r="B106" s="705"/>
      <c r="C106" s="1108" t="s">
        <v>450</v>
      </c>
      <c r="D106" s="949"/>
      <c r="E106" s="949"/>
      <c r="F106" s="949"/>
      <c r="G106" s="949"/>
      <c r="H106" s="949"/>
      <c r="I106" s="949"/>
      <c r="J106" s="662">
        <f>SUM(J92:J105)</f>
        <v>0.18</v>
      </c>
      <c r="K106" s="663"/>
    </row>
    <row r="107" spans="1:11" ht="17.25" customHeight="1">
      <c r="A107" s="579"/>
      <c r="B107" s="1047"/>
      <c r="C107" s="949"/>
      <c r="D107" s="949"/>
      <c r="E107" s="949"/>
      <c r="F107" s="949"/>
      <c r="G107" s="949"/>
      <c r="H107" s="949"/>
      <c r="I107" s="949"/>
      <c r="J107" s="950"/>
      <c r="K107" s="362"/>
    </row>
    <row r="108" spans="1:11" ht="34.5" customHeight="1">
      <c r="A108" s="579"/>
      <c r="B108" s="1086" t="s">
        <v>486</v>
      </c>
      <c r="C108" s="949"/>
      <c r="D108" s="949"/>
      <c r="E108" s="949"/>
      <c r="F108" s="949"/>
      <c r="G108" s="949"/>
      <c r="H108" s="949"/>
      <c r="I108" s="949"/>
      <c r="J108" s="950"/>
      <c r="K108" s="617"/>
    </row>
    <row r="109" spans="1:11" ht="19.5" customHeight="1">
      <c r="A109" s="579"/>
      <c r="B109" s="1045"/>
      <c r="C109" s="949"/>
      <c r="D109" s="949"/>
      <c r="E109" s="949"/>
      <c r="F109" s="949"/>
      <c r="G109" s="949"/>
      <c r="H109" s="949"/>
      <c r="I109" s="949"/>
      <c r="J109" s="950"/>
      <c r="K109" s="593"/>
    </row>
    <row r="110" spans="1:11" ht="19.5" customHeight="1">
      <c r="A110" s="579"/>
      <c r="B110" s="1109" t="s">
        <v>487</v>
      </c>
      <c r="C110" s="949"/>
      <c r="D110" s="949"/>
      <c r="E110" s="949"/>
      <c r="F110" s="949"/>
      <c r="G110" s="949"/>
      <c r="H110" s="949"/>
      <c r="I110" s="949"/>
      <c r="J110" s="950"/>
      <c r="K110" s="706"/>
    </row>
    <row r="111" spans="1:11" ht="19.5" customHeight="1">
      <c r="A111" s="579"/>
      <c r="B111" s="668">
        <v>2</v>
      </c>
      <c r="C111" s="1110" t="s">
        <v>488</v>
      </c>
      <c r="D111" s="949"/>
      <c r="E111" s="949"/>
      <c r="F111" s="949"/>
      <c r="G111" s="949"/>
      <c r="H111" s="949"/>
      <c r="I111" s="950"/>
      <c r="J111" s="668" t="s">
        <v>447</v>
      </c>
      <c r="K111" s="657"/>
    </row>
    <row r="112" spans="1:11" ht="19.5" customHeight="1">
      <c r="A112" s="579"/>
      <c r="B112" s="600" t="s">
        <v>445</v>
      </c>
      <c r="C112" s="1092" t="s">
        <v>1187</v>
      </c>
      <c r="D112" s="949"/>
      <c r="E112" s="949"/>
      <c r="F112" s="949"/>
      <c r="G112" s="949"/>
      <c r="H112" s="949"/>
      <c r="I112" s="950"/>
      <c r="J112" s="707">
        <f>J72</f>
        <v>0</v>
      </c>
      <c r="K112" s="708"/>
    </row>
    <row r="113" spans="1:11" ht="19.5" customHeight="1">
      <c r="A113" s="579"/>
      <c r="B113" s="600" t="s">
        <v>453</v>
      </c>
      <c r="C113" s="1092" t="s">
        <v>454</v>
      </c>
      <c r="D113" s="949"/>
      <c r="E113" s="949"/>
      <c r="F113" s="949"/>
      <c r="G113" s="949"/>
      <c r="H113" s="949"/>
      <c r="I113" s="950"/>
      <c r="J113" s="707">
        <f>J86</f>
        <v>0</v>
      </c>
      <c r="K113" s="708"/>
    </row>
    <row r="114" spans="1:11" ht="19.5" customHeight="1">
      <c r="A114" s="579"/>
      <c r="B114" s="600" t="s">
        <v>468</v>
      </c>
      <c r="C114" s="1092" t="s">
        <v>469</v>
      </c>
      <c r="D114" s="949"/>
      <c r="E114" s="949"/>
      <c r="F114" s="949"/>
      <c r="G114" s="949"/>
      <c r="H114" s="949"/>
      <c r="I114" s="950"/>
      <c r="J114" s="707">
        <f>J106</f>
        <v>0.18</v>
      </c>
      <c r="K114" s="708"/>
    </row>
    <row r="115" spans="1:11" ht="14.25" customHeight="1">
      <c r="A115" s="579"/>
      <c r="B115" s="1115" t="s">
        <v>450</v>
      </c>
      <c r="C115" s="949"/>
      <c r="D115" s="949"/>
      <c r="E115" s="949"/>
      <c r="F115" s="949"/>
      <c r="G115" s="949"/>
      <c r="H115" s="949"/>
      <c r="I115" s="950"/>
      <c r="J115" s="709">
        <f>SUM(J112+J113+J114)</f>
        <v>0.18</v>
      </c>
      <c r="K115" s="708"/>
    </row>
    <row r="116" spans="1:11" ht="14.25" customHeight="1">
      <c r="A116" s="579"/>
      <c r="B116" s="1116"/>
      <c r="C116" s="949"/>
      <c r="D116" s="949"/>
      <c r="E116" s="949"/>
      <c r="F116" s="949"/>
      <c r="G116" s="949"/>
      <c r="H116" s="949"/>
      <c r="I116" s="949"/>
      <c r="J116" s="950"/>
      <c r="K116" s="710"/>
    </row>
    <row r="117" spans="1:11" ht="18.75" customHeight="1">
      <c r="A117" s="579"/>
      <c r="B117" s="1117" t="s">
        <v>490</v>
      </c>
      <c r="C117" s="949"/>
      <c r="D117" s="949"/>
      <c r="E117" s="949"/>
      <c r="F117" s="949"/>
      <c r="G117" s="949"/>
      <c r="H117" s="949"/>
      <c r="I117" s="949"/>
      <c r="J117" s="950"/>
      <c r="K117" s="711"/>
    </row>
    <row r="118" spans="1:11" ht="15.75" customHeight="1">
      <c r="A118" s="579"/>
      <c r="B118" s="680">
        <v>3</v>
      </c>
      <c r="C118" s="1118" t="s">
        <v>491</v>
      </c>
      <c r="D118" s="949"/>
      <c r="E118" s="949"/>
      <c r="F118" s="949"/>
      <c r="G118" s="949"/>
      <c r="H118" s="949"/>
      <c r="I118" s="950"/>
      <c r="J118" s="680" t="s">
        <v>447</v>
      </c>
      <c r="K118" s="712"/>
    </row>
    <row r="119" spans="1:11" ht="42.75" customHeight="1">
      <c r="A119" s="579"/>
      <c r="B119" s="682" t="s">
        <v>369</v>
      </c>
      <c r="C119" s="1051" t="s">
        <v>1188</v>
      </c>
      <c r="D119" s="949"/>
      <c r="E119" s="949"/>
      <c r="F119" s="949"/>
      <c r="G119" s="949"/>
      <c r="H119" s="949"/>
      <c r="I119" s="950"/>
      <c r="J119" s="671">
        <f>ROUND((($J$58/12)+($J$70/12)+(J58/12/12)+($J$71/12))*(30/30)*0.05,2)</f>
        <v>0</v>
      </c>
      <c r="K119" s="663"/>
    </row>
    <row r="120" spans="1:11" ht="15.75" customHeight="1">
      <c r="A120" s="579"/>
      <c r="B120" s="682" t="s">
        <v>371</v>
      </c>
      <c r="C120" s="1111" t="s">
        <v>493</v>
      </c>
      <c r="D120" s="949"/>
      <c r="E120" s="949"/>
      <c r="F120" s="949"/>
      <c r="G120" s="949"/>
      <c r="H120" s="949"/>
      <c r="I120" s="950"/>
      <c r="J120" s="671">
        <f>ROUND($I$85*J119,2)</f>
        <v>0</v>
      </c>
      <c r="K120" s="663"/>
    </row>
    <row r="121" spans="1:11" ht="30" customHeight="1">
      <c r="A121" s="579"/>
      <c r="B121" s="682" t="s">
        <v>373</v>
      </c>
      <c r="C121" s="1051" t="s">
        <v>1189</v>
      </c>
      <c r="D121" s="949"/>
      <c r="E121" s="949"/>
      <c r="F121" s="949"/>
      <c r="G121" s="949"/>
      <c r="H121" s="949"/>
      <c r="I121" s="950"/>
      <c r="J121" s="671">
        <f>ROUND(((7/30)/$I$11)*$J$58*1,2)</f>
        <v>0</v>
      </c>
      <c r="K121" s="663"/>
    </row>
    <row r="122" spans="1:11" ht="24" customHeight="1">
      <c r="A122" s="579"/>
      <c r="B122" s="682" t="s">
        <v>375</v>
      </c>
      <c r="C122" s="1111" t="s">
        <v>495</v>
      </c>
      <c r="D122" s="949"/>
      <c r="E122" s="949"/>
      <c r="F122" s="949"/>
      <c r="G122" s="949"/>
      <c r="H122" s="949"/>
      <c r="I122" s="950"/>
      <c r="J122" s="671">
        <f>ROUND($I$86*J121,2)</f>
        <v>0</v>
      </c>
      <c r="K122" s="663"/>
    </row>
    <row r="123" spans="1:11" ht="36" customHeight="1">
      <c r="A123" s="579"/>
      <c r="B123" s="682" t="s">
        <v>417</v>
      </c>
      <c r="C123" s="1051" t="s">
        <v>1190</v>
      </c>
      <c r="D123" s="949"/>
      <c r="E123" s="949"/>
      <c r="F123" s="949"/>
      <c r="G123" s="949"/>
      <c r="H123" s="950"/>
      <c r="I123" s="714">
        <v>0.04</v>
      </c>
      <c r="J123" s="671">
        <f>ROUND(J58*I123,2)</f>
        <v>0</v>
      </c>
      <c r="K123" s="663"/>
    </row>
    <row r="124" spans="1:11" ht="19.5" customHeight="1">
      <c r="A124" s="579"/>
      <c r="B124" s="1108" t="s">
        <v>497</v>
      </c>
      <c r="C124" s="949"/>
      <c r="D124" s="949"/>
      <c r="E124" s="949"/>
      <c r="F124" s="949"/>
      <c r="G124" s="949"/>
      <c r="H124" s="949"/>
      <c r="I124" s="950"/>
      <c r="J124" s="662">
        <f>SUM(J119:J123)</f>
        <v>0</v>
      </c>
      <c r="K124" s="663"/>
    </row>
    <row r="125" spans="1:11" ht="15.75" customHeight="1">
      <c r="A125" s="579"/>
      <c r="B125" s="1112"/>
      <c r="C125" s="949"/>
      <c r="D125" s="949"/>
      <c r="E125" s="949"/>
      <c r="F125" s="949"/>
      <c r="G125" s="949"/>
      <c r="H125" s="949"/>
      <c r="I125" s="949"/>
      <c r="J125" s="950"/>
      <c r="K125" s="715"/>
    </row>
    <row r="126" spans="1:11" ht="17.25" customHeight="1">
      <c r="A126" s="579"/>
      <c r="B126" s="1113" t="s">
        <v>498</v>
      </c>
      <c r="C126" s="949"/>
      <c r="D126" s="949"/>
      <c r="E126" s="949"/>
      <c r="F126" s="949"/>
      <c r="G126" s="949"/>
      <c r="H126" s="949"/>
      <c r="I126" s="949"/>
      <c r="J126" s="950"/>
      <c r="K126" s="716"/>
    </row>
    <row r="127" spans="1:11" ht="27" customHeight="1">
      <c r="A127" s="579"/>
      <c r="B127" s="1086" t="s">
        <v>499</v>
      </c>
      <c r="C127" s="949"/>
      <c r="D127" s="949"/>
      <c r="E127" s="949"/>
      <c r="F127" s="949"/>
      <c r="G127" s="949"/>
      <c r="H127" s="949"/>
      <c r="I127" s="949"/>
      <c r="J127" s="950"/>
      <c r="K127" s="617"/>
    </row>
    <row r="128" spans="1:11" ht="54" customHeight="1">
      <c r="A128" s="579"/>
      <c r="B128" s="1105" t="s">
        <v>1191</v>
      </c>
      <c r="C128" s="949"/>
      <c r="D128" s="949"/>
      <c r="E128" s="949"/>
      <c r="F128" s="949"/>
      <c r="G128" s="949"/>
      <c r="H128" s="949"/>
      <c r="I128" s="949"/>
      <c r="J128" s="950"/>
      <c r="K128" s="665"/>
    </row>
    <row r="129" spans="1:11" ht="33.75" customHeight="1">
      <c r="A129" s="579"/>
      <c r="B129" s="717" t="s">
        <v>501</v>
      </c>
      <c r="C129" s="718">
        <f>J58</f>
        <v>0</v>
      </c>
      <c r="D129" s="719" t="s">
        <v>502</v>
      </c>
      <c r="E129" s="717" t="s">
        <v>1192</v>
      </c>
      <c r="F129" s="718">
        <f>J115-J92-J97</f>
        <v>0.18</v>
      </c>
      <c r="G129" s="719" t="s">
        <v>502</v>
      </c>
      <c r="H129" s="717" t="s">
        <v>504</v>
      </c>
      <c r="I129" s="718">
        <f>J124</f>
        <v>0</v>
      </c>
      <c r="J129" s="720">
        <f>C129+F129+I129</f>
        <v>0.18</v>
      </c>
      <c r="K129" s="721"/>
    </row>
    <row r="130" spans="1:11" ht="13.5" customHeight="1">
      <c r="A130" s="579"/>
      <c r="B130" s="1120"/>
      <c r="C130" s="949"/>
      <c r="D130" s="949"/>
      <c r="E130" s="949"/>
      <c r="F130" s="949"/>
      <c r="G130" s="949"/>
      <c r="H130" s="949"/>
      <c r="I130" s="949"/>
      <c r="J130" s="950"/>
      <c r="K130" s="722"/>
    </row>
    <row r="131" spans="1:11" ht="15.75" customHeight="1">
      <c r="A131" s="579"/>
      <c r="B131" s="1121" t="s">
        <v>505</v>
      </c>
      <c r="C131" s="949"/>
      <c r="D131" s="949"/>
      <c r="E131" s="949"/>
      <c r="F131" s="949"/>
      <c r="G131" s="949"/>
      <c r="H131" s="949"/>
      <c r="I131" s="949"/>
      <c r="J131" s="950"/>
      <c r="K131" s="723"/>
    </row>
    <row r="132" spans="1:11" ht="17.25" customHeight="1">
      <c r="A132" s="579"/>
      <c r="B132" s="724" t="s">
        <v>506</v>
      </c>
      <c r="C132" s="1118" t="s">
        <v>507</v>
      </c>
      <c r="D132" s="949"/>
      <c r="E132" s="949"/>
      <c r="F132" s="949"/>
      <c r="G132" s="949"/>
      <c r="H132" s="949"/>
      <c r="I132" s="950"/>
      <c r="J132" s="724" t="s">
        <v>447</v>
      </c>
      <c r="K132" s="726"/>
    </row>
    <row r="133" spans="1:11" ht="46.5" customHeight="1">
      <c r="A133" s="579"/>
      <c r="B133" s="682" t="s">
        <v>369</v>
      </c>
      <c r="C133" s="1092" t="s">
        <v>1193</v>
      </c>
      <c r="D133" s="949"/>
      <c r="E133" s="949"/>
      <c r="F133" s="949"/>
      <c r="G133" s="949"/>
      <c r="H133" s="727">
        <v>9.0749999999999997E-2</v>
      </c>
      <c r="I133" s="873">
        <f>I86</f>
        <v>0.36800000000000005</v>
      </c>
      <c r="J133" s="671">
        <f>ROUND(H133*J58,2)*(1+I133)</f>
        <v>0</v>
      </c>
      <c r="K133" s="663"/>
    </row>
    <row r="134" spans="1:11" ht="17.25" customHeight="1">
      <c r="A134" s="579"/>
      <c r="B134" s="682" t="s">
        <v>371</v>
      </c>
      <c r="C134" s="1051" t="s">
        <v>1194</v>
      </c>
      <c r="D134" s="949"/>
      <c r="E134" s="949"/>
      <c r="F134" s="949"/>
      <c r="G134" s="949"/>
      <c r="H134" s="949"/>
      <c r="I134" s="950"/>
      <c r="J134" s="671">
        <f>ROUND((1/30)/12*(J129),2)</f>
        <v>0</v>
      </c>
      <c r="K134" s="663"/>
    </row>
    <row r="135" spans="1:11" ht="31.5" customHeight="1">
      <c r="A135" s="579"/>
      <c r="B135" s="682" t="s">
        <v>373</v>
      </c>
      <c r="C135" s="1051" t="s">
        <v>1195</v>
      </c>
      <c r="D135" s="949"/>
      <c r="E135" s="949"/>
      <c r="F135" s="949"/>
      <c r="G135" s="949"/>
      <c r="H135" s="949"/>
      <c r="I135" s="950"/>
      <c r="J135" s="671">
        <f>ROUND((5/30)/12*0.015*(J129),2)</f>
        <v>0</v>
      </c>
      <c r="K135" s="663"/>
    </row>
    <row r="136" spans="1:11" ht="24.75" customHeight="1">
      <c r="A136" s="579"/>
      <c r="B136" s="682" t="s">
        <v>375</v>
      </c>
      <c r="C136" s="1051" t="s">
        <v>1196</v>
      </c>
      <c r="D136" s="949"/>
      <c r="E136" s="949"/>
      <c r="F136" s="949"/>
      <c r="G136" s="949"/>
      <c r="H136" s="949"/>
      <c r="I136" s="950"/>
      <c r="J136" s="671">
        <f>ROUND(((15/30)/12)*0.0078*(J129),2)</f>
        <v>0</v>
      </c>
      <c r="K136" s="663"/>
    </row>
    <row r="137" spans="1:11" ht="31.5" customHeight="1">
      <c r="A137" s="579"/>
      <c r="B137" s="730" t="s">
        <v>417</v>
      </c>
      <c r="C137" s="1119" t="s">
        <v>1197</v>
      </c>
      <c r="D137" s="949"/>
      <c r="E137" s="949"/>
      <c r="F137" s="949"/>
      <c r="G137" s="949"/>
      <c r="H137" s="949"/>
      <c r="I137" s="950"/>
      <c r="J137" s="731">
        <f>ROUND(((((C129+C129/3)+(I86)*(C129+C129/3))*(4/12))/12)*0.02,2) + ((J106 -J92-J97+ J124)*4/12)*0.02</f>
        <v>1.1999999999999999E-3</v>
      </c>
      <c r="K137" s="732"/>
    </row>
    <row r="138" spans="1:11" ht="36" customHeight="1">
      <c r="A138" s="579"/>
      <c r="B138" s="682" t="s">
        <v>421</v>
      </c>
      <c r="C138" s="1051" t="s">
        <v>1198</v>
      </c>
      <c r="D138" s="949"/>
      <c r="E138" s="949"/>
      <c r="F138" s="949"/>
      <c r="G138" s="949"/>
      <c r="H138" s="949"/>
      <c r="I138" s="950"/>
      <c r="J138" s="671">
        <f>ROUND(((3/30)/12)*(J129),2)</f>
        <v>0</v>
      </c>
      <c r="K138" s="663"/>
    </row>
    <row r="139" spans="1:11" ht="19.5" customHeight="1">
      <c r="A139" s="579"/>
      <c r="B139" s="1108" t="s">
        <v>450</v>
      </c>
      <c r="C139" s="949"/>
      <c r="D139" s="949"/>
      <c r="E139" s="949"/>
      <c r="F139" s="949"/>
      <c r="G139" s="949"/>
      <c r="H139" s="949"/>
      <c r="I139" s="950"/>
      <c r="J139" s="662">
        <f>SUM(J133:J138)</f>
        <v>1.1999999999999999E-3</v>
      </c>
      <c r="K139" s="663"/>
    </row>
    <row r="140" spans="1:11" ht="9" customHeight="1">
      <c r="A140" s="579"/>
      <c r="B140" s="1112"/>
      <c r="C140" s="949"/>
      <c r="D140" s="949"/>
      <c r="E140" s="949"/>
      <c r="F140" s="949"/>
      <c r="G140" s="949"/>
      <c r="H140" s="949"/>
      <c r="I140" s="949"/>
      <c r="J140" s="950"/>
      <c r="K140" s="715"/>
    </row>
    <row r="141" spans="1:11" ht="19.5" customHeight="1">
      <c r="A141" s="579"/>
      <c r="B141" s="1114" t="s">
        <v>514</v>
      </c>
      <c r="C141" s="949"/>
      <c r="D141" s="949"/>
      <c r="E141" s="949"/>
      <c r="F141" s="949"/>
      <c r="G141" s="949"/>
      <c r="H141" s="949"/>
      <c r="I141" s="949"/>
      <c r="J141" s="950"/>
      <c r="K141" s="654"/>
    </row>
    <row r="142" spans="1:11" ht="19.5" customHeight="1">
      <c r="A142" s="579"/>
      <c r="B142" s="733" t="s">
        <v>515</v>
      </c>
      <c r="C142" s="1122" t="s">
        <v>516</v>
      </c>
      <c r="D142" s="949"/>
      <c r="E142" s="949"/>
      <c r="F142" s="949"/>
      <c r="G142" s="949"/>
      <c r="H142" s="949"/>
      <c r="I142" s="950"/>
      <c r="J142" s="734" t="s">
        <v>447</v>
      </c>
      <c r="K142" s="735"/>
    </row>
    <row r="143" spans="1:11" ht="19.5" customHeight="1">
      <c r="A143" s="579"/>
      <c r="B143" s="736" t="s">
        <v>369</v>
      </c>
      <c r="C143" s="1125" t="s">
        <v>517</v>
      </c>
      <c r="D143" s="949"/>
      <c r="E143" s="949"/>
      <c r="F143" s="949"/>
      <c r="G143" s="949"/>
      <c r="H143" s="949"/>
      <c r="I143" s="950"/>
      <c r="J143" s="737">
        <v>0</v>
      </c>
      <c r="K143" s="738"/>
    </row>
    <row r="144" spans="1:11" ht="19.5" customHeight="1">
      <c r="A144" s="579"/>
      <c r="B144" s="1102" t="s">
        <v>450</v>
      </c>
      <c r="C144" s="949"/>
      <c r="D144" s="949"/>
      <c r="E144" s="949"/>
      <c r="F144" s="949"/>
      <c r="G144" s="949"/>
      <c r="H144" s="949"/>
      <c r="I144" s="950"/>
      <c r="J144" s="739">
        <v>0</v>
      </c>
      <c r="K144" s="738"/>
    </row>
    <row r="145" spans="1:11" ht="7.5" customHeight="1">
      <c r="A145" s="579"/>
      <c r="B145" s="1126"/>
      <c r="C145" s="949"/>
      <c r="D145" s="949"/>
      <c r="E145" s="949"/>
      <c r="F145" s="949"/>
      <c r="G145" s="949"/>
      <c r="H145" s="949"/>
      <c r="I145" s="949"/>
      <c r="J145" s="950"/>
      <c r="K145" s="740"/>
    </row>
    <row r="146" spans="1:11" ht="19.5" customHeight="1">
      <c r="A146" s="579"/>
      <c r="B146" s="1098" t="s">
        <v>518</v>
      </c>
      <c r="C146" s="949"/>
      <c r="D146" s="949"/>
      <c r="E146" s="949"/>
      <c r="F146" s="949"/>
      <c r="G146" s="949"/>
      <c r="H146" s="949"/>
      <c r="I146" s="949"/>
      <c r="J146" s="950"/>
      <c r="K146" s="653"/>
    </row>
    <row r="147" spans="1:11" ht="19.5" customHeight="1">
      <c r="A147" s="579"/>
      <c r="B147" s="668">
        <v>4</v>
      </c>
      <c r="C147" s="1122" t="s">
        <v>519</v>
      </c>
      <c r="D147" s="949"/>
      <c r="E147" s="949"/>
      <c r="F147" s="949"/>
      <c r="G147" s="949"/>
      <c r="H147" s="949"/>
      <c r="I147" s="950"/>
      <c r="J147" s="734" t="s">
        <v>447</v>
      </c>
      <c r="K147" s="735"/>
    </row>
    <row r="148" spans="1:11" ht="17.25" customHeight="1">
      <c r="A148" s="579"/>
      <c r="B148" s="600" t="s">
        <v>506</v>
      </c>
      <c r="C148" s="1125" t="s">
        <v>507</v>
      </c>
      <c r="D148" s="949"/>
      <c r="E148" s="949"/>
      <c r="F148" s="949"/>
      <c r="G148" s="949"/>
      <c r="H148" s="949"/>
      <c r="I148" s="950"/>
      <c r="J148" s="737">
        <f>J139</f>
        <v>1.1999999999999999E-3</v>
      </c>
      <c r="K148" s="738"/>
    </row>
    <row r="149" spans="1:11" ht="17.25" customHeight="1">
      <c r="A149" s="579"/>
      <c r="B149" s="600" t="s">
        <v>520</v>
      </c>
      <c r="C149" s="1125" t="s">
        <v>516</v>
      </c>
      <c r="D149" s="949"/>
      <c r="E149" s="949"/>
      <c r="F149" s="949"/>
      <c r="G149" s="949"/>
      <c r="H149" s="949"/>
      <c r="I149" s="950"/>
      <c r="J149" s="737">
        <f>J144</f>
        <v>0</v>
      </c>
      <c r="K149" s="738"/>
    </row>
    <row r="150" spans="1:11" ht="24" customHeight="1">
      <c r="A150" s="579"/>
      <c r="B150" s="1115" t="s">
        <v>450</v>
      </c>
      <c r="C150" s="949"/>
      <c r="D150" s="949"/>
      <c r="E150" s="949"/>
      <c r="F150" s="949"/>
      <c r="G150" s="949"/>
      <c r="H150" s="949"/>
      <c r="I150" s="950"/>
      <c r="J150" s="739">
        <f>SUM(J148+J149)</f>
        <v>1.1999999999999999E-3</v>
      </c>
      <c r="K150" s="738"/>
    </row>
    <row r="151" spans="1:11" ht="9" customHeight="1">
      <c r="A151" s="579"/>
      <c r="B151" s="1126"/>
      <c r="C151" s="949"/>
      <c r="D151" s="949"/>
      <c r="E151" s="949"/>
      <c r="F151" s="949"/>
      <c r="G151" s="949"/>
      <c r="H151" s="949"/>
      <c r="I151" s="949"/>
      <c r="J151" s="950"/>
      <c r="K151" s="740"/>
    </row>
    <row r="152" spans="1:11" ht="15.75" customHeight="1">
      <c r="A152" s="579"/>
      <c r="B152" s="1113" t="s">
        <v>521</v>
      </c>
      <c r="C152" s="949"/>
      <c r="D152" s="949"/>
      <c r="E152" s="949"/>
      <c r="F152" s="949"/>
      <c r="G152" s="949"/>
      <c r="H152" s="949"/>
      <c r="I152" s="949"/>
      <c r="J152" s="950"/>
      <c r="K152" s="716"/>
    </row>
    <row r="153" spans="1:11" ht="15.75" customHeight="1">
      <c r="A153" s="579"/>
      <c r="B153" s="680">
        <v>3</v>
      </c>
      <c r="C153" s="1089" t="s">
        <v>522</v>
      </c>
      <c r="D153" s="949"/>
      <c r="E153" s="949"/>
      <c r="F153" s="949"/>
      <c r="G153" s="949"/>
      <c r="H153" s="949"/>
      <c r="I153" s="950"/>
      <c r="J153" s="680" t="s">
        <v>447</v>
      </c>
      <c r="K153" s="712"/>
    </row>
    <row r="154" spans="1:11" ht="19.5" customHeight="1">
      <c r="A154" s="579"/>
      <c r="B154" s="682" t="s">
        <v>369</v>
      </c>
      <c r="C154" s="1051" t="s">
        <v>658</v>
      </c>
      <c r="D154" s="949"/>
      <c r="E154" s="949"/>
      <c r="F154" s="949"/>
      <c r="G154" s="949"/>
      <c r="H154" s="949"/>
      <c r="I154" s="950"/>
      <c r="J154" s="671">
        <v>0</v>
      </c>
      <c r="K154" s="663"/>
    </row>
    <row r="155" spans="1:11" ht="15.75" customHeight="1">
      <c r="A155" s="579"/>
      <c r="B155" s="682" t="s">
        <v>371</v>
      </c>
      <c r="C155" s="1051" t="s">
        <v>659</v>
      </c>
      <c r="D155" s="949"/>
      <c r="E155" s="949"/>
      <c r="F155" s="949"/>
      <c r="G155" s="949"/>
      <c r="H155" s="949"/>
      <c r="I155" s="950"/>
      <c r="J155" s="742">
        <v>0</v>
      </c>
      <c r="K155" s="704"/>
    </row>
    <row r="156" spans="1:11" ht="15.75" customHeight="1">
      <c r="A156" s="579"/>
      <c r="B156" s="682" t="s">
        <v>373</v>
      </c>
      <c r="C156" s="1051" t="s">
        <v>524</v>
      </c>
      <c r="D156" s="949"/>
      <c r="E156" s="949"/>
      <c r="F156" s="949"/>
      <c r="G156" s="949"/>
      <c r="H156" s="949"/>
      <c r="I156" s="950"/>
      <c r="J156" s="742" t="s">
        <v>525</v>
      </c>
      <c r="K156" s="704"/>
    </row>
    <row r="157" spans="1:11" ht="19.5" customHeight="1">
      <c r="A157" s="579"/>
      <c r="B157" s="1108" t="s">
        <v>526</v>
      </c>
      <c r="C157" s="949"/>
      <c r="D157" s="949"/>
      <c r="E157" s="949"/>
      <c r="F157" s="949"/>
      <c r="G157" s="949"/>
      <c r="H157" s="949"/>
      <c r="I157" s="950"/>
      <c r="J157" s="743">
        <f>ROUND(SUM(J154:J156),2)</f>
        <v>0</v>
      </c>
      <c r="K157" s="704"/>
    </row>
    <row r="158" spans="1:11" ht="9" customHeight="1">
      <c r="A158" s="579"/>
      <c r="B158" s="1153"/>
      <c r="C158" s="949"/>
      <c r="D158" s="949"/>
      <c r="E158" s="949"/>
      <c r="F158" s="949"/>
      <c r="G158" s="949"/>
      <c r="H158" s="949"/>
      <c r="I158" s="949"/>
      <c r="J158" s="950"/>
      <c r="K158" s="744"/>
    </row>
    <row r="159" spans="1:11" ht="18.75" customHeight="1">
      <c r="A159" s="579"/>
      <c r="B159" s="1154" t="s">
        <v>527</v>
      </c>
      <c r="C159" s="949"/>
      <c r="D159" s="949"/>
      <c r="E159" s="949"/>
      <c r="F159" s="949"/>
      <c r="G159" s="949"/>
      <c r="H159" s="949"/>
      <c r="I159" s="949"/>
      <c r="J159" s="950"/>
      <c r="K159" s="745"/>
    </row>
    <row r="160" spans="1:11" ht="7.5" customHeight="1">
      <c r="A160" s="579"/>
      <c r="B160" s="746"/>
      <c r="C160" s="747"/>
      <c r="D160" s="747"/>
      <c r="E160" s="747"/>
      <c r="F160" s="747"/>
      <c r="G160" s="747"/>
      <c r="H160" s="747"/>
      <c r="I160" s="747"/>
      <c r="J160" s="748"/>
      <c r="K160" s="314"/>
    </row>
    <row r="161" spans="1:11" ht="24" customHeight="1">
      <c r="A161" s="579"/>
      <c r="B161" s="1117" t="s">
        <v>528</v>
      </c>
      <c r="C161" s="949"/>
      <c r="D161" s="949"/>
      <c r="E161" s="949"/>
      <c r="F161" s="949"/>
      <c r="G161" s="949"/>
      <c r="H161" s="949"/>
      <c r="I161" s="949"/>
      <c r="J161" s="950"/>
      <c r="K161" s="711"/>
    </row>
    <row r="162" spans="1:11" ht="24.75" customHeight="1">
      <c r="A162" s="579"/>
      <c r="B162" s="680">
        <v>6</v>
      </c>
      <c r="C162" s="1118" t="s">
        <v>529</v>
      </c>
      <c r="D162" s="949"/>
      <c r="E162" s="949"/>
      <c r="F162" s="949"/>
      <c r="G162" s="949"/>
      <c r="H162" s="950"/>
      <c r="I162" s="749" t="s">
        <v>411</v>
      </c>
      <c r="J162" s="750" t="s">
        <v>455</v>
      </c>
      <c r="K162" s="751"/>
    </row>
    <row r="163" spans="1:11" ht="57" customHeight="1">
      <c r="A163" s="579"/>
      <c r="B163" s="1062" t="s">
        <v>530</v>
      </c>
      <c r="C163" s="949"/>
      <c r="D163" s="949"/>
      <c r="E163" s="949"/>
      <c r="F163" s="949"/>
      <c r="G163" s="949"/>
      <c r="H163" s="950"/>
      <c r="I163" s="341" t="s">
        <v>382</v>
      </c>
      <c r="J163" s="752">
        <f>SUM(J63+J115+J124+J150+J157)</f>
        <v>0.1812</v>
      </c>
      <c r="K163" s="753"/>
    </row>
    <row r="164" spans="1:11" ht="22.5" customHeight="1">
      <c r="A164" s="579"/>
      <c r="B164" s="682" t="s">
        <v>369</v>
      </c>
      <c r="C164" s="1155" t="s">
        <v>531</v>
      </c>
      <c r="D164" s="949"/>
      <c r="E164" s="949"/>
      <c r="F164" s="949"/>
      <c r="G164" s="949"/>
      <c r="H164" s="950"/>
      <c r="I164" s="670">
        <f>'1-ABA-DE-CARREGAMENTO'!M85</f>
        <v>0.06</v>
      </c>
      <c r="J164" s="671">
        <f>ROUND(I164*J163,2)</f>
        <v>0.01</v>
      </c>
      <c r="K164" s="663"/>
    </row>
    <row r="165" spans="1:11" ht="56.25" customHeight="1">
      <c r="A165" s="579"/>
      <c r="B165" s="1062" t="s">
        <v>532</v>
      </c>
      <c r="C165" s="949"/>
      <c r="D165" s="949"/>
      <c r="E165" s="949"/>
      <c r="F165" s="949"/>
      <c r="G165" s="949"/>
      <c r="H165" s="950"/>
      <c r="I165" s="754" t="s">
        <v>382</v>
      </c>
      <c r="J165" s="752">
        <f>SUM(J63+J115+J124+J150+J157+J164)</f>
        <v>0.19120000000000001</v>
      </c>
      <c r="K165" s="753"/>
    </row>
    <row r="166" spans="1:11" ht="19.5" customHeight="1">
      <c r="A166" s="579"/>
      <c r="B166" s="682" t="s">
        <v>371</v>
      </c>
      <c r="C166" s="1155" t="s">
        <v>312</v>
      </c>
      <c r="D166" s="949"/>
      <c r="E166" s="949"/>
      <c r="F166" s="949"/>
      <c r="G166" s="949"/>
      <c r="H166" s="950"/>
      <c r="I166" s="670">
        <f>'1-ABA-DE-CARREGAMENTO'!M86</f>
        <v>0.06</v>
      </c>
      <c r="J166" s="671">
        <f>ROUND(I166*J165,2)</f>
        <v>0.01</v>
      </c>
      <c r="K166" s="663"/>
    </row>
    <row r="167" spans="1:11" ht="52.5" customHeight="1">
      <c r="A167" s="579"/>
      <c r="B167" s="1062" t="s">
        <v>533</v>
      </c>
      <c r="C167" s="949"/>
      <c r="D167" s="949"/>
      <c r="E167" s="949"/>
      <c r="F167" s="949"/>
      <c r="G167" s="949"/>
      <c r="H167" s="950"/>
      <c r="I167" s="754" t="s">
        <v>382</v>
      </c>
      <c r="J167" s="752">
        <f>SUM(J163+J164+J166)</f>
        <v>0.20120000000000002</v>
      </c>
      <c r="K167" s="753"/>
    </row>
    <row r="168" spans="1:11" ht="18.75" customHeight="1">
      <c r="A168" s="579"/>
      <c r="B168" s="755" t="s">
        <v>373</v>
      </c>
      <c r="C168" s="1117" t="s">
        <v>534</v>
      </c>
      <c r="D168" s="949"/>
      <c r="E168" s="949"/>
      <c r="F168" s="949"/>
      <c r="G168" s="949"/>
      <c r="H168" s="950"/>
      <c r="I168" s="756" t="s">
        <v>382</v>
      </c>
      <c r="J168" s="643" t="s">
        <v>382</v>
      </c>
      <c r="K168" s="644"/>
    </row>
    <row r="169" spans="1:11" ht="14.25" customHeight="1">
      <c r="A169" s="579"/>
      <c r="B169" s="682"/>
      <c r="C169" s="1111" t="s">
        <v>535</v>
      </c>
      <c r="D169" s="949"/>
      <c r="E169" s="949"/>
      <c r="F169" s="949"/>
      <c r="G169" s="949"/>
      <c r="H169" s="950"/>
      <c r="I169" s="756" t="s">
        <v>382</v>
      </c>
      <c r="J169" s="643" t="s">
        <v>382</v>
      </c>
      <c r="K169" s="644"/>
    </row>
    <row r="170" spans="1:11" ht="24" customHeight="1">
      <c r="A170" s="579"/>
      <c r="B170" s="682"/>
      <c r="C170" s="1156" t="s">
        <v>1199</v>
      </c>
      <c r="D170" s="949"/>
      <c r="E170" s="949"/>
      <c r="F170" s="949"/>
      <c r="G170" s="949"/>
      <c r="H170" s="950"/>
      <c r="I170" s="629">
        <f>'1-ABA-DE-CARREGAMENTO'!E28</f>
        <v>1.6500000000000001E-2</v>
      </c>
      <c r="J170" s="757">
        <f t="shared" ref="J170:J171" si="1">ROUND(($J$167/(1-$I$179))*I170,2)</f>
        <v>0</v>
      </c>
      <c r="K170" s="758"/>
    </row>
    <row r="171" spans="1:11" ht="24" customHeight="1">
      <c r="A171" s="579"/>
      <c r="B171" s="682"/>
      <c r="C171" s="1156" t="s">
        <v>1200</v>
      </c>
      <c r="D171" s="949"/>
      <c r="E171" s="949"/>
      <c r="F171" s="949"/>
      <c r="G171" s="949"/>
      <c r="H171" s="950"/>
      <c r="I171" s="629">
        <f>'1-ABA-DE-CARREGAMENTO'!F28</f>
        <v>7.5999999999999998E-2</v>
      </c>
      <c r="J171" s="757">
        <f t="shared" si="1"/>
        <v>0.02</v>
      </c>
      <c r="K171" s="758"/>
    </row>
    <row r="172" spans="1:11" ht="24" customHeight="1">
      <c r="A172" s="579"/>
      <c r="B172" s="682"/>
      <c r="C172" s="1051" t="s">
        <v>1201</v>
      </c>
      <c r="D172" s="949"/>
      <c r="E172" s="949"/>
      <c r="F172" s="949"/>
      <c r="G172" s="949"/>
      <c r="H172" s="950"/>
      <c r="I172" s="759" t="s">
        <v>382</v>
      </c>
      <c r="J172" s="643" t="s">
        <v>382</v>
      </c>
      <c r="K172" s="644"/>
    </row>
    <row r="173" spans="1:11" ht="24" customHeight="1">
      <c r="A173" s="579"/>
      <c r="B173" s="682"/>
      <c r="C173" s="1051" t="s">
        <v>1202</v>
      </c>
      <c r="D173" s="949"/>
      <c r="E173" s="949"/>
      <c r="F173" s="949"/>
      <c r="G173" s="949"/>
      <c r="H173" s="950"/>
      <c r="I173" s="759" t="s">
        <v>382</v>
      </c>
      <c r="J173" s="643" t="s">
        <v>382</v>
      </c>
      <c r="K173" s="644"/>
    </row>
    <row r="174" spans="1:11" ht="15.75" customHeight="1">
      <c r="A174" s="579"/>
      <c r="B174" s="682"/>
      <c r="C174" s="1051" t="s">
        <v>540</v>
      </c>
      <c r="D174" s="949"/>
      <c r="E174" s="949"/>
      <c r="F174" s="949"/>
      <c r="G174" s="949"/>
      <c r="H174" s="949"/>
      <c r="I174" s="760" t="s">
        <v>382</v>
      </c>
      <c r="J174" s="761" t="s">
        <v>382</v>
      </c>
      <c r="K174" s="762"/>
    </row>
    <row r="175" spans="1:11" ht="15.75" customHeight="1">
      <c r="A175" s="579"/>
      <c r="B175" s="682"/>
      <c r="C175" s="1051" t="s">
        <v>541</v>
      </c>
      <c r="D175" s="949"/>
      <c r="E175" s="949"/>
      <c r="F175" s="949"/>
      <c r="G175" s="949"/>
      <c r="H175" s="949"/>
      <c r="I175" s="760" t="s">
        <v>382</v>
      </c>
      <c r="J175" s="761" t="s">
        <v>382</v>
      </c>
      <c r="K175" s="762"/>
    </row>
    <row r="176" spans="1:11" ht="15.75" customHeight="1">
      <c r="A176" s="579"/>
      <c r="B176" s="682"/>
      <c r="C176" s="1051" t="s">
        <v>1203</v>
      </c>
      <c r="D176" s="949"/>
      <c r="E176" s="949"/>
      <c r="F176" s="949"/>
      <c r="G176" s="949"/>
      <c r="H176" s="950"/>
      <c r="I176" s="763">
        <f>'1-ABA-DE-CARREGAMENTO'!D87</f>
        <v>0.03</v>
      </c>
      <c r="J176" s="757">
        <f>ROUND(($J$167/(1-$I$179))*I176,2)</f>
        <v>0.01</v>
      </c>
      <c r="K176" s="758"/>
    </row>
    <row r="177" spans="1:11" ht="15.75" customHeight="1">
      <c r="A177" s="579"/>
      <c r="B177" s="1108" t="s">
        <v>497</v>
      </c>
      <c r="C177" s="949"/>
      <c r="D177" s="949"/>
      <c r="E177" s="949"/>
      <c r="F177" s="949"/>
      <c r="G177" s="949"/>
      <c r="H177" s="949"/>
      <c r="I177" s="950"/>
      <c r="J177" s="662">
        <f>SUM(J164+J166+J170+J171+J176)</f>
        <v>0.05</v>
      </c>
      <c r="K177" s="663"/>
    </row>
    <row r="178" spans="1:11" ht="15.75" customHeight="1">
      <c r="A178" s="579"/>
      <c r="B178" s="1112"/>
      <c r="C178" s="949"/>
      <c r="D178" s="949"/>
      <c r="E178" s="949"/>
      <c r="F178" s="949"/>
      <c r="G178" s="949"/>
      <c r="H178" s="949"/>
      <c r="I178" s="949"/>
      <c r="J178" s="950"/>
      <c r="K178" s="715"/>
    </row>
    <row r="179" spans="1:11" ht="15.75" customHeight="1">
      <c r="A179" s="579"/>
      <c r="B179" s="1157" t="s">
        <v>543</v>
      </c>
      <c r="C179" s="949"/>
      <c r="D179" s="949"/>
      <c r="E179" s="949"/>
      <c r="F179" s="949"/>
      <c r="G179" s="949"/>
      <c r="H179" s="950"/>
      <c r="I179" s="764">
        <f t="shared" ref="I179:J179" si="2">SUM(I170:I176)</f>
        <v>0.1225</v>
      </c>
      <c r="J179" s="752">
        <f t="shared" si="2"/>
        <v>0.03</v>
      </c>
      <c r="K179" s="753"/>
    </row>
    <row r="180" spans="1:11" ht="15.75" customHeight="1">
      <c r="A180" s="579"/>
      <c r="B180" s="1158" t="s">
        <v>544</v>
      </c>
      <c r="C180" s="947"/>
      <c r="D180" s="1159" t="s">
        <v>545</v>
      </c>
      <c r="E180" s="947"/>
      <c r="F180" s="947"/>
      <c r="G180" s="947"/>
      <c r="H180" s="947"/>
      <c r="I180" s="947"/>
      <c r="J180" s="1020"/>
      <c r="K180" s="765"/>
    </row>
    <row r="181" spans="1:11" ht="15.75" customHeight="1">
      <c r="A181" s="579"/>
      <c r="B181" s="1151"/>
      <c r="C181" s="947"/>
      <c r="D181" s="1160" t="s">
        <v>546</v>
      </c>
      <c r="E181" s="947"/>
      <c r="F181" s="947"/>
      <c r="G181" s="947"/>
      <c r="H181" s="947"/>
      <c r="I181" s="947"/>
      <c r="J181" s="1020"/>
      <c r="K181" s="766"/>
    </row>
    <row r="182" spans="1:11" ht="15.75" customHeight="1">
      <c r="A182" s="579"/>
      <c r="B182" s="1134"/>
      <c r="C182" s="1037"/>
      <c r="D182" s="1161" t="s">
        <v>547</v>
      </c>
      <c r="E182" s="1037"/>
      <c r="F182" s="1037"/>
      <c r="G182" s="1037"/>
      <c r="H182" s="1037"/>
      <c r="I182" s="1037"/>
      <c r="J182" s="1038"/>
      <c r="K182" s="765"/>
    </row>
    <row r="183" spans="1:11" ht="15.75" customHeight="1">
      <c r="A183" s="579"/>
      <c r="B183" s="1162"/>
      <c r="C183" s="949"/>
      <c r="D183" s="949"/>
      <c r="E183" s="949"/>
      <c r="F183" s="949"/>
      <c r="G183" s="949"/>
      <c r="H183" s="949"/>
      <c r="I183" s="949"/>
      <c r="J183" s="950"/>
      <c r="K183" s="767"/>
    </row>
    <row r="184" spans="1:11" ht="15.75" customHeight="1">
      <c r="A184" s="579"/>
      <c r="B184" s="1046" t="s">
        <v>548</v>
      </c>
      <c r="C184" s="949"/>
      <c r="D184" s="949"/>
      <c r="E184" s="949"/>
      <c r="F184" s="949"/>
      <c r="G184" s="949"/>
      <c r="H184" s="949"/>
      <c r="I184" s="949"/>
      <c r="J184" s="950"/>
      <c r="K184" s="596"/>
    </row>
    <row r="185" spans="1:11" ht="15.75" customHeight="1">
      <c r="A185" s="579"/>
      <c r="B185" s="1112"/>
      <c r="C185" s="949"/>
      <c r="D185" s="949"/>
      <c r="E185" s="949"/>
      <c r="F185" s="949"/>
      <c r="G185" s="949"/>
      <c r="H185" s="949"/>
      <c r="I185" s="949"/>
      <c r="J185" s="950"/>
      <c r="K185" s="715"/>
    </row>
    <row r="186" spans="1:11" ht="15.75" customHeight="1">
      <c r="A186" s="579"/>
      <c r="B186" s="1113" t="s">
        <v>1204</v>
      </c>
      <c r="C186" s="949"/>
      <c r="D186" s="949"/>
      <c r="E186" s="949"/>
      <c r="F186" s="949"/>
      <c r="G186" s="949"/>
      <c r="H186" s="949"/>
      <c r="I186" s="949"/>
      <c r="J186" s="950"/>
      <c r="K186" s="716"/>
    </row>
    <row r="187" spans="1:11" ht="15.75" customHeight="1">
      <c r="A187" s="579"/>
      <c r="B187" s="1050" t="s">
        <v>550</v>
      </c>
      <c r="C187" s="949"/>
      <c r="D187" s="949"/>
      <c r="E187" s="949"/>
      <c r="F187" s="949"/>
      <c r="G187" s="949"/>
      <c r="H187" s="949"/>
      <c r="I187" s="950"/>
      <c r="J187" s="749" t="s">
        <v>447</v>
      </c>
      <c r="K187" s="593"/>
    </row>
    <row r="188" spans="1:11" ht="15.75" customHeight="1">
      <c r="A188" s="579"/>
      <c r="B188" s="768" t="s">
        <v>369</v>
      </c>
      <c r="C188" s="1123" t="s">
        <v>551</v>
      </c>
      <c r="D188" s="949"/>
      <c r="E188" s="949"/>
      <c r="F188" s="949"/>
      <c r="G188" s="949"/>
      <c r="H188" s="949"/>
      <c r="I188" s="949"/>
      <c r="J188" s="742">
        <f>J63</f>
        <v>0</v>
      </c>
      <c r="K188" s="704"/>
    </row>
    <row r="189" spans="1:11" ht="15.75" customHeight="1">
      <c r="A189" s="579"/>
      <c r="B189" s="768" t="s">
        <v>371</v>
      </c>
      <c r="C189" s="1123" t="s">
        <v>552</v>
      </c>
      <c r="D189" s="949"/>
      <c r="E189" s="949"/>
      <c r="F189" s="949"/>
      <c r="G189" s="949"/>
      <c r="H189" s="949"/>
      <c r="I189" s="949"/>
      <c r="J189" s="742">
        <f>J115</f>
        <v>0.18</v>
      </c>
      <c r="K189" s="704"/>
    </row>
    <row r="190" spans="1:11" ht="15.75" customHeight="1">
      <c r="A190" s="579"/>
      <c r="B190" s="768" t="s">
        <v>373</v>
      </c>
      <c r="C190" s="1123" t="s">
        <v>553</v>
      </c>
      <c r="D190" s="949"/>
      <c r="E190" s="949"/>
      <c r="F190" s="949"/>
      <c r="G190" s="949"/>
      <c r="H190" s="949"/>
      <c r="I190" s="949"/>
      <c r="J190" s="742">
        <f>J124</f>
        <v>0</v>
      </c>
      <c r="K190" s="704"/>
    </row>
    <row r="191" spans="1:11" ht="15.75" customHeight="1">
      <c r="A191" s="579"/>
      <c r="B191" s="768" t="s">
        <v>375</v>
      </c>
      <c r="C191" s="1123" t="s">
        <v>554</v>
      </c>
      <c r="D191" s="949"/>
      <c r="E191" s="949"/>
      <c r="F191" s="949"/>
      <c r="G191" s="949"/>
      <c r="H191" s="949"/>
      <c r="I191" s="949"/>
      <c r="J191" s="742">
        <f>J150</f>
        <v>1.1999999999999999E-3</v>
      </c>
      <c r="K191" s="704"/>
    </row>
    <row r="192" spans="1:11" ht="15.75" customHeight="1">
      <c r="A192" s="579"/>
      <c r="B192" s="768" t="s">
        <v>417</v>
      </c>
      <c r="C192" s="1123" t="s">
        <v>555</v>
      </c>
      <c r="D192" s="949"/>
      <c r="E192" s="949"/>
      <c r="F192" s="949"/>
      <c r="G192" s="949"/>
      <c r="H192" s="949"/>
      <c r="I192" s="949"/>
      <c r="J192" s="742">
        <f>J157</f>
        <v>0</v>
      </c>
      <c r="K192" s="704"/>
    </row>
    <row r="193" spans="1:11" ht="15.75" customHeight="1">
      <c r="A193" s="579"/>
      <c r="B193" s="1124" t="s">
        <v>556</v>
      </c>
      <c r="C193" s="949"/>
      <c r="D193" s="949"/>
      <c r="E193" s="949"/>
      <c r="F193" s="949"/>
      <c r="G193" s="949"/>
      <c r="H193" s="949"/>
      <c r="I193" s="949"/>
      <c r="J193" s="743">
        <f>ROUND(SUM(J188:J192),2)</f>
        <v>0.18</v>
      </c>
      <c r="K193" s="704"/>
    </row>
    <row r="194" spans="1:11" ht="15.75" customHeight="1">
      <c r="A194" s="579"/>
      <c r="B194" s="769" t="s">
        <v>421</v>
      </c>
      <c r="C194" s="1123" t="s">
        <v>528</v>
      </c>
      <c r="D194" s="949"/>
      <c r="E194" s="949"/>
      <c r="F194" s="949"/>
      <c r="G194" s="949"/>
      <c r="H194" s="949"/>
      <c r="I194" s="949"/>
      <c r="J194" s="742">
        <f>J177</f>
        <v>0.05</v>
      </c>
      <c r="K194" s="704"/>
    </row>
    <row r="195" spans="1:11" ht="15.75" customHeight="1">
      <c r="A195" s="579"/>
      <c r="B195" s="1124" t="s">
        <v>666</v>
      </c>
      <c r="C195" s="949"/>
      <c r="D195" s="949"/>
      <c r="E195" s="949"/>
      <c r="F195" s="949"/>
      <c r="G195" s="949"/>
      <c r="H195" s="949"/>
      <c r="I195" s="949"/>
      <c r="J195" s="743">
        <f>J193+J194</f>
        <v>0.22999999999999998</v>
      </c>
      <c r="K195" s="704"/>
    </row>
    <row r="196" spans="1:11" ht="33.75" customHeight="1">
      <c r="A196" s="579"/>
      <c r="B196" s="1169" t="s">
        <v>558</v>
      </c>
      <c r="C196" s="949"/>
      <c r="D196" s="949"/>
      <c r="E196" s="949"/>
      <c r="F196" s="949"/>
      <c r="G196" s="949"/>
      <c r="H196" s="949"/>
      <c r="I196" s="949"/>
      <c r="J196" s="950"/>
      <c r="K196" s="874"/>
    </row>
    <row r="197" spans="1:11" ht="15.75" customHeight="1">
      <c r="A197" s="579"/>
      <c r="B197" s="1170"/>
      <c r="C197" s="949"/>
      <c r="D197" s="949"/>
      <c r="E197" s="949"/>
      <c r="F197" s="949"/>
      <c r="G197" s="949"/>
      <c r="H197" s="949"/>
      <c r="I197" s="949"/>
      <c r="J197" s="950"/>
      <c r="K197" s="771"/>
    </row>
    <row r="198" spans="1:11" ht="15.75" customHeight="1">
      <c r="A198" s="579"/>
      <c r="B198" s="772"/>
      <c r="C198" s="587"/>
      <c r="D198" s="587"/>
      <c r="E198" s="587"/>
      <c r="F198" s="587"/>
      <c r="G198" s="587"/>
      <c r="H198" s="587"/>
      <c r="I198" s="773"/>
      <c r="J198" s="774"/>
      <c r="K198" s="773"/>
    </row>
    <row r="199" spans="1:11" ht="15.75" customHeight="1">
      <c r="A199" s="579"/>
      <c r="B199" s="1129" t="s">
        <v>1033</v>
      </c>
      <c r="C199" s="947"/>
      <c r="D199" s="947"/>
      <c r="E199" s="947"/>
      <c r="F199" s="947"/>
      <c r="G199" s="947"/>
      <c r="H199" s="947"/>
      <c r="I199" s="947"/>
      <c r="J199" s="1020"/>
      <c r="K199" s="588"/>
    </row>
    <row r="200" spans="1:11" ht="45" customHeight="1">
      <c r="A200" s="579"/>
      <c r="B200" s="1075" t="s">
        <v>560</v>
      </c>
      <c r="C200" s="949"/>
      <c r="D200" s="949"/>
      <c r="E200" s="950"/>
      <c r="F200" s="1075" t="s">
        <v>667</v>
      </c>
      <c r="G200" s="950"/>
      <c r="H200" s="749" t="s">
        <v>563</v>
      </c>
      <c r="I200" s="1075" t="s">
        <v>564</v>
      </c>
      <c r="J200" s="950"/>
      <c r="K200" s="593"/>
    </row>
    <row r="201" spans="1:11" ht="45" hidden="1" customHeight="1" outlineLevel="1">
      <c r="A201" s="579"/>
      <c r="B201" s="1051" t="s">
        <v>565</v>
      </c>
      <c r="C201" s="949"/>
      <c r="D201" s="949"/>
      <c r="E201" s="950"/>
      <c r="F201" s="1140">
        <v>0</v>
      </c>
      <c r="G201" s="950"/>
      <c r="H201" s="875">
        <f t="shared" ref="H201:H202" si="3">E201*F201</f>
        <v>0</v>
      </c>
      <c r="I201" s="1140">
        <f t="shared" ref="I201:I203" si="4">F201*H201</f>
        <v>0</v>
      </c>
      <c r="J201" s="950"/>
      <c r="K201" s="779"/>
    </row>
    <row r="202" spans="1:11" ht="45" hidden="1" customHeight="1" outlineLevel="1">
      <c r="A202" s="579"/>
      <c r="B202" s="1051" t="s">
        <v>566</v>
      </c>
      <c r="C202" s="949"/>
      <c r="D202" s="949"/>
      <c r="E202" s="950"/>
      <c r="F202" s="1140">
        <v>0</v>
      </c>
      <c r="G202" s="950"/>
      <c r="H202" s="875">
        <f t="shared" si="3"/>
        <v>0</v>
      </c>
      <c r="I202" s="1140">
        <f t="shared" si="4"/>
        <v>0</v>
      </c>
      <c r="J202" s="950"/>
      <c r="K202" s="779"/>
    </row>
    <row r="203" spans="1:11" ht="45" customHeight="1" collapsed="1">
      <c r="A203" s="579"/>
      <c r="B203" s="1141" t="str">
        <f>B3</f>
        <v>A NÃO TEM MAIS POSTOS-88</v>
      </c>
      <c r="C203" s="949"/>
      <c r="D203" s="949"/>
      <c r="E203" s="950"/>
      <c r="F203" s="1131">
        <f>J195</f>
        <v>0.22999999999999998</v>
      </c>
      <c r="G203" s="950"/>
      <c r="H203" s="875">
        <f>I17</f>
        <v>0</v>
      </c>
      <c r="I203" s="1140">
        <f t="shared" si="4"/>
        <v>0</v>
      </c>
      <c r="J203" s="950"/>
      <c r="K203" s="779"/>
    </row>
    <row r="204" spans="1:11" ht="45" hidden="1" customHeight="1" outlineLevel="1">
      <c r="A204" s="579"/>
      <c r="B204" s="1051" t="s">
        <v>567</v>
      </c>
      <c r="C204" s="949"/>
      <c r="D204" s="949"/>
      <c r="E204" s="950"/>
      <c r="F204" s="1131">
        <v>0</v>
      </c>
      <c r="G204" s="950"/>
      <c r="H204" s="875">
        <f t="shared" ref="H204:I204" si="5">E204*G204</f>
        <v>0</v>
      </c>
      <c r="I204" s="1140">
        <f t="shared" si="5"/>
        <v>0</v>
      </c>
      <c r="J204" s="950"/>
      <c r="K204" s="779"/>
    </row>
    <row r="205" spans="1:11" ht="45" hidden="1" customHeight="1" outlineLevel="1">
      <c r="A205" s="579"/>
      <c r="B205" s="1051" t="s">
        <v>568</v>
      </c>
      <c r="C205" s="949"/>
      <c r="D205" s="949"/>
      <c r="E205" s="950"/>
      <c r="F205" s="1131">
        <v>0</v>
      </c>
      <c r="G205" s="950"/>
      <c r="H205" s="875">
        <f t="shared" ref="H205:I205" si="6">E205*G205</f>
        <v>0</v>
      </c>
      <c r="I205" s="1140">
        <f t="shared" si="6"/>
        <v>0</v>
      </c>
      <c r="J205" s="950"/>
      <c r="K205" s="779"/>
    </row>
    <row r="206" spans="1:11" ht="15.75" hidden="1" customHeight="1" outlineLevel="1">
      <c r="A206" s="579"/>
      <c r="B206" s="1142" t="s">
        <v>1205</v>
      </c>
      <c r="C206" s="949"/>
      <c r="D206" s="949"/>
      <c r="E206" s="950"/>
      <c r="F206" s="1140">
        <v>0</v>
      </c>
      <c r="G206" s="950"/>
      <c r="H206" s="875">
        <f t="shared" ref="H206:I206" si="7">E206*G206</f>
        <v>0</v>
      </c>
      <c r="I206" s="1140">
        <f t="shared" si="7"/>
        <v>0</v>
      </c>
      <c r="J206" s="950"/>
      <c r="K206" s="779"/>
    </row>
    <row r="207" spans="1:11" ht="15.75" customHeight="1" collapsed="1">
      <c r="A207" s="579"/>
      <c r="B207" s="1143" t="s">
        <v>570</v>
      </c>
      <c r="C207" s="949"/>
      <c r="D207" s="949"/>
      <c r="E207" s="949"/>
      <c r="F207" s="949"/>
      <c r="G207" s="950"/>
      <c r="H207" s="906">
        <f>SUM(H201:H206)</f>
        <v>0</v>
      </c>
      <c r="I207" s="1176">
        <f>SUM(I201:J206)</f>
        <v>0</v>
      </c>
      <c r="J207" s="950"/>
      <c r="K207" s="786"/>
    </row>
    <row r="208" spans="1:11" ht="6.75" customHeight="1">
      <c r="A208" s="579"/>
      <c r="B208" s="1144"/>
      <c r="C208" s="1145"/>
      <c r="D208" s="1145"/>
      <c r="E208" s="1145"/>
      <c r="F208" s="1145"/>
      <c r="G208" s="1145"/>
      <c r="H208" s="1145"/>
      <c r="I208" s="1145"/>
      <c r="J208" s="1146"/>
      <c r="K208" s="715"/>
    </row>
    <row r="209" spans="1:11" ht="15.75" customHeight="1">
      <c r="A209" s="579"/>
      <c r="B209" s="1147" t="s">
        <v>571</v>
      </c>
      <c r="C209" s="1037"/>
      <c r="D209" s="1037"/>
      <c r="E209" s="1037"/>
      <c r="F209" s="1037"/>
      <c r="G209" s="1037"/>
      <c r="H209" s="1037"/>
      <c r="I209" s="1037"/>
      <c r="J209" s="1038"/>
      <c r="K209" s="596"/>
    </row>
    <row r="210" spans="1:11" ht="6.75" customHeight="1">
      <c r="A210" s="579"/>
      <c r="B210" s="1148"/>
      <c r="C210" s="949"/>
      <c r="D210" s="949"/>
      <c r="E210" s="949"/>
      <c r="F210" s="949"/>
      <c r="G210" s="949"/>
      <c r="H210" s="949"/>
      <c r="I210" s="949"/>
      <c r="J210" s="950"/>
      <c r="K210" s="787"/>
    </row>
    <row r="211" spans="1:11" ht="15.75" customHeight="1">
      <c r="A211" s="579"/>
      <c r="B211" s="1072" t="s">
        <v>572</v>
      </c>
      <c r="C211" s="949"/>
      <c r="D211" s="949"/>
      <c r="E211" s="949"/>
      <c r="F211" s="949"/>
      <c r="G211" s="950"/>
      <c r="H211" s="1149">
        <f>$I$207</f>
        <v>0</v>
      </c>
      <c r="I211" s="949"/>
      <c r="J211" s="950"/>
      <c r="K211" s="788"/>
    </row>
    <row r="212" spans="1:11" ht="6.75" customHeight="1">
      <c r="A212" s="579"/>
      <c r="B212" s="1135"/>
      <c r="C212" s="954"/>
      <c r="D212" s="954"/>
      <c r="E212" s="954"/>
      <c r="F212" s="954"/>
      <c r="G212" s="954"/>
      <c r="H212" s="954"/>
      <c r="I212" s="954"/>
      <c r="J212" s="1136"/>
      <c r="K212" s="789"/>
    </row>
    <row r="213" spans="1:11" ht="15.75" customHeight="1">
      <c r="A213" s="579"/>
      <c r="B213" s="1072" t="s">
        <v>573</v>
      </c>
      <c r="C213" s="949"/>
      <c r="D213" s="949"/>
      <c r="E213" s="949"/>
      <c r="F213" s="949"/>
      <c r="G213" s="950"/>
      <c r="H213" s="1073">
        <f>$I$11</f>
        <v>30</v>
      </c>
      <c r="I213" s="949"/>
      <c r="J213" s="950"/>
      <c r="K213" s="790"/>
    </row>
    <row r="214" spans="1:11" ht="6.75" customHeight="1">
      <c r="A214" s="579"/>
      <c r="B214" s="1137"/>
      <c r="C214" s="949"/>
      <c r="D214" s="949"/>
      <c r="E214" s="949"/>
      <c r="F214" s="949"/>
      <c r="G214" s="949"/>
      <c r="H214" s="949"/>
      <c r="I214" s="949"/>
      <c r="J214" s="950"/>
      <c r="K214" s="791"/>
    </row>
    <row r="215" spans="1:11" ht="15.75" customHeight="1">
      <c r="A215" s="579"/>
      <c r="B215" s="1072" t="s">
        <v>1206</v>
      </c>
      <c r="C215" s="949"/>
      <c r="D215" s="949"/>
      <c r="E215" s="949"/>
      <c r="F215" s="949"/>
      <c r="G215" s="950"/>
      <c r="H215" s="1138">
        <f>ROUND(H211*H213,2)</f>
        <v>0</v>
      </c>
      <c r="I215" s="949"/>
      <c r="J215" s="950"/>
      <c r="K215" s="792"/>
    </row>
    <row r="216" spans="1:11" ht="6.75" customHeight="1">
      <c r="A216" s="579"/>
      <c r="B216" s="1139"/>
      <c r="C216" s="949"/>
      <c r="D216" s="949"/>
      <c r="E216" s="949"/>
      <c r="F216" s="949"/>
      <c r="G216" s="949"/>
      <c r="H216" s="949"/>
      <c r="I216" s="949"/>
      <c r="J216" s="950"/>
      <c r="K216" s="587"/>
    </row>
    <row r="217" spans="1:11" ht="15.75" customHeight="1">
      <c r="A217" s="579"/>
      <c r="B217" s="579"/>
      <c r="C217" s="579"/>
      <c r="D217" s="579"/>
      <c r="E217" s="579"/>
      <c r="F217" s="579"/>
      <c r="G217" s="579"/>
      <c r="H217" s="579"/>
      <c r="I217" s="579"/>
      <c r="J217" s="579"/>
      <c r="K217" s="579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3">
    <mergeCell ref="C101:I101"/>
    <mergeCell ref="C102:I102"/>
    <mergeCell ref="C103:I103"/>
    <mergeCell ref="B89:J89"/>
    <mergeCell ref="B90:J90"/>
    <mergeCell ref="C91:I91"/>
    <mergeCell ref="C92:H92"/>
    <mergeCell ref="C93:H93"/>
    <mergeCell ref="C94:H94"/>
    <mergeCell ref="C95:H95"/>
    <mergeCell ref="C96:H96"/>
    <mergeCell ref="B63:I63"/>
    <mergeCell ref="B64:J64"/>
    <mergeCell ref="B65:J65"/>
    <mergeCell ref="B66:J66"/>
    <mergeCell ref="B67:J67"/>
    <mergeCell ref="C97:I97"/>
    <mergeCell ref="C98:H98"/>
    <mergeCell ref="C99:H99"/>
    <mergeCell ref="C100:H100"/>
    <mergeCell ref="C82:H82"/>
    <mergeCell ref="C83:H83"/>
    <mergeCell ref="C84:H84"/>
    <mergeCell ref="C85:H85"/>
    <mergeCell ref="B86:H86"/>
    <mergeCell ref="B88:J88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79:H79"/>
    <mergeCell ref="C80:D80"/>
    <mergeCell ref="C81:H81"/>
    <mergeCell ref="C70:H70"/>
    <mergeCell ref="C71:H71"/>
    <mergeCell ref="B72:I72"/>
    <mergeCell ref="B73:J73"/>
    <mergeCell ref="B74:J74"/>
    <mergeCell ref="B75:J75"/>
    <mergeCell ref="B76:J76"/>
    <mergeCell ref="C77:H77"/>
    <mergeCell ref="C78:H78"/>
    <mergeCell ref="C57:I57"/>
    <mergeCell ref="B58:I58"/>
    <mergeCell ref="C59:I59"/>
    <mergeCell ref="C60:I60"/>
    <mergeCell ref="B61:I61"/>
    <mergeCell ref="B62:J62"/>
    <mergeCell ref="C33:F33"/>
    <mergeCell ref="C34:F34"/>
    <mergeCell ref="G34:H34"/>
    <mergeCell ref="I34:J34"/>
    <mergeCell ref="C35:F35"/>
    <mergeCell ref="G35:H35"/>
    <mergeCell ref="I35:J35"/>
    <mergeCell ref="B68:J68"/>
    <mergeCell ref="C69:I69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C54:E54"/>
    <mergeCell ref="F54:H54"/>
    <mergeCell ref="C55:E55"/>
    <mergeCell ref="F55:H55"/>
    <mergeCell ref="C56:I56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92:I192"/>
    <mergeCell ref="B193:I193"/>
    <mergeCell ref="C194:I194"/>
    <mergeCell ref="B195:I19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B141:J141"/>
    <mergeCell ref="C142:I142"/>
    <mergeCell ref="C143:I143"/>
    <mergeCell ref="B144:I144"/>
    <mergeCell ref="B145:J145"/>
    <mergeCell ref="B146:J146"/>
    <mergeCell ref="C189:I189"/>
    <mergeCell ref="C190:I190"/>
    <mergeCell ref="C191:I191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88:I188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F206:G206"/>
    <mergeCell ref="B207:G207"/>
    <mergeCell ref="B208:J208"/>
    <mergeCell ref="B209:J209"/>
    <mergeCell ref="B210:J210"/>
    <mergeCell ref="B215:G215"/>
    <mergeCell ref="B216:J216"/>
    <mergeCell ref="B211:G211"/>
    <mergeCell ref="H211:J211"/>
    <mergeCell ref="B212:J212"/>
    <mergeCell ref="B213:G213"/>
    <mergeCell ref="H213:J213"/>
    <mergeCell ref="B214:J214"/>
    <mergeCell ref="H215:J215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B196:J196"/>
    <mergeCell ref="B197:J197"/>
    <mergeCell ref="B199:J199"/>
    <mergeCell ref="B200:E200"/>
    <mergeCell ref="F200:G200"/>
    <mergeCell ref="B201:E201"/>
    <mergeCell ref="F201:G201"/>
    <mergeCell ref="B202:E202"/>
    <mergeCell ref="F202:G202"/>
    <mergeCell ref="B203:E203"/>
    <mergeCell ref="F203:G203"/>
    <mergeCell ref="B204:E204"/>
    <mergeCell ref="F204:G204"/>
    <mergeCell ref="F205:G205"/>
    <mergeCell ref="B205:E205"/>
    <mergeCell ref="B206:E206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56:I156"/>
    <mergeCell ref="B157:I157"/>
    <mergeCell ref="B158:J158"/>
    <mergeCell ref="B159:J159"/>
    <mergeCell ref="B161:J161"/>
    <mergeCell ref="C176:H176"/>
    <mergeCell ref="B177:I177"/>
    <mergeCell ref="B178:J178"/>
    <mergeCell ref="B179:H179"/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</mergeCells>
  <conditionalFormatting sqref="I49:I50">
    <cfRule type="cellIs" dxfId="3" priority="1" operator="equal">
      <formula>0</formula>
    </cfRule>
  </conditionalFormatting>
  <conditionalFormatting sqref="I48">
    <cfRule type="cellIs" dxfId="2" priority="2" operator="equal">
      <formula>0</formula>
    </cfRule>
  </conditionalFormatting>
  <pageMargins left="0.511811024" right="0.511811024" top="0.78740157499999996" bottom="0.78740157499999996" header="0" footer="0"/>
  <pageSetup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7" width="14.7109375" customWidth="1"/>
    <col min="8" max="8" width="14.42578125" customWidth="1"/>
    <col min="9" max="9" width="11.28515625" customWidth="1"/>
    <col min="10" max="10" width="14.5703125" customWidth="1"/>
    <col min="11" max="11" width="1.42578125" customWidth="1"/>
  </cols>
  <sheetData>
    <row r="1" spans="1:11" ht="11.25" customHeight="1">
      <c r="A1" s="579"/>
      <c r="B1" s="579"/>
      <c r="C1" s="579"/>
      <c r="D1" s="579"/>
      <c r="E1" s="579"/>
      <c r="F1" s="579"/>
      <c r="G1" s="579"/>
      <c r="H1" s="579"/>
      <c r="I1" s="579"/>
      <c r="J1" s="904"/>
      <c r="K1" s="579"/>
    </row>
    <row r="2" spans="1:11" ht="11.25" customHeight="1">
      <c r="A2" s="579"/>
      <c r="B2" s="1066" t="str">
        <f>'1-ABA-DE-CARREGAMENTO'!C11</f>
        <v xml:space="preserve"> S E R V I Ç O S     -    INTERPRETE DE LIBRAS e SINAIS </v>
      </c>
      <c r="C2" s="1054"/>
      <c r="D2" s="1054"/>
      <c r="E2" s="1054"/>
      <c r="F2" s="1054"/>
      <c r="G2" s="1054"/>
      <c r="H2" s="1054"/>
      <c r="I2" s="1054"/>
      <c r="J2" s="1055"/>
      <c r="K2" s="583"/>
    </row>
    <row r="3" spans="1:11" ht="11.25" customHeight="1">
      <c r="A3" s="579"/>
      <c r="B3" s="1067" t="str">
        <f>'1-ABA-DE-CARREGAMENTO'!N33</f>
        <v>A NÃO TEM MAIS POSTOS-99</v>
      </c>
      <c r="C3" s="1037"/>
      <c r="D3" s="1037"/>
      <c r="E3" s="1037"/>
      <c r="F3" s="1037"/>
      <c r="G3" s="1037"/>
      <c r="H3" s="1037"/>
      <c r="I3" s="1037"/>
      <c r="J3" s="1038"/>
      <c r="K3" s="584"/>
    </row>
    <row r="4" spans="1:11" ht="11.25" customHeight="1">
      <c r="A4" s="579"/>
      <c r="B4" s="1060" t="s">
        <v>366</v>
      </c>
      <c r="C4" s="1037"/>
      <c r="D4" s="1037"/>
      <c r="E4" s="1037"/>
      <c r="F4" s="1038"/>
      <c r="G4" s="1068">
        <f>'1-ABA-DE-CARREGAMENTO'!C12</f>
        <v>0</v>
      </c>
      <c r="H4" s="1037"/>
      <c r="I4" s="1037"/>
      <c r="J4" s="1038"/>
      <c r="K4" s="585"/>
    </row>
    <row r="5" spans="1:11" ht="11.25" customHeight="1">
      <c r="A5" s="579"/>
      <c r="B5" s="1051" t="s">
        <v>367</v>
      </c>
      <c r="C5" s="949"/>
      <c r="D5" s="949"/>
      <c r="E5" s="949"/>
      <c r="F5" s="950"/>
      <c r="G5" s="1069">
        <f>'1-ABA-DE-CARREGAMENTO'!C13</f>
        <v>0</v>
      </c>
      <c r="H5" s="949"/>
      <c r="I5" s="949"/>
      <c r="J5" s="950"/>
      <c r="K5" s="585"/>
    </row>
    <row r="6" spans="1:11" ht="11.25" customHeight="1">
      <c r="A6" s="579"/>
      <c r="B6" s="1070">
        <f>'1-ABA-DE-CARREGAMENTO'!C16</f>
        <v>0</v>
      </c>
      <c r="C6" s="949"/>
      <c r="D6" s="949"/>
      <c r="E6" s="949"/>
      <c r="F6" s="949"/>
      <c r="G6" s="949"/>
      <c r="H6" s="949"/>
      <c r="I6" s="949"/>
      <c r="J6" s="950"/>
      <c r="K6" s="587"/>
    </row>
    <row r="7" spans="1:11" ht="11.25" customHeight="1">
      <c r="A7" s="579"/>
      <c r="B7" s="1050" t="s">
        <v>368</v>
      </c>
      <c r="C7" s="949"/>
      <c r="D7" s="949"/>
      <c r="E7" s="949"/>
      <c r="F7" s="949"/>
      <c r="G7" s="949"/>
      <c r="H7" s="949"/>
      <c r="I7" s="949"/>
      <c r="J7" s="950"/>
      <c r="K7" s="588"/>
    </row>
    <row r="8" spans="1:11" ht="11.25" customHeight="1">
      <c r="A8" s="579"/>
      <c r="B8" s="589" t="s">
        <v>369</v>
      </c>
      <c r="C8" s="1051" t="s">
        <v>370</v>
      </c>
      <c r="D8" s="949"/>
      <c r="E8" s="949"/>
      <c r="F8" s="949"/>
      <c r="G8" s="949"/>
      <c r="H8" s="950"/>
      <c r="I8" s="1071">
        <f>'1-ABA-DE-CARREGAMENTO'!C16</f>
        <v>0</v>
      </c>
      <c r="J8" s="950"/>
      <c r="K8" s="590"/>
    </row>
    <row r="9" spans="1:11" ht="11.25" customHeight="1">
      <c r="A9" s="579"/>
      <c r="B9" s="589" t="s">
        <v>371</v>
      </c>
      <c r="C9" s="1051" t="s">
        <v>372</v>
      </c>
      <c r="D9" s="949"/>
      <c r="E9" s="949"/>
      <c r="F9" s="949"/>
      <c r="G9" s="949"/>
      <c r="H9" s="950"/>
      <c r="I9" s="1069" t="str">
        <f>'1-ABA-DE-CARREGAMENTO'!C14</f>
        <v xml:space="preserve">SANTO-AUGUSTO </v>
      </c>
      <c r="J9" s="950"/>
      <c r="K9" s="585"/>
    </row>
    <row r="10" spans="1:11" ht="11.25" customHeight="1">
      <c r="A10" s="579"/>
      <c r="B10" s="589" t="s">
        <v>373</v>
      </c>
      <c r="C10" s="1051" t="s">
        <v>374</v>
      </c>
      <c r="D10" s="949"/>
      <c r="E10" s="949"/>
      <c r="F10" s="949"/>
      <c r="G10" s="949"/>
      <c r="H10" s="950"/>
      <c r="I10" s="1069" t="str">
        <f>VLOOKUP('1-ABA-DE-CARREGAMENTO'!N35,'DADOS-CADASTRAIS'!C6:O102,1,0)</f>
        <v>RS000947/2019-</v>
      </c>
      <c r="J10" s="950"/>
      <c r="K10" s="585"/>
    </row>
    <row r="11" spans="1:11" ht="11.25" customHeight="1">
      <c r="A11" s="579"/>
      <c r="B11" s="589" t="s">
        <v>375</v>
      </c>
      <c r="C11" s="1051" t="s">
        <v>376</v>
      </c>
      <c r="D11" s="949"/>
      <c r="E11" s="949"/>
      <c r="F11" s="949"/>
      <c r="G11" s="949"/>
      <c r="H11" s="950"/>
      <c r="I11" s="1175">
        <f>'1-ABA-DE-CARREGAMENTO'!N94</f>
        <v>30</v>
      </c>
      <c r="J11" s="950"/>
      <c r="K11" s="585"/>
    </row>
    <row r="12" spans="1:11" ht="11.25" customHeight="1">
      <c r="A12" s="579"/>
      <c r="B12" s="1074" t="s">
        <v>377</v>
      </c>
      <c r="C12" s="949"/>
      <c r="D12" s="949"/>
      <c r="E12" s="949"/>
      <c r="F12" s="949"/>
      <c r="G12" s="949"/>
      <c r="H12" s="949"/>
      <c r="I12" s="949"/>
      <c r="J12" s="950"/>
      <c r="K12" s="592"/>
    </row>
    <row r="13" spans="1:11" ht="36.75" customHeight="1">
      <c r="A13" s="579"/>
      <c r="B13" s="1075" t="str">
        <f>'1-ABA-DE-CARREGAMENTO'!C11</f>
        <v xml:space="preserve"> S E R V I Ç O S     -    INTERPRETE DE LIBRAS e SINAIS </v>
      </c>
      <c r="C13" s="949"/>
      <c r="D13" s="949"/>
      <c r="E13" s="949"/>
      <c r="F13" s="949"/>
      <c r="G13" s="1075" t="s">
        <v>378</v>
      </c>
      <c r="H13" s="950"/>
      <c r="I13" s="1075" t="s">
        <v>379</v>
      </c>
      <c r="J13" s="950"/>
      <c r="K13" s="593"/>
    </row>
    <row r="14" spans="1:11" ht="11.25" hidden="1" customHeight="1" outlineLevel="1">
      <c r="A14" s="579"/>
      <c r="B14" s="1040" t="s">
        <v>380</v>
      </c>
      <c r="C14" s="949"/>
      <c r="D14" s="949"/>
      <c r="E14" s="949"/>
      <c r="F14" s="950"/>
      <c r="G14" s="1041" t="s">
        <v>381</v>
      </c>
      <c r="H14" s="950"/>
      <c r="I14" s="1042" t="s">
        <v>382</v>
      </c>
      <c r="J14" s="950"/>
      <c r="K14" s="594"/>
    </row>
    <row r="15" spans="1:11" ht="11.25" hidden="1" customHeight="1" outlineLevel="1">
      <c r="A15" s="579"/>
      <c r="B15" s="1040" t="s">
        <v>383</v>
      </c>
      <c r="C15" s="949"/>
      <c r="D15" s="949"/>
      <c r="E15" s="949"/>
      <c r="F15" s="950"/>
      <c r="G15" s="1041" t="s">
        <v>381</v>
      </c>
      <c r="H15" s="950"/>
      <c r="I15" s="1042" t="s">
        <v>382</v>
      </c>
      <c r="J15" s="950"/>
      <c r="K15" s="594"/>
    </row>
    <row r="16" spans="1:11" ht="11.25" hidden="1" customHeight="1" outlineLevel="1">
      <c r="A16" s="579"/>
      <c r="B16" s="1040" t="s">
        <v>384</v>
      </c>
      <c r="C16" s="949"/>
      <c r="D16" s="949"/>
      <c r="E16" s="949"/>
      <c r="F16" s="950"/>
      <c r="G16" s="1041" t="s">
        <v>381</v>
      </c>
      <c r="H16" s="950"/>
      <c r="I16" s="1042" t="s">
        <v>382</v>
      </c>
      <c r="J16" s="950"/>
      <c r="K16" s="594"/>
    </row>
    <row r="17" spans="1:11" ht="11.25" customHeight="1" collapsed="1">
      <c r="A17" s="579"/>
      <c r="B17" s="1040" t="str">
        <f>B3</f>
        <v>A NÃO TEM MAIS POSTOS-99</v>
      </c>
      <c r="C17" s="949"/>
      <c r="D17" s="949"/>
      <c r="E17" s="949"/>
      <c r="F17" s="950"/>
      <c r="G17" s="1041" t="s">
        <v>381</v>
      </c>
      <c r="H17" s="950"/>
      <c r="I17" s="1042">
        <f>'1-ABA-DE-CARREGAMENTO'!N92</f>
        <v>0</v>
      </c>
      <c r="J17" s="950"/>
      <c r="K17" s="594"/>
    </row>
    <row r="18" spans="1:11" ht="11.25" hidden="1" customHeight="1" outlineLevel="1">
      <c r="A18" s="579"/>
      <c r="B18" s="1040" t="s">
        <v>385</v>
      </c>
      <c r="C18" s="949"/>
      <c r="D18" s="949"/>
      <c r="E18" s="949"/>
      <c r="F18" s="950"/>
      <c r="G18" s="1041" t="s">
        <v>381</v>
      </c>
      <c r="H18" s="950"/>
      <c r="I18" s="1042" t="s">
        <v>382</v>
      </c>
      <c r="J18" s="950"/>
      <c r="K18" s="594"/>
    </row>
    <row r="19" spans="1:11" ht="11.25" hidden="1" customHeight="1" outlineLevel="1">
      <c r="A19" s="579"/>
      <c r="B19" s="1040" t="s">
        <v>1207</v>
      </c>
      <c r="C19" s="949"/>
      <c r="D19" s="949"/>
      <c r="E19" s="949"/>
      <c r="F19" s="950"/>
      <c r="G19" s="1041" t="s">
        <v>381</v>
      </c>
      <c r="H19" s="950"/>
      <c r="I19" s="1042" t="s">
        <v>382</v>
      </c>
      <c r="J19" s="950"/>
      <c r="K19" s="594"/>
    </row>
    <row r="20" spans="1:11" ht="11.25" customHeight="1" collapsed="1">
      <c r="A20" s="579"/>
      <c r="B20" s="1044" t="s">
        <v>387</v>
      </c>
      <c r="C20" s="949"/>
      <c r="D20" s="949"/>
      <c r="E20" s="949"/>
      <c r="F20" s="949"/>
      <c r="G20" s="949"/>
      <c r="H20" s="950"/>
      <c r="I20" s="1043">
        <f>SUM(I14:I19)</f>
        <v>0</v>
      </c>
      <c r="J20" s="950"/>
      <c r="K20" s="595"/>
    </row>
    <row r="21" spans="1:11" ht="11.25" customHeight="1">
      <c r="A21" s="579"/>
      <c r="B21" s="1045"/>
      <c r="C21" s="949"/>
      <c r="D21" s="949"/>
      <c r="E21" s="949"/>
      <c r="F21" s="949"/>
      <c r="G21" s="949"/>
      <c r="H21" s="949"/>
      <c r="I21" s="949"/>
      <c r="J21" s="950"/>
      <c r="K21" s="593"/>
    </row>
    <row r="22" spans="1:11" ht="11.25" customHeight="1">
      <c r="A22" s="579"/>
      <c r="B22" s="1046" t="s">
        <v>388</v>
      </c>
      <c r="C22" s="949"/>
      <c r="D22" s="949"/>
      <c r="E22" s="949"/>
      <c r="F22" s="949"/>
      <c r="G22" s="949"/>
      <c r="H22" s="949"/>
      <c r="I22" s="949"/>
      <c r="J22" s="950"/>
      <c r="K22" s="596"/>
    </row>
    <row r="23" spans="1:11" ht="11.25" customHeight="1">
      <c r="A23" s="579"/>
      <c r="B23" s="1047"/>
      <c r="C23" s="949"/>
      <c r="D23" s="949"/>
      <c r="E23" s="949"/>
      <c r="F23" s="949"/>
      <c r="G23" s="949"/>
      <c r="H23" s="949"/>
      <c r="I23" s="949"/>
      <c r="J23" s="950"/>
      <c r="K23" s="362"/>
    </row>
    <row r="24" spans="1:11" ht="15" customHeight="1">
      <c r="A24" s="579"/>
      <c r="B24" s="1048" t="s">
        <v>1208</v>
      </c>
      <c r="C24" s="949"/>
      <c r="D24" s="949"/>
      <c r="E24" s="949"/>
      <c r="F24" s="949"/>
      <c r="G24" s="949"/>
      <c r="H24" s="949"/>
      <c r="I24" s="949"/>
      <c r="J24" s="950"/>
      <c r="K24" s="597"/>
    </row>
    <row r="25" spans="1:11" ht="15" customHeight="1">
      <c r="A25" s="579"/>
      <c r="B25" s="1049"/>
      <c r="C25" s="949"/>
      <c r="D25" s="949"/>
      <c r="E25" s="949"/>
      <c r="F25" s="949"/>
      <c r="G25" s="949"/>
      <c r="H25" s="949"/>
      <c r="I25" s="949"/>
      <c r="J25" s="950"/>
      <c r="K25" s="598"/>
    </row>
    <row r="26" spans="1:11" ht="11.25" customHeight="1">
      <c r="A26" s="593"/>
      <c r="B26" s="1050" t="s">
        <v>390</v>
      </c>
      <c r="C26" s="949"/>
      <c r="D26" s="949"/>
      <c r="E26" s="949"/>
      <c r="F26" s="949"/>
      <c r="G26" s="949"/>
      <c r="H26" s="949"/>
      <c r="I26" s="949"/>
      <c r="J26" s="950"/>
      <c r="K26" s="588"/>
    </row>
    <row r="27" spans="1:11" ht="30" customHeight="1">
      <c r="A27" s="579"/>
      <c r="B27" s="589">
        <v>1</v>
      </c>
      <c r="C27" s="1051" t="s">
        <v>391</v>
      </c>
      <c r="D27" s="949"/>
      <c r="E27" s="949"/>
      <c r="F27" s="949"/>
      <c r="G27" s="949"/>
      <c r="H27" s="950"/>
      <c r="I27" s="1052" t="str">
        <f>'1-ABA-DE-CARREGAMENTO'!N33</f>
        <v>A NÃO TEM MAIS POSTOS-99</v>
      </c>
      <c r="J27" s="950"/>
      <c r="K27" s="599"/>
    </row>
    <row r="28" spans="1:11" ht="11.25" customHeight="1">
      <c r="A28" s="579"/>
      <c r="B28" s="600">
        <v>2</v>
      </c>
      <c r="C28" s="1092" t="s">
        <v>392</v>
      </c>
      <c r="D28" s="949"/>
      <c r="E28" s="949"/>
      <c r="F28" s="949"/>
      <c r="G28" s="949"/>
      <c r="H28" s="950"/>
      <c r="I28" s="1056"/>
      <c r="J28" s="950"/>
      <c r="K28" s="601"/>
    </row>
    <row r="29" spans="1:11" ht="33" customHeight="1">
      <c r="A29" s="579"/>
      <c r="B29" s="589">
        <v>3</v>
      </c>
      <c r="C29" s="1057" t="s">
        <v>862</v>
      </c>
      <c r="D29" s="929"/>
      <c r="E29" s="907">
        <v>220</v>
      </c>
      <c r="F29" s="604">
        <f>'1-ABA-DE-CARREGAMENTO'!N37</f>
        <v>0</v>
      </c>
      <c r="G29" s="586" t="s">
        <v>394</v>
      </c>
      <c r="H29" s="864">
        <f>'1-ABA-DE-CARREGAMENTO'!N52</f>
        <v>220</v>
      </c>
      <c r="I29" s="1058">
        <f>F29/E29*H29</f>
        <v>0</v>
      </c>
      <c r="J29" s="950"/>
      <c r="K29" s="606"/>
    </row>
    <row r="30" spans="1:11" ht="11.25" customHeight="1">
      <c r="A30" s="579"/>
      <c r="B30" s="589">
        <v>4</v>
      </c>
      <c r="C30" s="1051" t="s">
        <v>395</v>
      </c>
      <c r="D30" s="949"/>
      <c r="E30" s="949"/>
      <c r="F30" s="949"/>
      <c r="G30" s="949"/>
      <c r="H30" s="950"/>
      <c r="I30" s="1059"/>
      <c r="J30" s="950"/>
      <c r="K30" s="607"/>
    </row>
    <row r="31" spans="1:11" ht="11.25" customHeight="1">
      <c r="A31" s="579"/>
      <c r="B31" s="589">
        <v>5</v>
      </c>
      <c r="C31" s="1051" t="s">
        <v>396</v>
      </c>
      <c r="D31" s="949"/>
      <c r="E31" s="949"/>
      <c r="F31" s="949"/>
      <c r="G31" s="949"/>
      <c r="H31" s="950"/>
      <c r="I31" s="1061" t="str">
        <f>'1-ABA-DE-CARREGAMENTO'!N36</f>
        <v>01 de FEVEREIRO</v>
      </c>
      <c r="J31" s="950"/>
      <c r="K31" s="608"/>
    </row>
    <row r="32" spans="1:11" ht="12.75" customHeight="1">
      <c r="A32" s="579"/>
      <c r="B32" s="609">
        <v>6</v>
      </c>
      <c r="C32" s="1062" t="s">
        <v>1209</v>
      </c>
      <c r="D32" s="949"/>
      <c r="E32" s="949"/>
      <c r="F32" s="949"/>
      <c r="G32" s="949"/>
      <c r="H32" s="950"/>
      <c r="I32" s="1063">
        <f>ROUND(I29/220,2)*0</f>
        <v>0</v>
      </c>
      <c r="J32" s="950"/>
      <c r="K32" s="610"/>
    </row>
    <row r="33" spans="1:11" ht="40.5" customHeight="1">
      <c r="A33" s="579"/>
      <c r="B33" s="609">
        <v>7</v>
      </c>
      <c r="C33" s="1062" t="s">
        <v>1210</v>
      </c>
      <c r="D33" s="949"/>
      <c r="E33" s="949"/>
      <c r="F33" s="950"/>
      <c r="G33" s="1064"/>
      <c r="H33" s="950"/>
      <c r="I33" s="1063">
        <f>SUM(J47:J50)/220</f>
        <v>0</v>
      </c>
      <c r="J33" s="950"/>
      <c r="K33" s="610"/>
    </row>
    <row r="34" spans="1:11" ht="27" customHeight="1">
      <c r="A34" s="579"/>
      <c r="B34" s="609">
        <v>8</v>
      </c>
      <c r="C34" s="1062" t="s">
        <v>1211</v>
      </c>
      <c r="D34" s="949"/>
      <c r="E34" s="949"/>
      <c r="F34" s="950"/>
      <c r="G34" s="1064"/>
      <c r="H34" s="950"/>
      <c r="I34" s="1063">
        <f>TRUNC(I33*1.5,2)*0</f>
        <v>0</v>
      </c>
      <c r="J34" s="950"/>
      <c r="K34" s="610"/>
    </row>
    <row r="35" spans="1:11" ht="27" customHeight="1">
      <c r="A35" s="579"/>
      <c r="B35" s="609">
        <v>9</v>
      </c>
      <c r="C35" s="1062" t="s">
        <v>1212</v>
      </c>
      <c r="D35" s="949"/>
      <c r="E35" s="949"/>
      <c r="F35" s="950"/>
      <c r="G35" s="1064" t="s">
        <v>401</v>
      </c>
      <c r="H35" s="950"/>
      <c r="I35" s="1184">
        <f>I33*1.5</f>
        <v>0</v>
      </c>
      <c r="J35" s="950"/>
      <c r="K35" s="611"/>
    </row>
    <row r="36" spans="1:11" ht="27" customHeight="1">
      <c r="A36" s="579"/>
      <c r="B36" s="609">
        <v>10</v>
      </c>
      <c r="C36" s="1062" t="s">
        <v>1213</v>
      </c>
      <c r="D36" s="949"/>
      <c r="E36" s="949"/>
      <c r="F36" s="949"/>
      <c r="G36" s="949"/>
      <c r="H36" s="950"/>
      <c r="I36" s="1063">
        <f>TRUNC(1.3*I32*0.2,2)</f>
        <v>0</v>
      </c>
      <c r="J36" s="950"/>
      <c r="K36" s="610"/>
    </row>
    <row r="37" spans="1:11" ht="27" customHeight="1">
      <c r="A37" s="579"/>
      <c r="B37" s="609">
        <v>11</v>
      </c>
      <c r="C37" s="1062" t="s">
        <v>1214</v>
      </c>
      <c r="D37" s="949"/>
      <c r="E37" s="949"/>
      <c r="F37" s="949"/>
      <c r="G37" s="949"/>
      <c r="H37" s="950"/>
      <c r="I37" s="1063">
        <f>I33*2</f>
        <v>0</v>
      </c>
      <c r="J37" s="950"/>
      <c r="K37" s="610"/>
    </row>
    <row r="38" spans="1:11" ht="14.25" customHeight="1">
      <c r="A38" s="579"/>
      <c r="B38" s="609">
        <v>12</v>
      </c>
      <c r="C38" s="1062" t="s">
        <v>1215</v>
      </c>
      <c r="D38" s="949"/>
      <c r="E38" s="949"/>
      <c r="F38" s="949"/>
      <c r="G38" s="949"/>
      <c r="H38" s="950"/>
      <c r="I38" s="1063">
        <f>I29*'1-ABA-DE-CARREGAMENTO'!D44</f>
        <v>0</v>
      </c>
      <c r="J38" s="950"/>
      <c r="K38" s="610"/>
    </row>
    <row r="39" spans="1:11" ht="14.25" customHeight="1">
      <c r="A39" s="579"/>
      <c r="B39" s="609">
        <v>13</v>
      </c>
      <c r="C39" s="1062" t="s">
        <v>405</v>
      </c>
      <c r="D39" s="949"/>
      <c r="E39" s="949"/>
      <c r="F39" s="949"/>
      <c r="G39" s="949"/>
      <c r="H39" s="950"/>
      <c r="I39" s="1063">
        <f>ROUND(I32/6,2)*1.3</f>
        <v>0</v>
      </c>
      <c r="J39" s="950"/>
      <c r="K39" s="610"/>
    </row>
    <row r="40" spans="1:11" ht="11.25" customHeight="1">
      <c r="A40" s="579"/>
      <c r="B40" s="609">
        <v>14</v>
      </c>
      <c r="C40" s="1164" t="s">
        <v>406</v>
      </c>
      <c r="D40" s="949"/>
      <c r="E40" s="949"/>
      <c r="F40" s="949"/>
      <c r="G40" s="949"/>
      <c r="H40" s="950"/>
      <c r="I40" s="1182">
        <f>'1-ABA-DE-CARREGAMENTO'!N93</f>
        <v>1</v>
      </c>
      <c r="J40" s="950"/>
      <c r="K40" s="614"/>
    </row>
    <row r="41" spans="1:11" ht="11.25" customHeight="1">
      <c r="A41" s="579"/>
      <c r="B41" s="609">
        <v>15</v>
      </c>
      <c r="C41" s="1164" t="s">
        <v>687</v>
      </c>
      <c r="D41" s="949"/>
      <c r="E41" s="949"/>
      <c r="F41" s="949"/>
      <c r="G41" s="949"/>
      <c r="H41" s="950"/>
      <c r="I41" s="1165">
        <f>'1-ABA-DE-CARREGAMENTO'!E42</f>
        <v>1320</v>
      </c>
      <c r="J41" s="950"/>
      <c r="K41" s="616"/>
    </row>
    <row r="42" spans="1:11" ht="11.25" customHeight="1">
      <c r="A42" s="579"/>
      <c r="B42" s="1047"/>
      <c r="C42" s="949"/>
      <c r="D42" s="949"/>
      <c r="E42" s="949"/>
      <c r="F42" s="949"/>
      <c r="G42" s="949"/>
      <c r="H42" s="949"/>
      <c r="I42" s="949"/>
      <c r="J42" s="950"/>
      <c r="K42" s="362"/>
    </row>
    <row r="43" spans="1:11" ht="30" customHeight="1">
      <c r="A43" s="579"/>
      <c r="B43" s="1086" t="s">
        <v>408</v>
      </c>
      <c r="C43" s="949"/>
      <c r="D43" s="949"/>
      <c r="E43" s="949"/>
      <c r="F43" s="949"/>
      <c r="G43" s="949"/>
      <c r="H43" s="949"/>
      <c r="I43" s="949"/>
      <c r="J43" s="950"/>
      <c r="K43" s="617"/>
    </row>
    <row r="44" spans="1:11" ht="14.25" customHeight="1">
      <c r="A44" s="579"/>
      <c r="B44" s="1087"/>
      <c r="C44" s="949"/>
      <c r="D44" s="949"/>
      <c r="E44" s="949"/>
      <c r="F44" s="949"/>
      <c r="G44" s="949"/>
      <c r="H44" s="949"/>
      <c r="I44" s="949"/>
      <c r="J44" s="950"/>
      <c r="K44" s="618"/>
    </row>
    <row r="45" spans="1:11" ht="11.25" customHeight="1">
      <c r="A45" s="579"/>
      <c r="B45" s="1088" t="s">
        <v>409</v>
      </c>
      <c r="C45" s="949"/>
      <c r="D45" s="949"/>
      <c r="E45" s="949"/>
      <c r="F45" s="949"/>
      <c r="G45" s="949"/>
      <c r="H45" s="949"/>
      <c r="I45" s="949"/>
      <c r="J45" s="950"/>
      <c r="K45" s="620"/>
    </row>
    <row r="46" spans="1:11" ht="11.25" customHeight="1">
      <c r="A46" s="621"/>
      <c r="B46" s="622">
        <v>1</v>
      </c>
      <c r="C46" s="1089" t="s">
        <v>410</v>
      </c>
      <c r="D46" s="949"/>
      <c r="E46" s="949"/>
      <c r="F46" s="949"/>
      <c r="G46" s="949"/>
      <c r="H46" s="950"/>
      <c r="I46" s="623" t="s">
        <v>411</v>
      </c>
      <c r="J46" s="622" t="s">
        <v>412</v>
      </c>
      <c r="K46" s="592"/>
    </row>
    <row r="47" spans="1:11" ht="12.75" customHeight="1">
      <c r="A47" s="579"/>
      <c r="B47" s="589" t="s">
        <v>369</v>
      </c>
      <c r="C47" s="1051" t="s">
        <v>413</v>
      </c>
      <c r="D47" s="949"/>
      <c r="E47" s="949"/>
      <c r="F47" s="950"/>
      <c r="G47" s="624" t="s">
        <v>184</v>
      </c>
      <c r="H47" s="625">
        <f>'1-ABA-DE-CARREGAMENTO'!N52</f>
        <v>220</v>
      </c>
      <c r="I47" s="624"/>
      <c r="J47" s="627">
        <f>I29*I40</f>
        <v>0</v>
      </c>
      <c r="K47" s="628"/>
    </row>
    <row r="48" spans="1:11" ht="11.25" customHeight="1">
      <c r="A48" s="579"/>
      <c r="B48" s="589" t="s">
        <v>371</v>
      </c>
      <c r="C48" s="1051" t="s">
        <v>688</v>
      </c>
      <c r="D48" s="949"/>
      <c r="E48" s="949"/>
      <c r="F48" s="1090" t="str">
        <f>'1-ABA-DE-CARREGAMENTO'!N38</f>
        <v>SEM ADICIONAL DE FUNÇÃO</v>
      </c>
      <c r="G48" s="949"/>
      <c r="H48" s="950"/>
      <c r="I48" s="867">
        <f>'1-ABA-DE-CARREGAMENTO'!N39</f>
        <v>0</v>
      </c>
      <c r="J48" s="627">
        <f>J47*I48</f>
        <v>0</v>
      </c>
      <c r="K48" s="628"/>
    </row>
    <row r="49" spans="1:11" ht="11.25" customHeight="1">
      <c r="A49" s="579"/>
      <c r="B49" s="589" t="s">
        <v>373</v>
      </c>
      <c r="C49" s="1051" t="s">
        <v>1216</v>
      </c>
      <c r="D49" s="949"/>
      <c r="E49" s="949"/>
      <c r="F49" s="949"/>
      <c r="G49" s="949"/>
      <c r="H49" s="950"/>
      <c r="I49" s="756">
        <f>'1-ABA-DE-CARREGAMENTO'!N44</f>
        <v>0</v>
      </c>
      <c r="J49" s="627">
        <f>ROUND(J47*I49,2)</f>
        <v>0</v>
      </c>
      <c r="K49" s="628"/>
    </row>
    <row r="50" spans="1:11" ht="11.25" customHeight="1">
      <c r="A50" s="579"/>
      <c r="B50" s="589" t="s">
        <v>375</v>
      </c>
      <c r="C50" s="1051" t="s">
        <v>1217</v>
      </c>
      <c r="D50" s="949"/>
      <c r="E50" s="949"/>
      <c r="F50" s="949"/>
      <c r="G50" s="1090" t="str">
        <f>'1-ABA-DE-CARREGAMENTO'!N40</f>
        <v>SEM ADICIONAL DE RISCO</v>
      </c>
      <c r="H50" s="950"/>
      <c r="I50" s="869">
        <f>'1-ABA-DE-CARREGAMENTO'!N41</f>
        <v>0</v>
      </c>
      <c r="J50" s="627">
        <f>ROUND(I50*I41,2)</f>
        <v>0</v>
      </c>
      <c r="K50" s="628"/>
    </row>
    <row r="51" spans="1:11" ht="35.25" customHeight="1">
      <c r="A51" s="579"/>
      <c r="B51" s="589" t="s">
        <v>417</v>
      </c>
      <c r="C51" s="1051" t="s">
        <v>1218</v>
      </c>
      <c r="D51" s="949"/>
      <c r="E51" s="949"/>
      <c r="F51" s="949"/>
      <c r="G51" s="949"/>
      <c r="H51" s="949"/>
      <c r="I51" s="950"/>
      <c r="J51" s="627">
        <f>ROUND(2*8*15*I36,2)*0</f>
        <v>0</v>
      </c>
      <c r="K51" s="628"/>
    </row>
    <row r="52" spans="1:11" ht="42" customHeight="1">
      <c r="A52" s="579"/>
      <c r="B52" s="589" t="s">
        <v>421</v>
      </c>
      <c r="C52" s="1092" t="s">
        <v>1219</v>
      </c>
      <c r="D52" s="949"/>
      <c r="E52" s="949"/>
      <c r="F52" s="949"/>
      <c r="G52" s="949"/>
      <c r="H52" s="949"/>
      <c r="I52" s="950"/>
      <c r="J52" s="627">
        <f>ROUND(I38*(((12*15)+15)-((44/6)*26))*I35,2)*0+ROUND(2*4.33*I35,2)*0</f>
        <v>0</v>
      </c>
      <c r="K52" s="628"/>
    </row>
    <row r="53" spans="1:11" ht="35.25" customHeight="1">
      <c r="A53" s="579"/>
      <c r="B53" s="589" t="s">
        <v>423</v>
      </c>
      <c r="C53" s="1092" t="s">
        <v>1220</v>
      </c>
      <c r="D53" s="949"/>
      <c r="E53" s="949"/>
      <c r="F53" s="949"/>
      <c r="G53" s="949"/>
      <c r="H53" s="949"/>
      <c r="I53" s="950"/>
      <c r="J53" s="627">
        <f>ROUND(I39*I40*15,2)*0</f>
        <v>0</v>
      </c>
      <c r="K53" s="628"/>
    </row>
    <row r="54" spans="1:11" ht="35.25" customHeight="1">
      <c r="A54" s="579"/>
      <c r="B54" s="589" t="s">
        <v>425</v>
      </c>
      <c r="C54" s="1092" t="s">
        <v>990</v>
      </c>
      <c r="D54" s="949"/>
      <c r="E54" s="949"/>
      <c r="F54" s="1185" t="s">
        <v>1221</v>
      </c>
      <c r="G54" s="949"/>
      <c r="H54" s="949"/>
      <c r="I54" s="919">
        <f>'1-ABA-DE-CARREGAMENTO'!N65</f>
        <v>0</v>
      </c>
      <c r="J54" s="627">
        <f>ROUND((((SUM(J47:J50))/220)*1.5)*I54,2)</f>
        <v>0</v>
      </c>
      <c r="K54" s="628"/>
    </row>
    <row r="55" spans="1:11" ht="35.25" customHeight="1">
      <c r="A55" s="579"/>
      <c r="B55" s="589" t="s">
        <v>429</v>
      </c>
      <c r="C55" s="1092" t="s">
        <v>992</v>
      </c>
      <c r="D55" s="949"/>
      <c r="E55" s="949"/>
      <c r="F55" s="1185" t="s">
        <v>1222</v>
      </c>
      <c r="G55" s="949"/>
      <c r="H55" s="949"/>
      <c r="I55" s="919">
        <f>'1-ABA-DE-CARREGAMENTO'!N68</f>
        <v>0</v>
      </c>
      <c r="J55" s="627">
        <f>ROUND((((SUM(J47:J50))/220)*2)*I55,2)</f>
        <v>0</v>
      </c>
      <c r="K55" s="628"/>
    </row>
    <row r="56" spans="1:11" ht="35.25" customHeight="1">
      <c r="A56" s="579"/>
      <c r="B56" s="589" t="s">
        <v>433</v>
      </c>
      <c r="C56" s="1051" t="s">
        <v>1223</v>
      </c>
      <c r="D56" s="949"/>
      <c r="E56" s="949"/>
      <c r="F56" s="949"/>
      <c r="G56" s="949"/>
      <c r="H56" s="949"/>
      <c r="I56" s="950"/>
      <c r="J56" s="627">
        <f>ROUND(((J54+J55)/25)*5,2)</f>
        <v>0</v>
      </c>
      <c r="K56" s="628"/>
    </row>
    <row r="57" spans="1:11" ht="11.25" customHeight="1">
      <c r="A57" s="579"/>
      <c r="B57" s="589" t="s">
        <v>436</v>
      </c>
      <c r="C57" s="1051" t="s">
        <v>437</v>
      </c>
      <c r="D57" s="949"/>
      <c r="E57" s="949"/>
      <c r="F57" s="949"/>
      <c r="G57" s="949"/>
      <c r="H57" s="949"/>
      <c r="I57" s="950"/>
      <c r="J57" s="643" t="s">
        <v>382</v>
      </c>
      <c r="K57" s="644"/>
    </row>
    <row r="58" spans="1:11" ht="11.25" customHeight="1">
      <c r="A58" s="579"/>
      <c r="B58" s="1050" t="s">
        <v>438</v>
      </c>
      <c r="C58" s="949"/>
      <c r="D58" s="949"/>
      <c r="E58" s="949"/>
      <c r="F58" s="949"/>
      <c r="G58" s="949"/>
      <c r="H58" s="949"/>
      <c r="I58" s="950"/>
      <c r="J58" s="645">
        <f>SUM(J47:J57)</f>
        <v>0</v>
      </c>
      <c r="K58" s="646"/>
    </row>
    <row r="59" spans="1:11" ht="14.25" customHeight="1">
      <c r="A59" s="579"/>
      <c r="B59" s="647"/>
      <c r="C59" s="1095"/>
      <c r="D59" s="949"/>
      <c r="E59" s="949"/>
      <c r="F59" s="949"/>
      <c r="G59" s="949"/>
      <c r="H59" s="949"/>
      <c r="I59" s="950"/>
      <c r="J59" s="648"/>
      <c r="K59" s="646"/>
    </row>
    <row r="60" spans="1:11" ht="11.25" customHeight="1">
      <c r="A60" s="579"/>
      <c r="B60" s="589" t="s">
        <v>425</v>
      </c>
      <c r="C60" s="1051" t="s">
        <v>1224</v>
      </c>
      <c r="D60" s="949"/>
      <c r="E60" s="949"/>
      <c r="F60" s="949"/>
      <c r="G60" s="949"/>
      <c r="H60" s="949"/>
      <c r="I60" s="950"/>
      <c r="J60" s="627">
        <f>ROUND(I34*15*I40*0.5,2)*0</f>
        <v>0</v>
      </c>
      <c r="K60" s="628"/>
    </row>
    <row r="61" spans="1:11" ht="11.25" customHeight="1">
      <c r="A61" s="579"/>
      <c r="B61" s="1050" t="s">
        <v>1225</v>
      </c>
      <c r="C61" s="949"/>
      <c r="D61" s="949"/>
      <c r="E61" s="949"/>
      <c r="F61" s="949"/>
      <c r="G61" s="949"/>
      <c r="H61" s="949"/>
      <c r="I61" s="950"/>
      <c r="J61" s="645">
        <f>J60</f>
        <v>0</v>
      </c>
      <c r="K61" s="646"/>
    </row>
    <row r="62" spans="1:11" ht="11.25" customHeight="1">
      <c r="A62" s="579"/>
      <c r="B62" s="1045"/>
      <c r="C62" s="949"/>
      <c r="D62" s="949"/>
      <c r="E62" s="949"/>
      <c r="F62" s="949"/>
      <c r="G62" s="949"/>
      <c r="H62" s="949"/>
      <c r="I62" s="949"/>
      <c r="J62" s="950"/>
      <c r="K62" s="593"/>
    </row>
    <row r="63" spans="1:11" ht="11.25" customHeight="1">
      <c r="A63" s="579"/>
      <c r="B63" s="1096" t="s">
        <v>1226</v>
      </c>
      <c r="C63" s="949"/>
      <c r="D63" s="949"/>
      <c r="E63" s="949"/>
      <c r="F63" s="949"/>
      <c r="G63" s="949"/>
      <c r="H63" s="949"/>
      <c r="I63" s="950"/>
      <c r="J63" s="649">
        <f>J58+J61</f>
        <v>0</v>
      </c>
      <c r="K63" s="650"/>
    </row>
    <row r="64" spans="1:11" ht="11.25" customHeight="1">
      <c r="A64" s="579"/>
      <c r="B64" s="1095"/>
      <c r="C64" s="949"/>
      <c r="D64" s="949"/>
      <c r="E64" s="949"/>
      <c r="F64" s="949"/>
      <c r="G64" s="949"/>
      <c r="H64" s="949"/>
      <c r="I64" s="949"/>
      <c r="J64" s="950"/>
      <c r="K64" s="651"/>
    </row>
    <row r="65" spans="1:11" ht="11.25" customHeight="1">
      <c r="A65" s="579"/>
      <c r="B65" s="1097" t="s">
        <v>442</v>
      </c>
      <c r="C65" s="949"/>
      <c r="D65" s="949"/>
      <c r="E65" s="949"/>
      <c r="F65" s="949"/>
      <c r="G65" s="949"/>
      <c r="H65" s="949"/>
      <c r="I65" s="949"/>
      <c r="J65" s="950"/>
      <c r="K65" s="652"/>
    </row>
    <row r="66" spans="1:11" ht="11.25" customHeight="1">
      <c r="A66" s="579"/>
      <c r="B66" s="1095"/>
      <c r="C66" s="949"/>
      <c r="D66" s="949"/>
      <c r="E66" s="949"/>
      <c r="F66" s="949"/>
      <c r="G66" s="949"/>
      <c r="H66" s="949"/>
      <c r="I66" s="949"/>
      <c r="J66" s="950"/>
      <c r="K66" s="651"/>
    </row>
    <row r="67" spans="1:11" ht="11.25" customHeight="1">
      <c r="A67" s="579"/>
      <c r="B67" s="1098" t="s">
        <v>443</v>
      </c>
      <c r="C67" s="949"/>
      <c r="D67" s="949"/>
      <c r="E67" s="949"/>
      <c r="F67" s="949"/>
      <c r="G67" s="949"/>
      <c r="H67" s="949"/>
      <c r="I67" s="949"/>
      <c r="J67" s="950"/>
      <c r="K67" s="653"/>
    </row>
    <row r="68" spans="1:11" ht="11.25" customHeight="1">
      <c r="A68" s="579"/>
      <c r="B68" s="1099" t="s">
        <v>1227</v>
      </c>
      <c r="C68" s="949"/>
      <c r="D68" s="949"/>
      <c r="E68" s="949"/>
      <c r="F68" s="949"/>
      <c r="G68" s="949"/>
      <c r="H68" s="949"/>
      <c r="I68" s="949"/>
      <c r="J68" s="950"/>
      <c r="K68" s="654"/>
    </row>
    <row r="69" spans="1:11" ht="15" customHeight="1">
      <c r="A69" s="579"/>
      <c r="B69" s="655" t="s">
        <v>445</v>
      </c>
      <c r="C69" s="1100" t="s">
        <v>1228</v>
      </c>
      <c r="D69" s="949"/>
      <c r="E69" s="949"/>
      <c r="F69" s="949"/>
      <c r="G69" s="949"/>
      <c r="H69" s="949"/>
      <c r="I69" s="950"/>
      <c r="J69" s="656" t="s">
        <v>447</v>
      </c>
      <c r="K69" s="657"/>
    </row>
    <row r="70" spans="1:11" ht="11.25" customHeight="1">
      <c r="A70" s="579"/>
      <c r="B70" s="655" t="s">
        <v>369</v>
      </c>
      <c r="C70" s="1092" t="s">
        <v>1229</v>
      </c>
      <c r="D70" s="949"/>
      <c r="E70" s="949"/>
      <c r="F70" s="949"/>
      <c r="G70" s="949"/>
      <c r="H70" s="950"/>
      <c r="I70" s="658">
        <v>8.3299999999999999E-2</v>
      </c>
      <c r="J70" s="659">
        <f>ROUND(J58*I70,2)</f>
        <v>0</v>
      </c>
      <c r="K70" s="660"/>
    </row>
    <row r="71" spans="1:11" ht="14.25" customHeight="1">
      <c r="A71" s="579"/>
      <c r="B71" s="655" t="s">
        <v>371</v>
      </c>
      <c r="C71" s="1101" t="s">
        <v>1230</v>
      </c>
      <c r="D71" s="949"/>
      <c r="E71" s="949"/>
      <c r="F71" s="949"/>
      <c r="G71" s="949"/>
      <c r="H71" s="950"/>
      <c r="I71" s="661">
        <v>3.0249999999999999E-2</v>
      </c>
      <c r="J71" s="659">
        <f>ROUND(J58*I71,2)</f>
        <v>0</v>
      </c>
      <c r="K71" s="660"/>
    </row>
    <row r="72" spans="1:11" ht="11.25" customHeight="1">
      <c r="A72" s="579"/>
      <c r="B72" s="1102" t="s">
        <v>450</v>
      </c>
      <c r="C72" s="949"/>
      <c r="D72" s="949"/>
      <c r="E72" s="949"/>
      <c r="F72" s="949"/>
      <c r="G72" s="949"/>
      <c r="H72" s="949"/>
      <c r="I72" s="950"/>
      <c r="J72" s="662">
        <f>SUM(J70+J71)</f>
        <v>0</v>
      </c>
      <c r="K72" s="663"/>
    </row>
    <row r="73" spans="1:11" ht="14.25" customHeight="1">
      <c r="A73" s="579"/>
      <c r="B73" s="1103"/>
      <c r="C73" s="949"/>
      <c r="D73" s="949"/>
      <c r="E73" s="949"/>
      <c r="F73" s="949"/>
      <c r="G73" s="949"/>
      <c r="H73" s="949"/>
      <c r="I73" s="949"/>
      <c r="J73" s="950"/>
      <c r="K73" s="664"/>
    </row>
    <row r="74" spans="1:11" ht="11.25" customHeight="1">
      <c r="A74" s="579"/>
      <c r="B74" s="1086" t="s">
        <v>1231</v>
      </c>
      <c r="C74" s="949"/>
      <c r="D74" s="949"/>
      <c r="E74" s="949"/>
      <c r="F74" s="949"/>
      <c r="G74" s="949"/>
      <c r="H74" s="949"/>
      <c r="I74" s="949"/>
      <c r="J74" s="950"/>
      <c r="K74" s="617"/>
    </row>
    <row r="75" spans="1:11" ht="14.25" customHeight="1">
      <c r="A75" s="579"/>
      <c r="B75" s="1104"/>
      <c r="C75" s="949"/>
      <c r="D75" s="949"/>
      <c r="E75" s="949"/>
      <c r="F75" s="949"/>
      <c r="G75" s="949"/>
      <c r="H75" s="949"/>
      <c r="I75" s="949"/>
      <c r="J75" s="950"/>
      <c r="K75" s="617"/>
    </row>
    <row r="76" spans="1:11" ht="14.25" customHeight="1">
      <c r="A76" s="579"/>
      <c r="B76" s="1105" t="s">
        <v>1232</v>
      </c>
      <c r="C76" s="949"/>
      <c r="D76" s="949"/>
      <c r="E76" s="949"/>
      <c r="F76" s="949"/>
      <c r="G76" s="949"/>
      <c r="H76" s="949"/>
      <c r="I76" s="949"/>
      <c r="J76" s="950"/>
      <c r="K76" s="665"/>
    </row>
    <row r="77" spans="1:11" ht="11.25" customHeight="1">
      <c r="A77" s="579"/>
      <c r="B77" s="666" t="s">
        <v>453</v>
      </c>
      <c r="C77" s="1110" t="s">
        <v>454</v>
      </c>
      <c r="D77" s="949"/>
      <c r="E77" s="949"/>
      <c r="F77" s="949"/>
      <c r="G77" s="949"/>
      <c r="H77" s="950"/>
      <c r="I77" s="667" t="s">
        <v>411</v>
      </c>
      <c r="J77" s="668" t="s">
        <v>455</v>
      </c>
      <c r="K77" s="657"/>
    </row>
    <row r="78" spans="1:11" ht="11.25" customHeight="1">
      <c r="A78" s="579"/>
      <c r="B78" s="669" t="s">
        <v>369</v>
      </c>
      <c r="C78" s="1051" t="s">
        <v>456</v>
      </c>
      <c r="D78" s="949"/>
      <c r="E78" s="949"/>
      <c r="F78" s="949"/>
      <c r="G78" s="949"/>
      <c r="H78" s="950"/>
      <c r="I78" s="670">
        <v>0.2</v>
      </c>
      <c r="J78" s="671">
        <f>ROUND((J58+J72)*I78,2)</f>
        <v>0</v>
      </c>
      <c r="K78" s="663"/>
    </row>
    <row r="79" spans="1:11" ht="11.25" customHeight="1">
      <c r="A79" s="579"/>
      <c r="B79" s="669" t="s">
        <v>371</v>
      </c>
      <c r="C79" s="1051" t="s">
        <v>457</v>
      </c>
      <c r="D79" s="949"/>
      <c r="E79" s="949"/>
      <c r="F79" s="949"/>
      <c r="G79" s="949"/>
      <c r="H79" s="950"/>
      <c r="I79" s="670">
        <v>2.5000000000000001E-2</v>
      </c>
      <c r="J79" s="671">
        <f>ROUND((J58+J72)*I79,2)</f>
        <v>0</v>
      </c>
      <c r="K79" s="663"/>
    </row>
    <row r="80" spans="1:11" ht="11.25" customHeight="1">
      <c r="A80" s="579"/>
      <c r="B80" s="669" t="s">
        <v>373</v>
      </c>
      <c r="C80" s="1051" t="s">
        <v>1233</v>
      </c>
      <c r="D80" s="950"/>
      <c r="E80" s="912" t="s">
        <v>459</v>
      </c>
      <c r="F80" s="913">
        <f>'1-ABA-DE-CARREGAMENTO'!N57</f>
        <v>0.03</v>
      </c>
      <c r="G80" s="912" t="s">
        <v>460</v>
      </c>
      <c r="H80" s="914">
        <f>'1-ABA-DE-CARREGAMENTO'!N58</f>
        <v>1</v>
      </c>
      <c r="I80" s="674">
        <f>ROUND((F80*H80),6)</f>
        <v>0.03</v>
      </c>
      <c r="J80" s="671">
        <f>ROUND((J58+J72)*I80,2)</f>
        <v>0</v>
      </c>
      <c r="K80" s="663"/>
    </row>
    <row r="81" spans="1:11" ht="16.5" customHeight="1">
      <c r="A81" s="579"/>
      <c r="B81" s="669" t="s">
        <v>375</v>
      </c>
      <c r="C81" s="1051" t="s">
        <v>461</v>
      </c>
      <c r="D81" s="949"/>
      <c r="E81" s="949"/>
      <c r="F81" s="949"/>
      <c r="G81" s="949"/>
      <c r="H81" s="950"/>
      <c r="I81" s="670">
        <v>1.4999999999999999E-2</v>
      </c>
      <c r="J81" s="671">
        <f>ROUND((J58+J72)*I81,2)</f>
        <v>0</v>
      </c>
      <c r="K81" s="663"/>
    </row>
    <row r="82" spans="1:11" ht="16.5" customHeight="1">
      <c r="A82" s="579"/>
      <c r="B82" s="669" t="s">
        <v>417</v>
      </c>
      <c r="C82" s="1051" t="s">
        <v>462</v>
      </c>
      <c r="D82" s="949"/>
      <c r="E82" s="949"/>
      <c r="F82" s="949"/>
      <c r="G82" s="949"/>
      <c r="H82" s="950"/>
      <c r="I82" s="670">
        <v>0.01</v>
      </c>
      <c r="J82" s="671">
        <f>ROUND((J58+J72)*I82,2)</f>
        <v>0</v>
      </c>
      <c r="K82" s="663"/>
    </row>
    <row r="83" spans="1:11" ht="16.5" customHeight="1">
      <c r="A83" s="579"/>
      <c r="B83" s="669" t="s">
        <v>421</v>
      </c>
      <c r="C83" s="1051" t="s">
        <v>463</v>
      </c>
      <c r="D83" s="949"/>
      <c r="E83" s="949"/>
      <c r="F83" s="949"/>
      <c r="G83" s="949"/>
      <c r="H83" s="950"/>
      <c r="I83" s="670">
        <v>6.0000000000000001E-3</v>
      </c>
      <c r="J83" s="671">
        <f>ROUND((J58+J72)*I83,2)</f>
        <v>0</v>
      </c>
      <c r="K83" s="663"/>
    </row>
    <row r="84" spans="1:11" ht="16.5" customHeight="1">
      <c r="A84" s="579"/>
      <c r="B84" s="669" t="s">
        <v>423</v>
      </c>
      <c r="C84" s="1051" t="s">
        <v>464</v>
      </c>
      <c r="D84" s="949"/>
      <c r="E84" s="949"/>
      <c r="F84" s="949"/>
      <c r="G84" s="949"/>
      <c r="H84" s="950"/>
      <c r="I84" s="670">
        <v>2E-3</v>
      </c>
      <c r="J84" s="671">
        <f>ROUND((J58+J72)*I84,2)</f>
        <v>0</v>
      </c>
      <c r="K84" s="663"/>
    </row>
    <row r="85" spans="1:11" ht="28.5" customHeight="1">
      <c r="A85" s="579"/>
      <c r="B85" s="669" t="s">
        <v>425</v>
      </c>
      <c r="C85" s="1051" t="s">
        <v>465</v>
      </c>
      <c r="D85" s="949"/>
      <c r="E85" s="949"/>
      <c r="F85" s="949"/>
      <c r="G85" s="949"/>
      <c r="H85" s="950"/>
      <c r="I85" s="670">
        <v>0.08</v>
      </c>
      <c r="J85" s="671">
        <f>ROUND((J58+J72)*I85,2)</f>
        <v>0</v>
      </c>
      <c r="K85" s="663"/>
    </row>
    <row r="86" spans="1:11" ht="12" customHeight="1">
      <c r="A86" s="579"/>
      <c r="B86" s="1108" t="s">
        <v>450</v>
      </c>
      <c r="C86" s="949"/>
      <c r="D86" s="949"/>
      <c r="E86" s="949"/>
      <c r="F86" s="949"/>
      <c r="G86" s="949"/>
      <c r="H86" s="950"/>
      <c r="I86" s="675">
        <f t="shared" ref="I86:J86" si="0">SUM(I78:I85)</f>
        <v>0.36800000000000005</v>
      </c>
      <c r="J86" s="662">
        <f t="shared" si="0"/>
        <v>0</v>
      </c>
      <c r="K86" s="663"/>
    </row>
    <row r="87" spans="1:11" ht="12" customHeight="1">
      <c r="A87" s="579"/>
      <c r="B87" s="676"/>
      <c r="C87" s="677"/>
      <c r="D87" s="677"/>
      <c r="E87" s="677"/>
      <c r="F87" s="677"/>
      <c r="G87" s="677"/>
      <c r="H87" s="677"/>
      <c r="I87" s="678"/>
      <c r="J87" s="679"/>
      <c r="K87" s="663"/>
    </row>
    <row r="88" spans="1:11" ht="36" customHeight="1">
      <c r="A88" s="579"/>
      <c r="B88" s="1086" t="s">
        <v>466</v>
      </c>
      <c r="C88" s="949"/>
      <c r="D88" s="949"/>
      <c r="E88" s="949"/>
      <c r="F88" s="949"/>
      <c r="G88" s="949"/>
      <c r="H88" s="949"/>
      <c r="I88" s="949"/>
      <c r="J88" s="950"/>
      <c r="K88" s="617"/>
    </row>
    <row r="89" spans="1:11" ht="18.75" customHeight="1">
      <c r="A89" s="579"/>
      <c r="B89" s="1047"/>
      <c r="C89" s="949"/>
      <c r="D89" s="949"/>
      <c r="E89" s="949"/>
      <c r="F89" s="949"/>
      <c r="G89" s="949"/>
      <c r="H89" s="949"/>
      <c r="I89" s="949"/>
      <c r="J89" s="950"/>
      <c r="K89" s="362"/>
    </row>
    <row r="90" spans="1:11" ht="15" customHeight="1">
      <c r="A90" s="579"/>
      <c r="B90" s="1114" t="s">
        <v>467</v>
      </c>
      <c r="C90" s="949"/>
      <c r="D90" s="949"/>
      <c r="E90" s="949"/>
      <c r="F90" s="949"/>
      <c r="G90" s="949"/>
      <c r="H90" s="949"/>
      <c r="I90" s="949"/>
      <c r="J90" s="950"/>
      <c r="K90" s="654"/>
    </row>
    <row r="91" spans="1:11" ht="15" customHeight="1">
      <c r="A91" s="579"/>
      <c r="B91" s="680" t="s">
        <v>468</v>
      </c>
      <c r="C91" s="1089" t="s">
        <v>469</v>
      </c>
      <c r="D91" s="949"/>
      <c r="E91" s="949"/>
      <c r="F91" s="949"/>
      <c r="G91" s="949"/>
      <c r="H91" s="949"/>
      <c r="I91" s="950"/>
      <c r="J91" s="681" t="s">
        <v>447</v>
      </c>
      <c r="K91" s="592"/>
    </row>
    <row r="92" spans="1:11" ht="15" customHeight="1">
      <c r="A92" s="579"/>
      <c r="B92" s="682" t="s">
        <v>369</v>
      </c>
      <c r="C92" s="1051" t="s">
        <v>1234</v>
      </c>
      <c r="D92" s="949"/>
      <c r="E92" s="949"/>
      <c r="F92" s="949"/>
      <c r="G92" s="949"/>
      <c r="H92" s="950"/>
      <c r="I92" s="683">
        <f>J47</f>
        <v>0</v>
      </c>
      <c r="J92" s="684">
        <f>IF(ROUND((I93*I95*I94)-(J47*I96),2)&lt;0,0,ROUND((I93*I95*I94)-(J47*I96),2))</f>
        <v>0</v>
      </c>
      <c r="K92" s="663"/>
    </row>
    <row r="93" spans="1:11" ht="28.5" customHeight="1">
      <c r="A93" s="579"/>
      <c r="B93" s="682" t="s">
        <v>371</v>
      </c>
      <c r="C93" s="1051" t="s">
        <v>1235</v>
      </c>
      <c r="D93" s="949"/>
      <c r="E93" s="949"/>
      <c r="F93" s="949"/>
      <c r="G93" s="949"/>
      <c r="H93" s="949"/>
      <c r="I93" s="685">
        <f>'1-ABA-DE-CARREGAMENTO'!N72</f>
        <v>0</v>
      </c>
      <c r="J93" s="686" t="s">
        <v>382</v>
      </c>
      <c r="K93" s="644"/>
    </row>
    <row r="94" spans="1:11" ht="24" customHeight="1">
      <c r="A94" s="579"/>
      <c r="B94" s="682" t="s">
        <v>373</v>
      </c>
      <c r="C94" s="1051" t="s">
        <v>1236</v>
      </c>
      <c r="D94" s="949"/>
      <c r="E94" s="949"/>
      <c r="F94" s="949"/>
      <c r="G94" s="949"/>
      <c r="H94" s="950"/>
      <c r="I94" s="687">
        <f>'1-ABA-DE-CARREGAMENTO'!N73</f>
        <v>2</v>
      </c>
      <c r="J94" s="686" t="s">
        <v>382</v>
      </c>
      <c r="K94" s="644"/>
    </row>
    <row r="95" spans="1:11" ht="19.5" customHeight="1">
      <c r="A95" s="579"/>
      <c r="B95" s="682" t="s">
        <v>375</v>
      </c>
      <c r="C95" s="1062" t="s">
        <v>473</v>
      </c>
      <c r="D95" s="949"/>
      <c r="E95" s="949"/>
      <c r="F95" s="949"/>
      <c r="G95" s="949"/>
      <c r="H95" s="950"/>
      <c r="I95" s="687">
        <f>'1-ABA-DE-CARREGAMENTO'!N74</f>
        <v>0</v>
      </c>
      <c r="J95" s="686" t="s">
        <v>382</v>
      </c>
      <c r="K95" s="644"/>
    </row>
    <row r="96" spans="1:11" ht="24.75" customHeight="1">
      <c r="A96" s="579"/>
      <c r="B96" s="682" t="s">
        <v>417</v>
      </c>
      <c r="C96" s="1062" t="s">
        <v>1237</v>
      </c>
      <c r="D96" s="949"/>
      <c r="E96" s="949"/>
      <c r="F96" s="949"/>
      <c r="G96" s="949"/>
      <c r="H96" s="950"/>
      <c r="I96" s="688">
        <f>'1-ABA-DE-CARREGAMENTO'!N75</f>
        <v>0.06</v>
      </c>
      <c r="J96" s="689" t="s">
        <v>382</v>
      </c>
      <c r="K96" s="644"/>
    </row>
    <row r="97" spans="1:11" ht="15" customHeight="1">
      <c r="A97" s="579"/>
      <c r="B97" s="682" t="s">
        <v>421</v>
      </c>
      <c r="C97" s="1051" t="s">
        <v>1238</v>
      </c>
      <c r="D97" s="949"/>
      <c r="E97" s="949"/>
      <c r="F97" s="949"/>
      <c r="G97" s="949"/>
      <c r="H97" s="949"/>
      <c r="I97" s="949"/>
      <c r="J97" s="684">
        <f>ROUND(I98*I99,2)-ROUND((I98*I99)*I100,2)</f>
        <v>0</v>
      </c>
      <c r="K97" s="663"/>
    </row>
    <row r="98" spans="1:11" ht="15" customHeight="1">
      <c r="A98" s="579"/>
      <c r="B98" s="682" t="s">
        <v>423</v>
      </c>
      <c r="C98" s="1051" t="s">
        <v>1239</v>
      </c>
      <c r="D98" s="949"/>
      <c r="E98" s="949"/>
      <c r="F98" s="949"/>
      <c r="G98" s="949"/>
      <c r="H98" s="949"/>
      <c r="I98" s="685">
        <f>IF('1-ABA-DE-CARREGAMENTO'!N60&gt;0,'1-ABA-DE-CARREGAMENTO'!N60,'1-ABA-DE-CARREGAMENTO'!N63)</f>
        <v>0</v>
      </c>
      <c r="J98" s="691"/>
      <c r="K98" s="644"/>
    </row>
    <row r="99" spans="1:11" ht="15" customHeight="1">
      <c r="A99" s="579"/>
      <c r="B99" s="682" t="s">
        <v>425</v>
      </c>
      <c r="C99" s="1051" t="s">
        <v>1240</v>
      </c>
      <c r="D99" s="949"/>
      <c r="E99" s="949"/>
      <c r="F99" s="949"/>
      <c r="G99" s="949"/>
      <c r="H99" s="949"/>
      <c r="I99" s="687">
        <f>'1-ABA-DE-CARREGAMENTO'!N62</f>
        <v>22</v>
      </c>
      <c r="J99" s="691"/>
      <c r="K99" s="644"/>
    </row>
    <row r="100" spans="1:11" ht="30" customHeight="1">
      <c r="A100" s="579"/>
      <c r="B100" s="682" t="s">
        <v>429</v>
      </c>
      <c r="C100" s="1107" t="s">
        <v>1241</v>
      </c>
      <c r="D100" s="949"/>
      <c r="E100" s="949"/>
      <c r="F100" s="949"/>
      <c r="G100" s="949"/>
      <c r="H100" s="950"/>
      <c r="I100" s="688">
        <f>'1-ABA-DE-CARREGAMENTO'!N61</f>
        <v>0</v>
      </c>
      <c r="J100" s="693"/>
      <c r="K100" s="644"/>
    </row>
    <row r="101" spans="1:11" ht="15" customHeight="1">
      <c r="A101" s="579"/>
      <c r="B101" s="682" t="s">
        <v>433</v>
      </c>
      <c r="C101" s="1051" t="s">
        <v>715</v>
      </c>
      <c r="D101" s="949"/>
      <c r="E101" s="949"/>
      <c r="F101" s="949"/>
      <c r="G101" s="949"/>
      <c r="H101" s="949"/>
      <c r="I101" s="949"/>
      <c r="J101" s="671">
        <v>0</v>
      </c>
      <c r="K101" s="663"/>
    </row>
    <row r="102" spans="1:11" ht="36.75" customHeight="1">
      <c r="A102" s="579"/>
      <c r="B102" s="682" t="s">
        <v>436</v>
      </c>
      <c r="C102" s="1051" t="s">
        <v>1242</v>
      </c>
      <c r="D102" s="949"/>
      <c r="E102" s="949"/>
      <c r="F102" s="949"/>
      <c r="G102" s="949"/>
      <c r="H102" s="949"/>
      <c r="I102" s="949"/>
      <c r="J102" s="671">
        <f>'1-ABA-DE-CARREGAMENTO'!N77</f>
        <v>0.06</v>
      </c>
      <c r="K102" s="663"/>
    </row>
    <row r="103" spans="1:11" ht="36.75" customHeight="1">
      <c r="A103" s="579"/>
      <c r="B103" s="682" t="s">
        <v>481</v>
      </c>
      <c r="C103" s="1051" t="s">
        <v>1243</v>
      </c>
      <c r="D103" s="949"/>
      <c r="E103" s="949"/>
      <c r="F103" s="949"/>
      <c r="G103" s="949"/>
      <c r="H103" s="949"/>
      <c r="I103" s="950"/>
      <c r="J103" s="671">
        <f>'1-ABA-DE-CARREGAMENTO'!N78</f>
        <v>0.06</v>
      </c>
      <c r="K103" s="663"/>
    </row>
    <row r="104" spans="1:11" ht="16.5" customHeight="1">
      <c r="A104" s="579"/>
      <c r="B104" s="682" t="s">
        <v>483</v>
      </c>
      <c r="C104" s="1051" t="s">
        <v>718</v>
      </c>
      <c r="D104" s="949"/>
      <c r="E104" s="949"/>
      <c r="F104" s="949"/>
      <c r="G104" s="949"/>
      <c r="H104" s="949"/>
      <c r="I104" s="950"/>
      <c r="J104" s="671">
        <f>'1-ABA-DE-CARREGAMENTO'!N76</f>
        <v>0.06</v>
      </c>
      <c r="K104" s="663"/>
    </row>
    <row r="105" spans="1:11" ht="17.25" customHeight="1">
      <c r="A105" s="579"/>
      <c r="B105" s="682" t="s">
        <v>129</v>
      </c>
      <c r="C105" s="1111" t="s">
        <v>524</v>
      </c>
      <c r="D105" s="949"/>
      <c r="E105" s="949"/>
      <c r="F105" s="949"/>
      <c r="G105" s="949"/>
      <c r="H105" s="949"/>
      <c r="I105" s="949"/>
      <c r="J105" s="742">
        <v>0</v>
      </c>
      <c r="K105" s="704"/>
    </row>
    <row r="106" spans="1:11" ht="21.75" customHeight="1">
      <c r="A106" s="579"/>
      <c r="B106" s="705"/>
      <c r="C106" s="1108" t="s">
        <v>450</v>
      </c>
      <c r="D106" s="949"/>
      <c r="E106" s="949"/>
      <c r="F106" s="949"/>
      <c r="G106" s="949"/>
      <c r="H106" s="949"/>
      <c r="I106" s="949"/>
      <c r="J106" s="662">
        <f>SUM(J92:J105)</f>
        <v>0.18</v>
      </c>
      <c r="K106" s="663"/>
    </row>
    <row r="107" spans="1:11" ht="9.75" customHeight="1">
      <c r="A107" s="579"/>
      <c r="B107" s="1047"/>
      <c r="C107" s="949"/>
      <c r="D107" s="949"/>
      <c r="E107" s="949"/>
      <c r="F107" s="949"/>
      <c r="G107" s="949"/>
      <c r="H107" s="949"/>
      <c r="I107" s="949"/>
      <c r="J107" s="950"/>
      <c r="K107" s="362"/>
    </row>
    <row r="108" spans="1:11" ht="33" customHeight="1">
      <c r="A108" s="579"/>
      <c r="B108" s="1086" t="s">
        <v>486</v>
      </c>
      <c r="C108" s="949"/>
      <c r="D108" s="949"/>
      <c r="E108" s="949"/>
      <c r="F108" s="949"/>
      <c r="G108" s="949"/>
      <c r="H108" s="949"/>
      <c r="I108" s="949"/>
      <c r="J108" s="950"/>
      <c r="K108" s="617"/>
    </row>
    <row r="109" spans="1:11" ht="7.5" customHeight="1">
      <c r="A109" s="579"/>
      <c r="B109" s="1045"/>
      <c r="C109" s="949"/>
      <c r="D109" s="949"/>
      <c r="E109" s="949"/>
      <c r="F109" s="949"/>
      <c r="G109" s="949"/>
      <c r="H109" s="949"/>
      <c r="I109" s="949"/>
      <c r="J109" s="950"/>
      <c r="K109" s="593"/>
    </row>
    <row r="110" spans="1:11" ht="19.5" customHeight="1">
      <c r="A110" s="579"/>
      <c r="B110" s="1109" t="s">
        <v>487</v>
      </c>
      <c r="C110" s="949"/>
      <c r="D110" s="949"/>
      <c r="E110" s="949"/>
      <c r="F110" s="949"/>
      <c r="G110" s="949"/>
      <c r="H110" s="949"/>
      <c r="I110" s="949"/>
      <c r="J110" s="950"/>
      <c r="K110" s="706"/>
    </row>
    <row r="111" spans="1:11" ht="19.5" customHeight="1">
      <c r="A111" s="579"/>
      <c r="B111" s="668">
        <v>2</v>
      </c>
      <c r="C111" s="1110" t="s">
        <v>488</v>
      </c>
      <c r="D111" s="949"/>
      <c r="E111" s="949"/>
      <c r="F111" s="949"/>
      <c r="G111" s="949"/>
      <c r="H111" s="949"/>
      <c r="I111" s="950"/>
      <c r="J111" s="668" t="s">
        <v>447</v>
      </c>
      <c r="K111" s="657"/>
    </row>
    <row r="112" spans="1:11" ht="19.5" customHeight="1">
      <c r="A112" s="579"/>
      <c r="B112" s="600" t="s">
        <v>445</v>
      </c>
      <c r="C112" s="1092" t="s">
        <v>1244</v>
      </c>
      <c r="D112" s="949"/>
      <c r="E112" s="949"/>
      <c r="F112" s="949"/>
      <c r="G112" s="949"/>
      <c r="H112" s="949"/>
      <c r="I112" s="950"/>
      <c r="J112" s="707">
        <f>J72</f>
        <v>0</v>
      </c>
      <c r="K112" s="708"/>
    </row>
    <row r="113" spans="1:11" ht="19.5" customHeight="1">
      <c r="A113" s="579"/>
      <c r="B113" s="600" t="s">
        <v>453</v>
      </c>
      <c r="C113" s="1092" t="s">
        <v>454</v>
      </c>
      <c r="D113" s="949"/>
      <c r="E113" s="949"/>
      <c r="F113" s="949"/>
      <c r="G113" s="949"/>
      <c r="H113" s="949"/>
      <c r="I113" s="950"/>
      <c r="J113" s="707">
        <f>J86</f>
        <v>0</v>
      </c>
      <c r="K113" s="708"/>
    </row>
    <row r="114" spans="1:11" ht="19.5" customHeight="1">
      <c r="A114" s="579"/>
      <c r="B114" s="600" t="s">
        <v>468</v>
      </c>
      <c r="C114" s="1092" t="s">
        <v>469</v>
      </c>
      <c r="D114" s="949"/>
      <c r="E114" s="949"/>
      <c r="F114" s="949"/>
      <c r="G114" s="949"/>
      <c r="H114" s="949"/>
      <c r="I114" s="950"/>
      <c r="J114" s="707">
        <f>J106</f>
        <v>0.18</v>
      </c>
      <c r="K114" s="708"/>
    </row>
    <row r="115" spans="1:11" ht="14.25" customHeight="1">
      <c r="A115" s="579"/>
      <c r="B115" s="1115" t="s">
        <v>450</v>
      </c>
      <c r="C115" s="949"/>
      <c r="D115" s="949"/>
      <c r="E115" s="949"/>
      <c r="F115" s="949"/>
      <c r="G115" s="949"/>
      <c r="H115" s="949"/>
      <c r="I115" s="950"/>
      <c r="J115" s="709">
        <f>SUM(J112+J113+J114)</f>
        <v>0.18</v>
      </c>
      <c r="K115" s="708"/>
    </row>
    <row r="116" spans="1:11" ht="14.25" customHeight="1">
      <c r="A116" s="579"/>
      <c r="B116" s="1116"/>
      <c r="C116" s="949"/>
      <c r="D116" s="949"/>
      <c r="E116" s="949"/>
      <c r="F116" s="949"/>
      <c r="G116" s="949"/>
      <c r="H116" s="949"/>
      <c r="I116" s="949"/>
      <c r="J116" s="950"/>
      <c r="K116" s="710"/>
    </row>
    <row r="117" spans="1:11" ht="18.75" customHeight="1">
      <c r="A117" s="579"/>
      <c r="B117" s="1117" t="s">
        <v>490</v>
      </c>
      <c r="C117" s="949"/>
      <c r="D117" s="949"/>
      <c r="E117" s="949"/>
      <c r="F117" s="949"/>
      <c r="G117" s="949"/>
      <c r="H117" s="949"/>
      <c r="I117" s="949"/>
      <c r="J117" s="950"/>
      <c r="K117" s="711"/>
    </row>
    <row r="118" spans="1:11" ht="15.75" customHeight="1">
      <c r="A118" s="579"/>
      <c r="B118" s="680">
        <v>3</v>
      </c>
      <c r="C118" s="1118" t="s">
        <v>491</v>
      </c>
      <c r="D118" s="949"/>
      <c r="E118" s="949"/>
      <c r="F118" s="949"/>
      <c r="G118" s="949"/>
      <c r="H118" s="949"/>
      <c r="I118" s="950"/>
      <c r="J118" s="680" t="s">
        <v>447</v>
      </c>
      <c r="K118" s="712"/>
    </row>
    <row r="119" spans="1:11" ht="40.5" customHeight="1">
      <c r="A119" s="579"/>
      <c r="B119" s="682" t="s">
        <v>369</v>
      </c>
      <c r="C119" s="1051" t="s">
        <v>1245</v>
      </c>
      <c r="D119" s="949"/>
      <c r="E119" s="949"/>
      <c r="F119" s="949"/>
      <c r="G119" s="949"/>
      <c r="H119" s="949"/>
      <c r="I119" s="950"/>
      <c r="J119" s="671">
        <f>ROUND((($J$58/12)+($J$70/12)+(J58/12/12)+($J$71/12))*(30/30)*0.05,2)</f>
        <v>0</v>
      </c>
      <c r="K119" s="663"/>
    </row>
    <row r="120" spans="1:11" ht="15.75" customHeight="1">
      <c r="A120" s="579"/>
      <c r="B120" s="682" t="s">
        <v>371</v>
      </c>
      <c r="C120" s="1111" t="s">
        <v>493</v>
      </c>
      <c r="D120" s="949"/>
      <c r="E120" s="949"/>
      <c r="F120" s="949"/>
      <c r="G120" s="949"/>
      <c r="H120" s="949"/>
      <c r="I120" s="950"/>
      <c r="J120" s="671">
        <f>ROUND($I$85*J119,2)</f>
        <v>0</v>
      </c>
      <c r="K120" s="663"/>
    </row>
    <row r="121" spans="1:11" ht="28.5" customHeight="1">
      <c r="A121" s="579"/>
      <c r="B121" s="682" t="s">
        <v>373</v>
      </c>
      <c r="C121" s="1051" t="s">
        <v>1246</v>
      </c>
      <c r="D121" s="949"/>
      <c r="E121" s="949"/>
      <c r="F121" s="949"/>
      <c r="G121" s="949"/>
      <c r="H121" s="949"/>
      <c r="I121" s="950"/>
      <c r="J121" s="671">
        <f>ROUND(((7/30)/$I$11)*$J$58*1,2)</f>
        <v>0</v>
      </c>
      <c r="K121" s="663"/>
    </row>
    <row r="122" spans="1:11" ht="18.75" customHeight="1">
      <c r="A122" s="579"/>
      <c r="B122" s="682" t="s">
        <v>375</v>
      </c>
      <c r="C122" s="1111" t="s">
        <v>495</v>
      </c>
      <c r="D122" s="949"/>
      <c r="E122" s="949"/>
      <c r="F122" s="949"/>
      <c r="G122" s="949"/>
      <c r="H122" s="949"/>
      <c r="I122" s="950"/>
      <c r="J122" s="671">
        <f>ROUND($I$86*J121,2)</f>
        <v>0</v>
      </c>
      <c r="K122" s="663"/>
    </row>
    <row r="123" spans="1:11" ht="32.25" customHeight="1">
      <c r="A123" s="579"/>
      <c r="B123" s="682" t="s">
        <v>417</v>
      </c>
      <c r="C123" s="1051" t="s">
        <v>1247</v>
      </c>
      <c r="D123" s="949"/>
      <c r="E123" s="949"/>
      <c r="F123" s="949"/>
      <c r="G123" s="949"/>
      <c r="H123" s="950"/>
      <c r="I123" s="714">
        <v>0.04</v>
      </c>
      <c r="J123" s="671">
        <f>ROUND(J58*I123,2)</f>
        <v>0</v>
      </c>
      <c r="K123" s="663"/>
    </row>
    <row r="124" spans="1:11" ht="9.75" customHeight="1">
      <c r="A124" s="579"/>
      <c r="B124" s="1108" t="s">
        <v>497</v>
      </c>
      <c r="C124" s="949"/>
      <c r="D124" s="949"/>
      <c r="E124" s="949"/>
      <c r="F124" s="949"/>
      <c r="G124" s="949"/>
      <c r="H124" s="949"/>
      <c r="I124" s="950"/>
      <c r="J124" s="662">
        <f>SUM(J119:J123)</f>
        <v>0</v>
      </c>
      <c r="K124" s="663"/>
    </row>
    <row r="125" spans="1:11" ht="15.75" customHeight="1">
      <c r="A125" s="579"/>
      <c r="B125" s="1112"/>
      <c r="C125" s="949"/>
      <c r="D125" s="949"/>
      <c r="E125" s="949"/>
      <c r="F125" s="949"/>
      <c r="G125" s="949"/>
      <c r="H125" s="949"/>
      <c r="I125" s="949"/>
      <c r="J125" s="950"/>
      <c r="K125" s="715"/>
    </row>
    <row r="126" spans="1:11" ht="17.25" customHeight="1">
      <c r="A126" s="579"/>
      <c r="B126" s="1113" t="s">
        <v>498</v>
      </c>
      <c r="C126" s="949"/>
      <c r="D126" s="949"/>
      <c r="E126" s="949"/>
      <c r="F126" s="949"/>
      <c r="G126" s="949"/>
      <c r="H126" s="949"/>
      <c r="I126" s="949"/>
      <c r="J126" s="950"/>
      <c r="K126" s="716"/>
    </row>
    <row r="127" spans="1:11" ht="30" customHeight="1">
      <c r="A127" s="579"/>
      <c r="B127" s="1086" t="s">
        <v>499</v>
      </c>
      <c r="C127" s="949"/>
      <c r="D127" s="949"/>
      <c r="E127" s="949"/>
      <c r="F127" s="949"/>
      <c r="G127" s="949"/>
      <c r="H127" s="949"/>
      <c r="I127" s="949"/>
      <c r="J127" s="950"/>
      <c r="K127" s="617"/>
    </row>
    <row r="128" spans="1:11" ht="58.5" customHeight="1">
      <c r="A128" s="579"/>
      <c r="B128" s="1105" t="s">
        <v>1248</v>
      </c>
      <c r="C128" s="949"/>
      <c r="D128" s="949"/>
      <c r="E128" s="949"/>
      <c r="F128" s="949"/>
      <c r="G128" s="949"/>
      <c r="H128" s="949"/>
      <c r="I128" s="949"/>
      <c r="J128" s="950"/>
      <c r="K128" s="665"/>
    </row>
    <row r="129" spans="1:11" ht="36.75" customHeight="1">
      <c r="A129" s="579"/>
      <c r="B129" s="717" t="s">
        <v>501</v>
      </c>
      <c r="C129" s="718">
        <f>J58</f>
        <v>0</v>
      </c>
      <c r="D129" s="719" t="s">
        <v>502</v>
      </c>
      <c r="E129" s="717" t="s">
        <v>1249</v>
      </c>
      <c r="F129" s="718">
        <f>J115-J92-J97</f>
        <v>0.18</v>
      </c>
      <c r="G129" s="719" t="s">
        <v>502</v>
      </c>
      <c r="H129" s="717" t="s">
        <v>504</v>
      </c>
      <c r="I129" s="718">
        <f>J124</f>
        <v>0</v>
      </c>
      <c r="J129" s="720">
        <f>C129+F129+I129</f>
        <v>0.18</v>
      </c>
      <c r="K129" s="721"/>
    </row>
    <row r="130" spans="1:11" ht="14.25" customHeight="1">
      <c r="A130" s="579"/>
      <c r="B130" s="1120"/>
      <c r="C130" s="949"/>
      <c r="D130" s="949"/>
      <c r="E130" s="949"/>
      <c r="F130" s="949"/>
      <c r="G130" s="949"/>
      <c r="H130" s="949"/>
      <c r="I130" s="949"/>
      <c r="J130" s="950"/>
      <c r="K130" s="722"/>
    </row>
    <row r="131" spans="1:11" ht="15.75" customHeight="1">
      <c r="A131" s="579"/>
      <c r="B131" s="1121" t="s">
        <v>505</v>
      </c>
      <c r="C131" s="949"/>
      <c r="D131" s="949"/>
      <c r="E131" s="949"/>
      <c r="F131" s="949"/>
      <c r="G131" s="949"/>
      <c r="H131" s="949"/>
      <c r="I131" s="949"/>
      <c r="J131" s="950"/>
      <c r="K131" s="723"/>
    </row>
    <row r="132" spans="1:11" ht="17.25" customHeight="1">
      <c r="A132" s="579"/>
      <c r="B132" s="724" t="s">
        <v>506</v>
      </c>
      <c r="C132" s="1118" t="s">
        <v>507</v>
      </c>
      <c r="D132" s="949"/>
      <c r="E132" s="949"/>
      <c r="F132" s="949"/>
      <c r="G132" s="949"/>
      <c r="H132" s="949"/>
      <c r="I132" s="950"/>
      <c r="J132" s="724" t="s">
        <v>447</v>
      </c>
      <c r="K132" s="726"/>
    </row>
    <row r="133" spans="1:11" ht="45.75" customHeight="1">
      <c r="A133" s="579"/>
      <c r="B133" s="682" t="s">
        <v>369</v>
      </c>
      <c r="C133" s="1092" t="s">
        <v>1250</v>
      </c>
      <c r="D133" s="949"/>
      <c r="E133" s="949"/>
      <c r="F133" s="949"/>
      <c r="G133" s="949"/>
      <c r="H133" s="727">
        <v>9.0749999999999997E-2</v>
      </c>
      <c r="I133" s="873">
        <f>I86</f>
        <v>0.36800000000000005</v>
      </c>
      <c r="J133" s="671">
        <f>ROUND(H133*J58,2)*(1+I133)</f>
        <v>0</v>
      </c>
      <c r="K133" s="663"/>
    </row>
    <row r="134" spans="1:11" ht="17.25" customHeight="1">
      <c r="A134" s="579"/>
      <c r="B134" s="682" t="s">
        <v>371</v>
      </c>
      <c r="C134" s="1051" t="s">
        <v>1251</v>
      </c>
      <c r="D134" s="949"/>
      <c r="E134" s="949"/>
      <c r="F134" s="949"/>
      <c r="G134" s="949"/>
      <c r="H134" s="949"/>
      <c r="I134" s="950"/>
      <c r="J134" s="671">
        <f>ROUND((1/30)/12*(J129),2)</f>
        <v>0</v>
      </c>
      <c r="K134" s="663"/>
    </row>
    <row r="135" spans="1:11" ht="29.25" customHeight="1">
      <c r="A135" s="579"/>
      <c r="B135" s="682" t="s">
        <v>373</v>
      </c>
      <c r="C135" s="1051" t="s">
        <v>1252</v>
      </c>
      <c r="D135" s="949"/>
      <c r="E135" s="949"/>
      <c r="F135" s="949"/>
      <c r="G135" s="949"/>
      <c r="H135" s="949"/>
      <c r="I135" s="950"/>
      <c r="J135" s="671">
        <f>ROUND((5/30)/12*0.015*(J129),2)</f>
        <v>0</v>
      </c>
      <c r="K135" s="663"/>
    </row>
    <row r="136" spans="1:11" ht="28.5" customHeight="1">
      <c r="A136" s="579"/>
      <c r="B136" s="682" t="s">
        <v>375</v>
      </c>
      <c r="C136" s="1051" t="s">
        <v>1253</v>
      </c>
      <c r="D136" s="949"/>
      <c r="E136" s="949"/>
      <c r="F136" s="949"/>
      <c r="G136" s="949"/>
      <c r="H136" s="949"/>
      <c r="I136" s="950"/>
      <c r="J136" s="671">
        <f>ROUND(((15/30)/12)*0.0078*(J129),2)</f>
        <v>0</v>
      </c>
      <c r="K136" s="663"/>
    </row>
    <row r="137" spans="1:11" ht="30.75" customHeight="1">
      <c r="A137" s="579"/>
      <c r="B137" s="730" t="s">
        <v>417</v>
      </c>
      <c r="C137" s="1119" t="s">
        <v>1254</v>
      </c>
      <c r="D137" s="949"/>
      <c r="E137" s="949"/>
      <c r="F137" s="949"/>
      <c r="G137" s="949"/>
      <c r="H137" s="949"/>
      <c r="I137" s="950"/>
      <c r="J137" s="731">
        <f>ROUND(((((C129+C129/3)+(I86)*(C129+C129/3))*(4/12))/12)*0.02,2) + ((J106 -J92-J97+ J124)*4/12)*0.02</f>
        <v>1.1999999999999999E-3</v>
      </c>
      <c r="K137" s="732"/>
    </row>
    <row r="138" spans="1:11" ht="38.25" customHeight="1">
      <c r="A138" s="579"/>
      <c r="B138" s="682" t="s">
        <v>421</v>
      </c>
      <c r="C138" s="1051" t="s">
        <v>1255</v>
      </c>
      <c r="D138" s="949"/>
      <c r="E138" s="949"/>
      <c r="F138" s="949"/>
      <c r="G138" s="949"/>
      <c r="H138" s="949"/>
      <c r="I138" s="950"/>
      <c r="J138" s="671">
        <f>ROUND(((3/30)/12)*(J129),2)</f>
        <v>0</v>
      </c>
      <c r="K138" s="663"/>
    </row>
    <row r="139" spans="1:11" ht="19.5" customHeight="1">
      <c r="A139" s="579"/>
      <c r="B139" s="1108" t="s">
        <v>450</v>
      </c>
      <c r="C139" s="949"/>
      <c r="D139" s="949"/>
      <c r="E139" s="949"/>
      <c r="F139" s="949"/>
      <c r="G139" s="949"/>
      <c r="H139" s="949"/>
      <c r="I139" s="950"/>
      <c r="J139" s="662">
        <f>SUM(J133:J138)</f>
        <v>1.1999999999999999E-3</v>
      </c>
      <c r="K139" s="663"/>
    </row>
    <row r="140" spans="1:11" ht="12.75" customHeight="1">
      <c r="A140" s="579"/>
      <c r="B140" s="1112"/>
      <c r="C140" s="949"/>
      <c r="D140" s="949"/>
      <c r="E140" s="949"/>
      <c r="F140" s="949"/>
      <c r="G140" s="949"/>
      <c r="H140" s="949"/>
      <c r="I140" s="949"/>
      <c r="J140" s="950"/>
      <c r="K140" s="715"/>
    </row>
    <row r="141" spans="1:11" ht="19.5" customHeight="1">
      <c r="A141" s="579"/>
      <c r="B141" s="1114" t="s">
        <v>514</v>
      </c>
      <c r="C141" s="949"/>
      <c r="D141" s="949"/>
      <c r="E141" s="949"/>
      <c r="F141" s="949"/>
      <c r="G141" s="949"/>
      <c r="H141" s="949"/>
      <c r="I141" s="949"/>
      <c r="J141" s="950"/>
      <c r="K141" s="654"/>
    </row>
    <row r="142" spans="1:11" ht="19.5" customHeight="1">
      <c r="A142" s="579"/>
      <c r="B142" s="733" t="s">
        <v>515</v>
      </c>
      <c r="C142" s="1122" t="s">
        <v>516</v>
      </c>
      <c r="D142" s="949"/>
      <c r="E142" s="949"/>
      <c r="F142" s="949"/>
      <c r="G142" s="949"/>
      <c r="H142" s="949"/>
      <c r="I142" s="950"/>
      <c r="J142" s="734" t="s">
        <v>447</v>
      </c>
      <c r="K142" s="735"/>
    </row>
    <row r="143" spans="1:11" ht="19.5" customHeight="1">
      <c r="A143" s="579"/>
      <c r="B143" s="736" t="s">
        <v>369</v>
      </c>
      <c r="C143" s="1125" t="s">
        <v>517</v>
      </c>
      <c r="D143" s="949"/>
      <c r="E143" s="949"/>
      <c r="F143" s="949"/>
      <c r="G143" s="949"/>
      <c r="H143" s="949"/>
      <c r="I143" s="950"/>
      <c r="J143" s="737">
        <v>0</v>
      </c>
      <c r="K143" s="738"/>
    </row>
    <row r="144" spans="1:11" ht="19.5" customHeight="1">
      <c r="A144" s="579"/>
      <c r="B144" s="1102" t="s">
        <v>450</v>
      </c>
      <c r="C144" s="949"/>
      <c r="D144" s="949"/>
      <c r="E144" s="949"/>
      <c r="F144" s="949"/>
      <c r="G144" s="949"/>
      <c r="H144" s="949"/>
      <c r="I144" s="950"/>
      <c r="J144" s="739">
        <v>0</v>
      </c>
      <c r="K144" s="738"/>
    </row>
    <row r="145" spans="1:11" ht="12" customHeight="1">
      <c r="A145" s="579"/>
      <c r="B145" s="1126"/>
      <c r="C145" s="949"/>
      <c r="D145" s="949"/>
      <c r="E145" s="949"/>
      <c r="F145" s="949"/>
      <c r="G145" s="949"/>
      <c r="H145" s="949"/>
      <c r="I145" s="949"/>
      <c r="J145" s="950"/>
      <c r="K145" s="740"/>
    </row>
    <row r="146" spans="1:11" ht="19.5" customHeight="1">
      <c r="A146" s="579"/>
      <c r="B146" s="1098" t="s">
        <v>518</v>
      </c>
      <c r="C146" s="949"/>
      <c r="D146" s="949"/>
      <c r="E146" s="949"/>
      <c r="F146" s="949"/>
      <c r="G146" s="949"/>
      <c r="H146" s="949"/>
      <c r="I146" s="949"/>
      <c r="J146" s="950"/>
      <c r="K146" s="653"/>
    </row>
    <row r="147" spans="1:11" ht="19.5" customHeight="1">
      <c r="A147" s="579"/>
      <c r="B147" s="668">
        <v>4</v>
      </c>
      <c r="C147" s="1122" t="s">
        <v>519</v>
      </c>
      <c r="D147" s="949"/>
      <c r="E147" s="949"/>
      <c r="F147" s="949"/>
      <c r="G147" s="949"/>
      <c r="H147" s="949"/>
      <c r="I147" s="950"/>
      <c r="J147" s="734" t="s">
        <v>447</v>
      </c>
      <c r="K147" s="735"/>
    </row>
    <row r="148" spans="1:11" ht="15.75" customHeight="1">
      <c r="A148" s="579"/>
      <c r="B148" s="600" t="s">
        <v>506</v>
      </c>
      <c r="C148" s="1125" t="s">
        <v>507</v>
      </c>
      <c r="D148" s="949"/>
      <c r="E148" s="949"/>
      <c r="F148" s="949"/>
      <c r="G148" s="949"/>
      <c r="H148" s="949"/>
      <c r="I148" s="950"/>
      <c r="J148" s="737">
        <f>J139</f>
        <v>1.1999999999999999E-3</v>
      </c>
      <c r="K148" s="738"/>
    </row>
    <row r="149" spans="1:11" ht="16.5" customHeight="1">
      <c r="A149" s="579"/>
      <c r="B149" s="600" t="s">
        <v>520</v>
      </c>
      <c r="C149" s="1125" t="s">
        <v>516</v>
      </c>
      <c r="D149" s="949"/>
      <c r="E149" s="949"/>
      <c r="F149" s="949"/>
      <c r="G149" s="949"/>
      <c r="H149" s="949"/>
      <c r="I149" s="950"/>
      <c r="J149" s="737">
        <f>J144</f>
        <v>0</v>
      </c>
      <c r="K149" s="738"/>
    </row>
    <row r="150" spans="1:11" ht="24" customHeight="1">
      <c r="A150" s="579"/>
      <c r="B150" s="1115" t="s">
        <v>450</v>
      </c>
      <c r="C150" s="949"/>
      <c r="D150" s="949"/>
      <c r="E150" s="949"/>
      <c r="F150" s="949"/>
      <c r="G150" s="949"/>
      <c r="H150" s="949"/>
      <c r="I150" s="950"/>
      <c r="J150" s="739">
        <f>SUM(J148+J149)</f>
        <v>1.1999999999999999E-3</v>
      </c>
      <c r="K150" s="738"/>
    </row>
    <row r="151" spans="1:11" ht="11.25" customHeight="1">
      <c r="A151" s="579"/>
      <c r="B151" s="1126"/>
      <c r="C151" s="949"/>
      <c r="D151" s="949"/>
      <c r="E151" s="949"/>
      <c r="F151" s="949"/>
      <c r="G151" s="949"/>
      <c r="H151" s="949"/>
      <c r="I151" s="949"/>
      <c r="J151" s="950"/>
      <c r="K151" s="740"/>
    </row>
    <row r="152" spans="1:11" ht="15.75" customHeight="1">
      <c r="A152" s="579"/>
      <c r="B152" s="1113" t="s">
        <v>521</v>
      </c>
      <c r="C152" s="949"/>
      <c r="D152" s="949"/>
      <c r="E152" s="949"/>
      <c r="F152" s="949"/>
      <c r="G152" s="949"/>
      <c r="H152" s="949"/>
      <c r="I152" s="949"/>
      <c r="J152" s="950"/>
      <c r="K152" s="716"/>
    </row>
    <row r="153" spans="1:11" ht="15.75" customHeight="1">
      <c r="A153" s="579"/>
      <c r="B153" s="680">
        <v>3</v>
      </c>
      <c r="C153" s="1089" t="s">
        <v>522</v>
      </c>
      <c r="D153" s="949"/>
      <c r="E153" s="949"/>
      <c r="F153" s="949"/>
      <c r="G153" s="949"/>
      <c r="H153" s="949"/>
      <c r="I153" s="950"/>
      <c r="J153" s="680" t="s">
        <v>447</v>
      </c>
      <c r="K153" s="712"/>
    </row>
    <row r="154" spans="1:11" ht="20.25" customHeight="1">
      <c r="A154" s="579"/>
      <c r="B154" s="682" t="s">
        <v>369</v>
      </c>
      <c r="C154" s="1051" t="s">
        <v>658</v>
      </c>
      <c r="D154" s="949"/>
      <c r="E154" s="949"/>
      <c r="F154" s="949"/>
      <c r="G154" s="949"/>
      <c r="H154" s="949"/>
      <c r="I154" s="950"/>
      <c r="J154" s="671">
        <v>0</v>
      </c>
      <c r="K154" s="663"/>
    </row>
    <row r="155" spans="1:11" ht="15.75" customHeight="1">
      <c r="A155" s="579"/>
      <c r="B155" s="682" t="s">
        <v>371</v>
      </c>
      <c r="C155" s="1051" t="s">
        <v>659</v>
      </c>
      <c r="D155" s="949"/>
      <c r="E155" s="949"/>
      <c r="F155" s="949"/>
      <c r="G155" s="949"/>
      <c r="H155" s="949"/>
      <c r="I155" s="950"/>
      <c r="J155" s="742">
        <v>0</v>
      </c>
      <c r="K155" s="704"/>
    </row>
    <row r="156" spans="1:11" ht="15.75" customHeight="1">
      <c r="A156" s="579"/>
      <c r="B156" s="682" t="s">
        <v>373</v>
      </c>
      <c r="C156" s="1051" t="s">
        <v>524</v>
      </c>
      <c r="D156" s="949"/>
      <c r="E156" s="949"/>
      <c r="F156" s="949"/>
      <c r="G156" s="949"/>
      <c r="H156" s="949"/>
      <c r="I156" s="950"/>
      <c r="J156" s="742" t="s">
        <v>525</v>
      </c>
      <c r="K156" s="704"/>
    </row>
    <row r="157" spans="1:11" ht="19.5" customHeight="1">
      <c r="A157" s="579"/>
      <c r="B157" s="1108" t="s">
        <v>526</v>
      </c>
      <c r="C157" s="949"/>
      <c r="D157" s="949"/>
      <c r="E157" s="949"/>
      <c r="F157" s="949"/>
      <c r="G157" s="949"/>
      <c r="H157" s="949"/>
      <c r="I157" s="950"/>
      <c r="J157" s="743">
        <f>ROUND(SUM(J154:J156),2)</f>
        <v>0</v>
      </c>
      <c r="K157" s="704"/>
    </row>
    <row r="158" spans="1:11" ht="9" customHeight="1">
      <c r="A158" s="579"/>
      <c r="B158" s="1153"/>
      <c r="C158" s="949"/>
      <c r="D158" s="949"/>
      <c r="E158" s="949"/>
      <c r="F158" s="949"/>
      <c r="G158" s="949"/>
      <c r="H158" s="949"/>
      <c r="I158" s="949"/>
      <c r="J158" s="950"/>
      <c r="K158" s="744"/>
    </row>
    <row r="159" spans="1:11" ht="27.75" customHeight="1">
      <c r="A159" s="579"/>
      <c r="B159" s="1154" t="s">
        <v>527</v>
      </c>
      <c r="C159" s="949"/>
      <c r="D159" s="949"/>
      <c r="E159" s="949"/>
      <c r="F159" s="949"/>
      <c r="G159" s="949"/>
      <c r="H159" s="949"/>
      <c r="I159" s="949"/>
      <c r="J159" s="950"/>
      <c r="K159" s="745"/>
    </row>
    <row r="160" spans="1:11" ht="11.25" customHeight="1">
      <c r="A160" s="579"/>
      <c r="B160" s="746"/>
      <c r="C160" s="747"/>
      <c r="D160" s="747"/>
      <c r="E160" s="747"/>
      <c r="F160" s="747"/>
      <c r="G160" s="747"/>
      <c r="H160" s="747"/>
      <c r="I160" s="747"/>
      <c r="J160" s="748"/>
      <c r="K160" s="314"/>
    </row>
    <row r="161" spans="1:11" ht="24" customHeight="1">
      <c r="A161" s="579"/>
      <c r="B161" s="1117" t="s">
        <v>528</v>
      </c>
      <c r="C161" s="949"/>
      <c r="D161" s="949"/>
      <c r="E161" s="949"/>
      <c r="F161" s="949"/>
      <c r="G161" s="949"/>
      <c r="H161" s="949"/>
      <c r="I161" s="949"/>
      <c r="J161" s="950"/>
      <c r="K161" s="711"/>
    </row>
    <row r="162" spans="1:11" ht="24" customHeight="1">
      <c r="A162" s="579"/>
      <c r="B162" s="680">
        <v>6</v>
      </c>
      <c r="C162" s="1118" t="s">
        <v>529</v>
      </c>
      <c r="D162" s="949"/>
      <c r="E162" s="949"/>
      <c r="F162" s="949"/>
      <c r="G162" s="949"/>
      <c r="H162" s="950"/>
      <c r="I162" s="749" t="s">
        <v>411</v>
      </c>
      <c r="J162" s="750" t="s">
        <v>455</v>
      </c>
      <c r="K162" s="751"/>
    </row>
    <row r="163" spans="1:11" ht="56.25" customHeight="1">
      <c r="A163" s="579"/>
      <c r="B163" s="1062" t="s">
        <v>530</v>
      </c>
      <c r="C163" s="949"/>
      <c r="D163" s="949"/>
      <c r="E163" s="949"/>
      <c r="F163" s="949"/>
      <c r="G163" s="949"/>
      <c r="H163" s="950"/>
      <c r="I163" s="341" t="s">
        <v>382</v>
      </c>
      <c r="J163" s="752">
        <f>SUM(J63+J115+J124+J150+J157)</f>
        <v>0.1812</v>
      </c>
      <c r="K163" s="753"/>
    </row>
    <row r="164" spans="1:11" ht="23.25" customHeight="1">
      <c r="A164" s="579"/>
      <c r="B164" s="682" t="s">
        <v>369</v>
      </c>
      <c r="C164" s="1155" t="s">
        <v>531</v>
      </c>
      <c r="D164" s="949"/>
      <c r="E164" s="949"/>
      <c r="F164" s="949"/>
      <c r="G164" s="949"/>
      <c r="H164" s="950"/>
      <c r="I164" s="670">
        <f>'1-ABA-DE-CARREGAMENTO'!N85</f>
        <v>0.06</v>
      </c>
      <c r="J164" s="671">
        <f>ROUND(I164*J163,2)</f>
        <v>0.01</v>
      </c>
      <c r="K164" s="663"/>
    </row>
    <row r="165" spans="1:11" ht="50.25" customHeight="1">
      <c r="A165" s="579"/>
      <c r="B165" s="1062" t="s">
        <v>532</v>
      </c>
      <c r="C165" s="949"/>
      <c r="D165" s="949"/>
      <c r="E165" s="949"/>
      <c r="F165" s="949"/>
      <c r="G165" s="949"/>
      <c r="H165" s="950"/>
      <c r="I165" s="754" t="s">
        <v>382</v>
      </c>
      <c r="J165" s="752">
        <f>SUM(J63+J115+J124+J150+J157+J164)</f>
        <v>0.19120000000000001</v>
      </c>
      <c r="K165" s="753"/>
    </row>
    <row r="166" spans="1:11" ht="19.5" customHeight="1">
      <c r="A166" s="579"/>
      <c r="B166" s="682" t="s">
        <v>371</v>
      </c>
      <c r="C166" s="1155" t="s">
        <v>312</v>
      </c>
      <c r="D166" s="949"/>
      <c r="E166" s="949"/>
      <c r="F166" s="949"/>
      <c r="G166" s="949"/>
      <c r="H166" s="950"/>
      <c r="I166" s="670">
        <f>'1-ABA-DE-CARREGAMENTO'!N86</f>
        <v>0.06</v>
      </c>
      <c r="J166" s="671">
        <f>ROUND(I166*J165,2)</f>
        <v>0.01</v>
      </c>
      <c r="K166" s="663"/>
    </row>
    <row r="167" spans="1:11" ht="51.75" customHeight="1">
      <c r="A167" s="579"/>
      <c r="B167" s="1062" t="s">
        <v>533</v>
      </c>
      <c r="C167" s="949"/>
      <c r="D167" s="949"/>
      <c r="E167" s="949"/>
      <c r="F167" s="949"/>
      <c r="G167" s="949"/>
      <c r="H167" s="950"/>
      <c r="I167" s="754" t="s">
        <v>382</v>
      </c>
      <c r="J167" s="752">
        <f>SUM(J163+J164+J166)</f>
        <v>0.20120000000000002</v>
      </c>
      <c r="K167" s="753"/>
    </row>
    <row r="168" spans="1:11" ht="18.75" customHeight="1">
      <c r="A168" s="579"/>
      <c r="B168" s="755" t="s">
        <v>373</v>
      </c>
      <c r="C168" s="1117" t="s">
        <v>534</v>
      </c>
      <c r="D168" s="949"/>
      <c r="E168" s="949"/>
      <c r="F168" s="949"/>
      <c r="G168" s="949"/>
      <c r="H168" s="950"/>
      <c r="I168" s="756" t="s">
        <v>382</v>
      </c>
      <c r="J168" s="643" t="s">
        <v>382</v>
      </c>
      <c r="K168" s="644"/>
    </row>
    <row r="169" spans="1:11" ht="18" customHeight="1">
      <c r="A169" s="579"/>
      <c r="B169" s="682"/>
      <c r="C169" s="1111" t="s">
        <v>535</v>
      </c>
      <c r="D169" s="949"/>
      <c r="E169" s="949"/>
      <c r="F169" s="949"/>
      <c r="G169" s="949"/>
      <c r="H169" s="950"/>
      <c r="I169" s="756" t="s">
        <v>382</v>
      </c>
      <c r="J169" s="643" t="s">
        <v>382</v>
      </c>
      <c r="K169" s="644"/>
    </row>
    <row r="170" spans="1:11" ht="21" customHeight="1">
      <c r="A170" s="579"/>
      <c r="B170" s="682"/>
      <c r="C170" s="1156" t="s">
        <v>1256</v>
      </c>
      <c r="D170" s="949"/>
      <c r="E170" s="949"/>
      <c r="F170" s="949"/>
      <c r="G170" s="949"/>
      <c r="H170" s="950"/>
      <c r="I170" s="629">
        <f>'1-ABA-DE-CARREGAMENTO'!E28</f>
        <v>1.6500000000000001E-2</v>
      </c>
      <c r="J170" s="757">
        <f t="shared" ref="J170:J171" si="1">ROUND(($J$167/(1-$I$179))*I170,2)</f>
        <v>0</v>
      </c>
      <c r="K170" s="758"/>
    </row>
    <row r="171" spans="1:11" ht="21" customHeight="1">
      <c r="A171" s="579"/>
      <c r="B171" s="682"/>
      <c r="C171" s="1156" t="s">
        <v>1257</v>
      </c>
      <c r="D171" s="949"/>
      <c r="E171" s="949"/>
      <c r="F171" s="949"/>
      <c r="G171" s="949"/>
      <c r="H171" s="950"/>
      <c r="I171" s="629">
        <f>'1-ABA-DE-CARREGAMENTO'!F28</f>
        <v>7.5999999999999998E-2</v>
      </c>
      <c r="J171" s="757">
        <f t="shared" si="1"/>
        <v>0.02</v>
      </c>
      <c r="K171" s="758"/>
    </row>
    <row r="172" spans="1:11" ht="24" customHeight="1">
      <c r="A172" s="579"/>
      <c r="B172" s="682"/>
      <c r="C172" s="1051" t="s">
        <v>1258</v>
      </c>
      <c r="D172" s="949"/>
      <c r="E172" s="949"/>
      <c r="F172" s="949"/>
      <c r="G172" s="949"/>
      <c r="H172" s="950"/>
      <c r="I172" s="759" t="s">
        <v>382</v>
      </c>
      <c r="J172" s="643" t="s">
        <v>382</v>
      </c>
      <c r="K172" s="644"/>
    </row>
    <row r="173" spans="1:11" ht="24" customHeight="1">
      <c r="A173" s="579"/>
      <c r="B173" s="682"/>
      <c r="C173" s="1051" t="s">
        <v>1259</v>
      </c>
      <c r="D173" s="949"/>
      <c r="E173" s="949"/>
      <c r="F173" s="949"/>
      <c r="G173" s="949"/>
      <c r="H173" s="950"/>
      <c r="I173" s="759" t="s">
        <v>382</v>
      </c>
      <c r="J173" s="643" t="s">
        <v>382</v>
      </c>
      <c r="K173" s="644"/>
    </row>
    <row r="174" spans="1:11" ht="15.75" customHeight="1">
      <c r="A174" s="579"/>
      <c r="B174" s="682"/>
      <c r="C174" s="1051" t="s">
        <v>540</v>
      </c>
      <c r="D174" s="949"/>
      <c r="E174" s="949"/>
      <c r="F174" s="949"/>
      <c r="G174" s="949"/>
      <c r="H174" s="949"/>
      <c r="I174" s="760" t="s">
        <v>382</v>
      </c>
      <c r="J174" s="761" t="s">
        <v>382</v>
      </c>
      <c r="K174" s="762"/>
    </row>
    <row r="175" spans="1:11" ht="15.75" customHeight="1">
      <c r="A175" s="579"/>
      <c r="B175" s="682"/>
      <c r="C175" s="1051" t="s">
        <v>541</v>
      </c>
      <c r="D175" s="949"/>
      <c r="E175" s="949"/>
      <c r="F175" s="949"/>
      <c r="G175" s="949"/>
      <c r="H175" s="949"/>
      <c r="I175" s="760" t="s">
        <v>382</v>
      </c>
      <c r="J175" s="761" t="s">
        <v>382</v>
      </c>
      <c r="K175" s="762"/>
    </row>
    <row r="176" spans="1:11" ht="15.75" customHeight="1">
      <c r="A176" s="579"/>
      <c r="B176" s="682"/>
      <c r="C176" s="1051" t="s">
        <v>1260</v>
      </c>
      <c r="D176" s="949"/>
      <c r="E176" s="949"/>
      <c r="F176" s="949"/>
      <c r="G176" s="949"/>
      <c r="H176" s="950"/>
      <c r="I176" s="763">
        <f>'1-ABA-DE-CARREGAMENTO'!D87</f>
        <v>0.03</v>
      </c>
      <c r="J176" s="757">
        <f>ROUND(($J$167/(1-$I$179))*I176,2)</f>
        <v>0.01</v>
      </c>
      <c r="K176" s="758"/>
    </row>
    <row r="177" spans="1:11" ht="15.75" customHeight="1">
      <c r="A177" s="579"/>
      <c r="B177" s="1108" t="s">
        <v>497</v>
      </c>
      <c r="C177" s="949"/>
      <c r="D177" s="949"/>
      <c r="E177" s="949"/>
      <c r="F177" s="949"/>
      <c r="G177" s="949"/>
      <c r="H177" s="949"/>
      <c r="I177" s="950"/>
      <c r="J177" s="662">
        <f>SUM(J164+J166+J170+J171+J176)</f>
        <v>0.05</v>
      </c>
      <c r="K177" s="663"/>
    </row>
    <row r="178" spans="1:11" ht="9" customHeight="1">
      <c r="A178" s="579"/>
      <c r="B178" s="1112"/>
      <c r="C178" s="949"/>
      <c r="D178" s="949"/>
      <c r="E178" s="949"/>
      <c r="F178" s="949"/>
      <c r="G178" s="949"/>
      <c r="H178" s="949"/>
      <c r="I178" s="949"/>
      <c r="J178" s="950"/>
      <c r="K178" s="715"/>
    </row>
    <row r="179" spans="1:11" ht="15.75" customHeight="1">
      <c r="A179" s="579"/>
      <c r="B179" s="1157" t="s">
        <v>543</v>
      </c>
      <c r="C179" s="949"/>
      <c r="D179" s="949"/>
      <c r="E179" s="949"/>
      <c r="F179" s="949"/>
      <c r="G179" s="949"/>
      <c r="H179" s="950"/>
      <c r="I179" s="764">
        <f t="shared" ref="I179:J179" si="2">SUM(I170:I176)</f>
        <v>0.1225</v>
      </c>
      <c r="J179" s="752">
        <f t="shared" si="2"/>
        <v>0.03</v>
      </c>
      <c r="K179" s="753"/>
    </row>
    <row r="180" spans="1:11" ht="15.75" customHeight="1">
      <c r="A180" s="579"/>
      <c r="B180" s="1158" t="s">
        <v>544</v>
      </c>
      <c r="C180" s="947"/>
      <c r="D180" s="1159" t="s">
        <v>545</v>
      </c>
      <c r="E180" s="947"/>
      <c r="F180" s="947"/>
      <c r="G180" s="947"/>
      <c r="H180" s="947"/>
      <c r="I180" s="947"/>
      <c r="J180" s="1020"/>
      <c r="K180" s="765"/>
    </row>
    <row r="181" spans="1:11" ht="15.75" customHeight="1">
      <c r="A181" s="579"/>
      <c r="B181" s="1151"/>
      <c r="C181" s="947"/>
      <c r="D181" s="1160" t="s">
        <v>546</v>
      </c>
      <c r="E181" s="947"/>
      <c r="F181" s="947"/>
      <c r="G181" s="947"/>
      <c r="H181" s="947"/>
      <c r="I181" s="947"/>
      <c r="J181" s="1020"/>
      <c r="K181" s="766"/>
    </row>
    <row r="182" spans="1:11" ht="15.75" customHeight="1">
      <c r="A182" s="579"/>
      <c r="B182" s="1134"/>
      <c r="C182" s="1037"/>
      <c r="D182" s="1161" t="s">
        <v>547</v>
      </c>
      <c r="E182" s="1037"/>
      <c r="F182" s="1037"/>
      <c r="G182" s="1037"/>
      <c r="H182" s="1037"/>
      <c r="I182" s="1037"/>
      <c r="J182" s="1038"/>
      <c r="K182" s="765"/>
    </row>
    <row r="183" spans="1:11" ht="9" customHeight="1">
      <c r="A183" s="579"/>
      <c r="B183" s="1162"/>
      <c r="C183" s="949"/>
      <c r="D183" s="949"/>
      <c r="E183" s="949"/>
      <c r="F183" s="949"/>
      <c r="G183" s="949"/>
      <c r="H183" s="949"/>
      <c r="I183" s="949"/>
      <c r="J183" s="950"/>
      <c r="K183" s="767"/>
    </row>
    <row r="184" spans="1:11" ht="30" customHeight="1">
      <c r="A184" s="579"/>
      <c r="B184" s="1046" t="s">
        <v>548</v>
      </c>
      <c r="C184" s="949"/>
      <c r="D184" s="949"/>
      <c r="E184" s="949"/>
      <c r="F184" s="949"/>
      <c r="G184" s="949"/>
      <c r="H184" s="949"/>
      <c r="I184" s="949"/>
      <c r="J184" s="950"/>
      <c r="K184" s="596"/>
    </row>
    <row r="185" spans="1:11" ht="9.75" customHeight="1">
      <c r="A185" s="579"/>
      <c r="B185" s="1112"/>
      <c r="C185" s="949"/>
      <c r="D185" s="949"/>
      <c r="E185" s="949"/>
      <c r="F185" s="949"/>
      <c r="G185" s="949"/>
      <c r="H185" s="949"/>
      <c r="I185" s="949"/>
      <c r="J185" s="950"/>
      <c r="K185" s="715"/>
    </row>
    <row r="186" spans="1:11" ht="15.75" customHeight="1">
      <c r="A186" s="579"/>
      <c r="B186" s="1113" t="s">
        <v>1261</v>
      </c>
      <c r="C186" s="949"/>
      <c r="D186" s="949"/>
      <c r="E186" s="949"/>
      <c r="F186" s="949"/>
      <c r="G186" s="949"/>
      <c r="H186" s="949"/>
      <c r="I186" s="949"/>
      <c r="J186" s="950"/>
      <c r="K186" s="716"/>
    </row>
    <row r="187" spans="1:11" ht="15.75" customHeight="1">
      <c r="A187" s="579"/>
      <c r="B187" s="1050" t="s">
        <v>550</v>
      </c>
      <c r="C187" s="949"/>
      <c r="D187" s="949"/>
      <c r="E187" s="949"/>
      <c r="F187" s="949"/>
      <c r="G187" s="949"/>
      <c r="H187" s="949"/>
      <c r="I187" s="950"/>
      <c r="J187" s="749" t="s">
        <v>447</v>
      </c>
      <c r="K187" s="593"/>
    </row>
    <row r="188" spans="1:11" ht="15.75" customHeight="1">
      <c r="A188" s="579"/>
      <c r="B188" s="768" t="s">
        <v>369</v>
      </c>
      <c r="C188" s="1123" t="s">
        <v>551</v>
      </c>
      <c r="D188" s="949"/>
      <c r="E188" s="949"/>
      <c r="F188" s="949"/>
      <c r="G188" s="949"/>
      <c r="H188" s="949"/>
      <c r="I188" s="949"/>
      <c r="J188" s="742">
        <f>J63</f>
        <v>0</v>
      </c>
      <c r="K188" s="704"/>
    </row>
    <row r="189" spans="1:11" ht="15.75" customHeight="1">
      <c r="A189" s="579"/>
      <c r="B189" s="768" t="s">
        <v>371</v>
      </c>
      <c r="C189" s="1123" t="s">
        <v>552</v>
      </c>
      <c r="D189" s="949"/>
      <c r="E189" s="949"/>
      <c r="F189" s="949"/>
      <c r="G189" s="949"/>
      <c r="H189" s="949"/>
      <c r="I189" s="949"/>
      <c r="J189" s="742">
        <f>J115</f>
        <v>0.18</v>
      </c>
      <c r="K189" s="704"/>
    </row>
    <row r="190" spans="1:11" ht="15.75" customHeight="1">
      <c r="A190" s="579"/>
      <c r="B190" s="768" t="s">
        <v>373</v>
      </c>
      <c r="C190" s="1123" t="s">
        <v>553</v>
      </c>
      <c r="D190" s="949"/>
      <c r="E190" s="949"/>
      <c r="F190" s="949"/>
      <c r="G190" s="949"/>
      <c r="H190" s="949"/>
      <c r="I190" s="949"/>
      <c r="J190" s="742">
        <f>J124</f>
        <v>0</v>
      </c>
      <c r="K190" s="704"/>
    </row>
    <row r="191" spans="1:11" ht="15.75" customHeight="1">
      <c r="A191" s="579"/>
      <c r="B191" s="768" t="s">
        <v>375</v>
      </c>
      <c r="C191" s="1123" t="s">
        <v>554</v>
      </c>
      <c r="D191" s="949"/>
      <c r="E191" s="949"/>
      <c r="F191" s="949"/>
      <c r="G191" s="949"/>
      <c r="H191" s="949"/>
      <c r="I191" s="949"/>
      <c r="J191" s="742">
        <f>J150</f>
        <v>1.1999999999999999E-3</v>
      </c>
      <c r="K191" s="704"/>
    </row>
    <row r="192" spans="1:11" ht="15.75" customHeight="1">
      <c r="A192" s="579"/>
      <c r="B192" s="768" t="s">
        <v>417</v>
      </c>
      <c r="C192" s="1123" t="s">
        <v>555</v>
      </c>
      <c r="D192" s="949"/>
      <c r="E192" s="949"/>
      <c r="F192" s="949"/>
      <c r="G192" s="949"/>
      <c r="H192" s="949"/>
      <c r="I192" s="949"/>
      <c r="J192" s="742">
        <f>J157</f>
        <v>0</v>
      </c>
      <c r="K192" s="704"/>
    </row>
    <row r="193" spans="1:11" ht="15.75" customHeight="1">
      <c r="A193" s="579"/>
      <c r="B193" s="1124" t="s">
        <v>556</v>
      </c>
      <c r="C193" s="949"/>
      <c r="D193" s="949"/>
      <c r="E193" s="949"/>
      <c r="F193" s="949"/>
      <c r="G193" s="949"/>
      <c r="H193" s="949"/>
      <c r="I193" s="949"/>
      <c r="J193" s="743">
        <f>ROUND(SUM(J188:J192),2)</f>
        <v>0.18</v>
      </c>
      <c r="K193" s="704"/>
    </row>
    <row r="194" spans="1:11" ht="15.75" customHeight="1">
      <c r="A194" s="579"/>
      <c r="B194" s="769" t="s">
        <v>421</v>
      </c>
      <c r="C194" s="1123" t="s">
        <v>528</v>
      </c>
      <c r="D194" s="949"/>
      <c r="E194" s="949"/>
      <c r="F194" s="949"/>
      <c r="G194" s="949"/>
      <c r="H194" s="949"/>
      <c r="I194" s="949"/>
      <c r="J194" s="742">
        <f>J177</f>
        <v>0.05</v>
      </c>
      <c r="K194" s="704"/>
    </row>
    <row r="195" spans="1:11" ht="15.75" customHeight="1">
      <c r="A195" s="579"/>
      <c r="B195" s="1124" t="s">
        <v>666</v>
      </c>
      <c r="C195" s="949"/>
      <c r="D195" s="949"/>
      <c r="E195" s="949"/>
      <c r="F195" s="949"/>
      <c r="G195" s="949"/>
      <c r="H195" s="949"/>
      <c r="I195" s="949"/>
      <c r="J195" s="743">
        <f>J193+J194</f>
        <v>0.22999999999999998</v>
      </c>
      <c r="K195" s="704"/>
    </row>
    <row r="196" spans="1:11" ht="43.5" customHeight="1">
      <c r="A196" s="579"/>
      <c r="B196" s="1169" t="s">
        <v>558</v>
      </c>
      <c r="C196" s="949"/>
      <c r="D196" s="949"/>
      <c r="E196" s="949"/>
      <c r="F196" s="949"/>
      <c r="G196" s="949"/>
      <c r="H196" s="949"/>
      <c r="I196" s="949"/>
      <c r="J196" s="950"/>
      <c r="K196" s="874"/>
    </row>
    <row r="197" spans="1:11" ht="15.75" customHeight="1">
      <c r="A197" s="579"/>
      <c r="B197" s="1170"/>
      <c r="C197" s="949"/>
      <c r="D197" s="949"/>
      <c r="E197" s="949"/>
      <c r="F197" s="949"/>
      <c r="G197" s="949"/>
      <c r="H197" s="949"/>
      <c r="I197" s="949"/>
      <c r="J197" s="950"/>
      <c r="K197" s="771"/>
    </row>
    <row r="198" spans="1:11" ht="15.75" customHeight="1">
      <c r="A198" s="579"/>
      <c r="B198" s="772"/>
      <c r="C198" s="587"/>
      <c r="D198" s="587"/>
      <c r="E198" s="587"/>
      <c r="F198" s="587"/>
      <c r="G198" s="587"/>
      <c r="H198" s="587"/>
      <c r="I198" s="773"/>
      <c r="J198" s="774"/>
      <c r="K198" s="773"/>
    </row>
    <row r="199" spans="1:11" ht="15.75" customHeight="1">
      <c r="A199" s="579"/>
      <c r="B199" s="1129" t="s">
        <v>1033</v>
      </c>
      <c r="C199" s="947"/>
      <c r="D199" s="947"/>
      <c r="E199" s="947"/>
      <c r="F199" s="947"/>
      <c r="G199" s="947"/>
      <c r="H199" s="947"/>
      <c r="I199" s="947"/>
      <c r="J199" s="1020"/>
      <c r="K199" s="588"/>
    </row>
    <row r="200" spans="1:11" ht="40.5" customHeight="1">
      <c r="A200" s="579"/>
      <c r="B200" s="1075" t="s">
        <v>560</v>
      </c>
      <c r="C200" s="949"/>
      <c r="D200" s="949"/>
      <c r="E200" s="950"/>
      <c r="F200" s="1075" t="s">
        <v>667</v>
      </c>
      <c r="G200" s="950"/>
      <c r="H200" s="749" t="s">
        <v>563</v>
      </c>
      <c r="I200" s="1075" t="s">
        <v>564</v>
      </c>
      <c r="J200" s="950"/>
      <c r="K200" s="593"/>
    </row>
    <row r="201" spans="1:11" ht="32.25" hidden="1" customHeight="1" outlineLevel="1">
      <c r="A201" s="579"/>
      <c r="B201" s="1051" t="s">
        <v>565</v>
      </c>
      <c r="C201" s="949"/>
      <c r="D201" s="949"/>
      <c r="E201" s="950"/>
      <c r="F201" s="1140">
        <v>0</v>
      </c>
      <c r="G201" s="950"/>
      <c r="H201" s="875">
        <f t="shared" ref="H201:H202" si="3">E201*F201</f>
        <v>0</v>
      </c>
      <c r="I201" s="1140">
        <f t="shared" ref="I201:I203" si="4">F201*H201</f>
        <v>0</v>
      </c>
      <c r="J201" s="950"/>
      <c r="K201" s="779"/>
    </row>
    <row r="202" spans="1:11" ht="32.25" hidden="1" customHeight="1" outlineLevel="1">
      <c r="A202" s="579"/>
      <c r="B202" s="1051" t="s">
        <v>566</v>
      </c>
      <c r="C202" s="949"/>
      <c r="D202" s="949"/>
      <c r="E202" s="950"/>
      <c r="F202" s="1140">
        <v>0</v>
      </c>
      <c r="G202" s="950"/>
      <c r="H202" s="875">
        <f t="shared" si="3"/>
        <v>0</v>
      </c>
      <c r="I202" s="1140">
        <f t="shared" si="4"/>
        <v>0</v>
      </c>
      <c r="J202" s="950"/>
      <c r="K202" s="779"/>
    </row>
    <row r="203" spans="1:11" ht="32.25" customHeight="1" collapsed="1">
      <c r="A203" s="579"/>
      <c r="B203" s="1141" t="str">
        <f>B3</f>
        <v>A NÃO TEM MAIS POSTOS-99</v>
      </c>
      <c r="C203" s="949"/>
      <c r="D203" s="949"/>
      <c r="E203" s="950"/>
      <c r="F203" s="1131">
        <f>J195</f>
        <v>0.22999999999999998</v>
      </c>
      <c r="G203" s="950"/>
      <c r="H203" s="875">
        <f>I17</f>
        <v>0</v>
      </c>
      <c r="I203" s="1140">
        <f t="shared" si="4"/>
        <v>0</v>
      </c>
      <c r="J203" s="950"/>
      <c r="K203" s="779"/>
    </row>
    <row r="204" spans="1:11" ht="32.25" hidden="1" customHeight="1" outlineLevel="1">
      <c r="A204" s="579"/>
      <c r="B204" s="1051" t="s">
        <v>567</v>
      </c>
      <c r="C204" s="949"/>
      <c r="D204" s="949"/>
      <c r="E204" s="950"/>
      <c r="F204" s="1131">
        <v>0</v>
      </c>
      <c r="G204" s="950"/>
      <c r="H204" s="875">
        <f t="shared" ref="H204:I204" si="5">E204*G204</f>
        <v>0</v>
      </c>
      <c r="I204" s="1140">
        <f t="shared" si="5"/>
        <v>0</v>
      </c>
      <c r="J204" s="950"/>
      <c r="K204" s="779"/>
    </row>
    <row r="205" spans="1:11" ht="32.25" hidden="1" customHeight="1" outlineLevel="1">
      <c r="A205" s="579"/>
      <c r="B205" s="1051" t="s">
        <v>568</v>
      </c>
      <c r="C205" s="949"/>
      <c r="D205" s="949"/>
      <c r="E205" s="950"/>
      <c r="F205" s="1131">
        <v>0</v>
      </c>
      <c r="G205" s="950"/>
      <c r="H205" s="875">
        <f t="shared" ref="H205:I205" si="6">E205*G205</f>
        <v>0</v>
      </c>
      <c r="I205" s="1140">
        <f t="shared" si="6"/>
        <v>0</v>
      </c>
      <c r="J205" s="950"/>
      <c r="K205" s="779"/>
    </row>
    <row r="206" spans="1:11" ht="15.75" hidden="1" customHeight="1" outlineLevel="1">
      <c r="A206" s="579"/>
      <c r="B206" s="1142" t="s">
        <v>1262</v>
      </c>
      <c r="C206" s="949"/>
      <c r="D206" s="949"/>
      <c r="E206" s="950"/>
      <c r="F206" s="1140">
        <v>0</v>
      </c>
      <c r="G206" s="950"/>
      <c r="H206" s="875">
        <f t="shared" ref="H206:I206" si="7">E206*G206</f>
        <v>0</v>
      </c>
      <c r="I206" s="1140">
        <f t="shared" si="7"/>
        <v>0</v>
      </c>
      <c r="J206" s="950"/>
      <c r="K206" s="779"/>
    </row>
    <row r="207" spans="1:11" ht="15.75" customHeight="1" collapsed="1">
      <c r="A207" s="579"/>
      <c r="B207" s="1143" t="s">
        <v>570</v>
      </c>
      <c r="C207" s="949"/>
      <c r="D207" s="949"/>
      <c r="E207" s="949"/>
      <c r="F207" s="949"/>
      <c r="G207" s="950"/>
      <c r="H207" s="906">
        <f>SUM(H201:H206)</f>
        <v>0</v>
      </c>
      <c r="I207" s="1176">
        <f>SUM(I201:J206)</f>
        <v>0</v>
      </c>
      <c r="J207" s="950"/>
      <c r="K207" s="786"/>
    </row>
    <row r="208" spans="1:11" ht="9" customHeight="1">
      <c r="A208" s="579"/>
      <c r="B208" s="1144"/>
      <c r="C208" s="1145"/>
      <c r="D208" s="1145"/>
      <c r="E208" s="1145"/>
      <c r="F208" s="1145"/>
      <c r="G208" s="1145"/>
      <c r="H208" s="1145"/>
      <c r="I208" s="1145"/>
      <c r="J208" s="1146"/>
      <c r="K208" s="715"/>
    </row>
    <row r="209" spans="1:11" ht="15.75" customHeight="1">
      <c r="A209" s="579"/>
      <c r="B209" s="1147" t="s">
        <v>571</v>
      </c>
      <c r="C209" s="1037"/>
      <c r="D209" s="1037"/>
      <c r="E209" s="1037"/>
      <c r="F209" s="1037"/>
      <c r="G209" s="1037"/>
      <c r="H209" s="1037"/>
      <c r="I209" s="1037"/>
      <c r="J209" s="1038"/>
      <c r="K209" s="596"/>
    </row>
    <row r="210" spans="1:11" ht="9" customHeight="1">
      <c r="A210" s="579"/>
      <c r="B210" s="1148"/>
      <c r="C210" s="949"/>
      <c r="D210" s="949"/>
      <c r="E210" s="949"/>
      <c r="F210" s="949"/>
      <c r="G210" s="949"/>
      <c r="H210" s="949"/>
      <c r="I210" s="949"/>
      <c r="J210" s="950"/>
      <c r="K210" s="787"/>
    </row>
    <row r="211" spans="1:11" ht="15.75" customHeight="1">
      <c r="A211" s="579"/>
      <c r="B211" s="1072" t="s">
        <v>572</v>
      </c>
      <c r="C211" s="949"/>
      <c r="D211" s="949"/>
      <c r="E211" s="949"/>
      <c r="F211" s="949"/>
      <c r="G211" s="950"/>
      <c r="H211" s="1149">
        <f>$I$207</f>
        <v>0</v>
      </c>
      <c r="I211" s="949"/>
      <c r="J211" s="950"/>
      <c r="K211" s="788"/>
    </row>
    <row r="212" spans="1:11" ht="9" customHeight="1">
      <c r="A212" s="579"/>
      <c r="B212" s="1135"/>
      <c r="C212" s="954"/>
      <c r="D212" s="954"/>
      <c r="E212" s="954"/>
      <c r="F212" s="954"/>
      <c r="G212" s="954"/>
      <c r="H212" s="954"/>
      <c r="I212" s="954"/>
      <c r="J212" s="1136"/>
      <c r="K212" s="789"/>
    </row>
    <row r="213" spans="1:11" ht="15.75" customHeight="1">
      <c r="A213" s="579"/>
      <c r="B213" s="1072" t="s">
        <v>573</v>
      </c>
      <c r="C213" s="949"/>
      <c r="D213" s="949"/>
      <c r="E213" s="949"/>
      <c r="F213" s="949"/>
      <c r="G213" s="950"/>
      <c r="H213" s="1073">
        <f>$I$11</f>
        <v>30</v>
      </c>
      <c r="I213" s="949"/>
      <c r="J213" s="950"/>
      <c r="K213" s="790"/>
    </row>
    <row r="214" spans="1:11" ht="9" customHeight="1">
      <c r="A214" s="579"/>
      <c r="B214" s="1137"/>
      <c r="C214" s="949"/>
      <c r="D214" s="949"/>
      <c r="E214" s="949"/>
      <c r="F214" s="949"/>
      <c r="G214" s="949"/>
      <c r="H214" s="949"/>
      <c r="I214" s="949"/>
      <c r="J214" s="950"/>
      <c r="K214" s="791"/>
    </row>
    <row r="215" spans="1:11" ht="15.75" customHeight="1">
      <c r="A215" s="579"/>
      <c r="B215" s="1072" t="s">
        <v>1263</v>
      </c>
      <c r="C215" s="949"/>
      <c r="D215" s="949"/>
      <c r="E215" s="949"/>
      <c r="F215" s="949"/>
      <c r="G215" s="950"/>
      <c r="H215" s="1138">
        <f>ROUND(H211*H213,2)</f>
        <v>0</v>
      </c>
      <c r="I215" s="949"/>
      <c r="J215" s="950"/>
      <c r="K215" s="792"/>
    </row>
    <row r="216" spans="1:11" ht="9" customHeight="1">
      <c r="A216" s="579"/>
      <c r="B216" s="1139"/>
      <c r="C216" s="949"/>
      <c r="D216" s="949"/>
      <c r="E216" s="949"/>
      <c r="F216" s="949"/>
      <c r="G216" s="949"/>
      <c r="H216" s="949"/>
      <c r="I216" s="949"/>
      <c r="J216" s="950"/>
      <c r="K216" s="587"/>
    </row>
    <row r="217" spans="1:11" ht="15.75" customHeight="1">
      <c r="A217" s="579"/>
      <c r="B217" s="579"/>
      <c r="C217" s="579"/>
      <c r="D217" s="579"/>
      <c r="E217" s="579"/>
      <c r="F217" s="579"/>
      <c r="G217" s="579"/>
      <c r="H217" s="579"/>
      <c r="I217" s="579"/>
      <c r="J217" s="579"/>
      <c r="K217" s="579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3">
    <mergeCell ref="C101:I101"/>
    <mergeCell ref="C102:I102"/>
    <mergeCell ref="C103:I103"/>
    <mergeCell ref="B89:J89"/>
    <mergeCell ref="B90:J90"/>
    <mergeCell ref="C91:I91"/>
    <mergeCell ref="C92:H92"/>
    <mergeCell ref="C93:H93"/>
    <mergeCell ref="C94:H94"/>
    <mergeCell ref="C95:H95"/>
    <mergeCell ref="C96:H96"/>
    <mergeCell ref="B63:I63"/>
    <mergeCell ref="B64:J64"/>
    <mergeCell ref="B65:J65"/>
    <mergeCell ref="B66:J66"/>
    <mergeCell ref="B67:J67"/>
    <mergeCell ref="C97:I97"/>
    <mergeCell ref="C98:H98"/>
    <mergeCell ref="C99:H99"/>
    <mergeCell ref="C100:H100"/>
    <mergeCell ref="C82:H82"/>
    <mergeCell ref="C83:H83"/>
    <mergeCell ref="C84:H84"/>
    <mergeCell ref="C85:H85"/>
    <mergeCell ref="B86:H86"/>
    <mergeCell ref="B88:J88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79:H79"/>
    <mergeCell ref="C80:D80"/>
    <mergeCell ref="C81:H81"/>
    <mergeCell ref="C70:H70"/>
    <mergeCell ref="C71:H71"/>
    <mergeCell ref="B72:I72"/>
    <mergeCell ref="B73:J73"/>
    <mergeCell ref="B74:J74"/>
    <mergeCell ref="B75:J75"/>
    <mergeCell ref="B76:J76"/>
    <mergeCell ref="C77:H77"/>
    <mergeCell ref="C78:H78"/>
    <mergeCell ref="C57:I57"/>
    <mergeCell ref="B58:I58"/>
    <mergeCell ref="C59:I59"/>
    <mergeCell ref="C60:I60"/>
    <mergeCell ref="B61:I61"/>
    <mergeCell ref="B62:J62"/>
    <mergeCell ref="C33:F33"/>
    <mergeCell ref="C34:F34"/>
    <mergeCell ref="G34:H34"/>
    <mergeCell ref="I34:J34"/>
    <mergeCell ref="C35:F35"/>
    <mergeCell ref="G35:H35"/>
    <mergeCell ref="I35:J35"/>
    <mergeCell ref="B68:J68"/>
    <mergeCell ref="C69:I69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C54:E54"/>
    <mergeCell ref="F54:H54"/>
    <mergeCell ref="C55:E55"/>
    <mergeCell ref="F55:H55"/>
    <mergeCell ref="C56:I56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92:I192"/>
    <mergeCell ref="B193:I193"/>
    <mergeCell ref="C194:I194"/>
    <mergeCell ref="B195:I19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B141:J141"/>
    <mergeCell ref="C142:I142"/>
    <mergeCell ref="C143:I143"/>
    <mergeCell ref="B144:I144"/>
    <mergeCell ref="B145:J145"/>
    <mergeCell ref="B146:J146"/>
    <mergeCell ref="C189:I189"/>
    <mergeCell ref="C190:I190"/>
    <mergeCell ref="C191:I191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88:I188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F206:G206"/>
    <mergeCell ref="B207:G207"/>
    <mergeCell ref="B208:J208"/>
    <mergeCell ref="B209:J209"/>
    <mergeCell ref="B210:J210"/>
    <mergeCell ref="B215:G215"/>
    <mergeCell ref="B216:J216"/>
    <mergeCell ref="B211:G211"/>
    <mergeCell ref="H211:J211"/>
    <mergeCell ref="B212:J212"/>
    <mergeCell ref="B213:G213"/>
    <mergeCell ref="H213:J213"/>
    <mergeCell ref="B214:J214"/>
    <mergeCell ref="H215:J215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B196:J196"/>
    <mergeCell ref="B197:J197"/>
    <mergeCell ref="B199:J199"/>
    <mergeCell ref="B200:E200"/>
    <mergeCell ref="F200:G200"/>
    <mergeCell ref="B201:E201"/>
    <mergeCell ref="F201:G201"/>
    <mergeCell ref="B202:E202"/>
    <mergeCell ref="F202:G202"/>
    <mergeCell ref="B203:E203"/>
    <mergeCell ref="F203:G203"/>
    <mergeCell ref="B204:E204"/>
    <mergeCell ref="F204:G204"/>
    <mergeCell ref="F205:G205"/>
    <mergeCell ref="B205:E205"/>
    <mergeCell ref="B206:E206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56:I156"/>
    <mergeCell ref="B157:I157"/>
    <mergeCell ref="B158:J158"/>
    <mergeCell ref="B159:J159"/>
    <mergeCell ref="B161:J161"/>
    <mergeCell ref="C176:H176"/>
    <mergeCell ref="B177:I177"/>
    <mergeCell ref="B178:J178"/>
    <mergeCell ref="B179:H179"/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</mergeCells>
  <conditionalFormatting sqref="I49:I50">
    <cfRule type="cellIs" dxfId="1" priority="1" operator="equal">
      <formula>0</formula>
    </cfRule>
  </conditionalFormatting>
  <conditionalFormatting sqref="I48">
    <cfRule type="cellIs" dxfId="0" priority="2" operator="equal">
      <formula>0</formula>
    </cfRule>
  </conditionalFormatting>
  <pageMargins left="0.511811024" right="0.511811024" top="0.78740157499999996" bottom="0.78740157499999996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6E3BC"/>
    <pageSetUpPr fitToPage="1"/>
  </sheetPr>
  <dimension ref="A1:HN1000"/>
  <sheetViews>
    <sheetView workbookViewId="0">
      <pane xSplit="4" topLeftCell="M1" activePane="topRight" state="frozen"/>
      <selection pane="topRight" activeCell="X10" sqref="X10"/>
    </sheetView>
  </sheetViews>
  <sheetFormatPr defaultColWidth="14.42578125" defaultRowHeight="15" customHeight="1"/>
  <cols>
    <col min="1" max="1" width="1.5703125" hidden="1" customWidth="1"/>
    <col min="2" max="2" width="11.42578125" customWidth="1"/>
    <col min="3" max="3" width="26.85546875" customWidth="1"/>
    <col min="4" max="4" width="19.7109375" customWidth="1"/>
    <col min="5" max="5" width="13.28515625" customWidth="1"/>
    <col min="6" max="6" width="9.5703125" customWidth="1"/>
    <col min="7" max="7" width="5.28515625" customWidth="1"/>
    <col min="8" max="8" width="9.7109375" customWidth="1"/>
    <col min="9" max="9" width="22.140625" customWidth="1"/>
    <col min="10" max="10" width="20" customWidth="1"/>
    <col min="11" max="11" width="13.28515625" customWidth="1"/>
    <col min="12" max="12" width="20" customWidth="1"/>
    <col min="13" max="13" width="16.85546875" customWidth="1"/>
    <col min="14" max="14" width="16.5703125" customWidth="1"/>
    <col min="15" max="15" width="27.85546875" customWidth="1"/>
    <col min="16" max="16" width="20.140625" customWidth="1"/>
    <col min="17" max="17" width="19.5703125" customWidth="1"/>
    <col min="18" max="18" width="24.42578125" customWidth="1"/>
    <col min="19" max="20" width="13.7109375" customWidth="1"/>
    <col min="21" max="21" width="9.140625" customWidth="1"/>
    <col min="22" max="22" width="13.7109375" customWidth="1"/>
    <col min="23" max="23" width="15.28515625" customWidth="1"/>
    <col min="24" max="24" width="6.5703125" customWidth="1"/>
    <col min="25" max="25" width="9.7109375" customWidth="1"/>
    <col min="26" max="26" width="22.140625" customWidth="1"/>
    <col min="27" max="27" width="20" customWidth="1"/>
    <col min="28" max="28" width="10.5703125" customWidth="1"/>
    <col min="29" max="30" width="15.28515625" customWidth="1"/>
    <col min="31" max="31" width="17.28515625" customWidth="1"/>
    <col min="32" max="32" width="27.85546875" customWidth="1"/>
    <col min="33" max="33" width="20.140625" customWidth="1"/>
    <col min="34" max="34" width="19.5703125" customWidth="1"/>
    <col min="35" max="35" width="24.42578125" customWidth="1"/>
    <col min="36" max="37" width="15.28515625" customWidth="1"/>
    <col min="38" max="38" width="8" customWidth="1"/>
    <col min="39" max="39" width="15.28515625" customWidth="1"/>
    <col min="40" max="40" width="9.7109375" customWidth="1"/>
    <col min="41" max="41" width="7.28515625" customWidth="1"/>
    <col min="42" max="42" width="10" customWidth="1"/>
    <col min="43" max="43" width="22.140625" customWidth="1"/>
    <col min="44" max="44" width="20" customWidth="1"/>
    <col min="45" max="45" width="14.42578125" customWidth="1"/>
    <col min="46" max="46" width="18.5703125" customWidth="1"/>
    <col min="47" max="48" width="14.42578125" customWidth="1"/>
    <col min="49" max="49" width="27.85546875" customWidth="1"/>
    <col min="50" max="50" width="20.140625" customWidth="1"/>
    <col min="51" max="51" width="19.5703125" customWidth="1"/>
    <col min="52" max="52" width="24.42578125" customWidth="1"/>
    <col min="53" max="53" width="18.42578125" customWidth="1"/>
    <col min="54" max="54" width="15.28515625" customWidth="1"/>
    <col min="55" max="55" width="8" customWidth="1"/>
    <col min="56" max="56" width="15.28515625" customWidth="1"/>
    <col min="57" max="57" width="11.7109375" customWidth="1"/>
    <col min="58" max="58" width="7" customWidth="1"/>
    <col min="59" max="59" width="9.7109375" customWidth="1"/>
    <col min="60" max="60" width="22.140625" customWidth="1"/>
    <col min="61" max="61" width="20" customWidth="1"/>
    <col min="62" max="63" width="14.42578125" customWidth="1"/>
    <col min="64" max="64" width="17.28515625" customWidth="1"/>
    <col min="65" max="65" width="14.42578125" customWidth="1"/>
    <col min="66" max="66" width="27.85546875" customWidth="1"/>
    <col min="67" max="67" width="20.140625" customWidth="1"/>
    <col min="68" max="68" width="19.5703125" customWidth="1"/>
    <col min="69" max="69" width="24.85546875" customWidth="1"/>
    <col min="70" max="70" width="18.42578125" customWidth="1"/>
    <col min="71" max="71" width="15.28515625" customWidth="1"/>
    <col min="72" max="72" width="8" customWidth="1"/>
    <col min="73" max="73" width="15.28515625" customWidth="1"/>
    <col min="74" max="74" width="11.7109375" customWidth="1"/>
    <col min="75" max="75" width="6.28515625" customWidth="1"/>
    <col min="76" max="76" width="10" customWidth="1"/>
    <col min="77" max="77" width="22.140625" customWidth="1"/>
    <col min="78" max="78" width="20" customWidth="1"/>
    <col min="79" max="82" width="14.42578125" customWidth="1"/>
    <col min="83" max="83" width="27.85546875" customWidth="1"/>
    <col min="84" max="84" width="20.140625" customWidth="1"/>
    <col min="85" max="85" width="19.5703125" customWidth="1"/>
    <col min="86" max="86" width="24.85546875" customWidth="1"/>
    <col min="87" max="87" width="18.42578125" customWidth="1"/>
    <col min="88" max="88" width="15.28515625" customWidth="1"/>
    <col min="89" max="89" width="8" customWidth="1"/>
    <col min="90" max="90" width="15.28515625" customWidth="1"/>
    <col min="91" max="91" width="11.7109375" customWidth="1"/>
    <col min="92" max="92" width="7" customWidth="1"/>
    <col min="93" max="93" width="9.7109375" customWidth="1"/>
    <col min="94" max="94" width="22.140625" customWidth="1"/>
    <col min="95" max="95" width="20" customWidth="1"/>
    <col min="96" max="99" width="14.42578125" customWidth="1"/>
    <col min="100" max="100" width="27.85546875" customWidth="1"/>
    <col min="101" max="101" width="20.140625" customWidth="1"/>
    <col min="102" max="102" width="19.5703125" customWidth="1"/>
    <col min="103" max="103" width="24.42578125" customWidth="1"/>
    <col min="104" max="104" width="18.42578125" customWidth="1"/>
    <col min="105" max="105" width="15.28515625" customWidth="1"/>
    <col min="106" max="106" width="8" customWidth="1"/>
    <col min="107" max="107" width="15.28515625" customWidth="1"/>
    <col min="108" max="108" width="11.7109375" customWidth="1"/>
    <col min="109" max="109" width="7.28515625" customWidth="1"/>
    <col min="110" max="110" width="9.7109375" customWidth="1"/>
    <col min="111" max="111" width="22.140625" customWidth="1"/>
    <col min="112" max="112" width="20" customWidth="1"/>
    <col min="113" max="116" width="14.42578125" customWidth="1"/>
    <col min="117" max="117" width="27.85546875" customWidth="1"/>
    <col min="118" max="118" width="20.140625" customWidth="1"/>
    <col min="119" max="119" width="19.5703125" customWidth="1"/>
    <col min="120" max="120" width="24.42578125" customWidth="1"/>
    <col min="121" max="121" width="18.42578125" customWidth="1"/>
    <col min="122" max="122" width="15.28515625" customWidth="1"/>
    <col min="123" max="123" width="8" customWidth="1"/>
    <col min="124" max="124" width="15.28515625" customWidth="1"/>
    <col min="125" max="125" width="11.7109375" customWidth="1"/>
    <col min="126" max="126" width="7.28515625" customWidth="1"/>
    <col min="127" max="127" width="9.7109375" customWidth="1"/>
    <col min="128" max="128" width="15.28515625" customWidth="1"/>
    <col min="129" max="129" width="20" customWidth="1"/>
    <col min="130" max="133" width="14.42578125" customWidth="1"/>
    <col min="134" max="134" width="27.85546875" customWidth="1"/>
    <col min="135" max="135" width="20.140625" customWidth="1"/>
    <col min="136" max="136" width="19.5703125" customWidth="1"/>
    <col min="137" max="137" width="24.42578125" customWidth="1"/>
    <col min="138" max="138" width="18.42578125" customWidth="1"/>
    <col min="139" max="139" width="15.28515625" customWidth="1"/>
    <col min="140" max="140" width="8" customWidth="1"/>
    <col min="141" max="141" width="15.28515625" customWidth="1"/>
    <col min="142" max="142" width="11.7109375" customWidth="1"/>
    <col min="143" max="143" width="9" customWidth="1"/>
    <col min="144" max="144" width="9.7109375" customWidth="1"/>
    <col min="145" max="145" width="15.28515625" customWidth="1"/>
    <col min="146" max="146" width="20" customWidth="1"/>
    <col min="147" max="150" width="14.42578125" customWidth="1"/>
    <col min="151" max="151" width="27.85546875" customWidth="1"/>
    <col min="152" max="152" width="20.140625" customWidth="1"/>
    <col min="153" max="153" width="19.5703125" customWidth="1"/>
    <col min="154" max="154" width="24.42578125" customWidth="1"/>
    <col min="155" max="155" width="18.42578125" customWidth="1"/>
    <col min="156" max="156" width="15.28515625" customWidth="1"/>
    <col min="157" max="157" width="8" customWidth="1"/>
    <col min="158" max="158" width="15.28515625" customWidth="1"/>
    <col min="159" max="159" width="11.7109375" customWidth="1"/>
    <col min="160" max="160" width="8.7109375" customWidth="1"/>
    <col min="161" max="161" width="9.7109375" customWidth="1"/>
    <col min="162" max="162" width="15.28515625" customWidth="1"/>
    <col min="163" max="163" width="20" customWidth="1"/>
    <col min="164" max="167" width="14.42578125" customWidth="1"/>
    <col min="168" max="168" width="27.85546875" customWidth="1"/>
    <col min="169" max="169" width="20.140625" customWidth="1"/>
    <col min="170" max="170" width="19.5703125" customWidth="1"/>
    <col min="171" max="171" width="24.42578125" customWidth="1"/>
    <col min="172" max="172" width="18.42578125" customWidth="1"/>
    <col min="173" max="173" width="15.28515625" customWidth="1"/>
    <col min="174" max="174" width="8" customWidth="1"/>
    <col min="175" max="175" width="15.28515625" customWidth="1"/>
    <col min="176" max="176" width="11.7109375" customWidth="1"/>
    <col min="177" max="177" width="8.42578125" customWidth="1"/>
    <col min="178" max="178" width="9.7109375" customWidth="1"/>
    <col min="179" max="179" width="15.28515625" customWidth="1"/>
    <col min="180" max="180" width="20" customWidth="1"/>
    <col min="181" max="184" width="14.42578125" customWidth="1"/>
    <col min="185" max="185" width="27.85546875" customWidth="1"/>
    <col min="186" max="186" width="20.140625" customWidth="1"/>
    <col min="187" max="187" width="19.5703125" customWidth="1"/>
    <col min="188" max="188" width="24.42578125" customWidth="1"/>
    <col min="189" max="189" width="18.42578125" customWidth="1"/>
    <col min="190" max="190" width="15.28515625" customWidth="1"/>
    <col min="191" max="191" width="8" customWidth="1"/>
    <col min="192" max="192" width="15.28515625" customWidth="1"/>
    <col min="193" max="193" width="11.7109375" customWidth="1"/>
    <col min="194" max="194" width="7.28515625" customWidth="1"/>
    <col min="195" max="195" width="9.7109375" customWidth="1"/>
    <col min="196" max="196" width="15.28515625" customWidth="1"/>
    <col min="197" max="197" width="20" customWidth="1"/>
    <col min="198" max="201" width="14.42578125" customWidth="1"/>
    <col min="202" max="202" width="27.85546875" customWidth="1"/>
    <col min="203" max="203" width="20.140625" customWidth="1"/>
    <col min="204" max="204" width="15.28515625" customWidth="1"/>
    <col min="205" max="205" width="24.42578125" customWidth="1"/>
    <col min="206" max="206" width="18.42578125" customWidth="1"/>
    <col min="207" max="207" width="15.28515625" customWidth="1"/>
    <col min="208" max="208" width="9.7109375" customWidth="1"/>
    <col min="209" max="209" width="15.28515625" customWidth="1"/>
    <col min="210" max="210" width="11.7109375" customWidth="1"/>
    <col min="211" max="212" width="14.42578125" customWidth="1"/>
    <col min="213" max="222" width="14.42578125" hidden="1" customWidth="1"/>
  </cols>
  <sheetData>
    <row r="1" spans="1:222" ht="35.25" customHeight="1">
      <c r="A1" s="1"/>
      <c r="B1" s="946" t="s">
        <v>148</v>
      </c>
      <c r="C1" s="947"/>
      <c r="D1" s="947"/>
      <c r="E1" s="1">
        <v>5</v>
      </c>
      <c r="F1" s="1">
        <f t="shared" ref="F1:HC1" si="0">E1+1</f>
        <v>6</v>
      </c>
      <c r="G1" s="1">
        <f t="shared" si="0"/>
        <v>7</v>
      </c>
      <c r="H1" s="1">
        <f t="shared" si="0"/>
        <v>8</v>
      </c>
      <c r="I1" s="1">
        <f t="shared" si="0"/>
        <v>9</v>
      </c>
      <c r="J1" s="1">
        <f t="shared" si="0"/>
        <v>10</v>
      </c>
      <c r="K1" s="1">
        <f t="shared" si="0"/>
        <v>11</v>
      </c>
      <c r="L1" s="1">
        <f t="shared" si="0"/>
        <v>12</v>
      </c>
      <c r="M1" s="1">
        <f t="shared" si="0"/>
        <v>13</v>
      </c>
      <c r="N1" s="1">
        <f t="shared" si="0"/>
        <v>14</v>
      </c>
      <c r="O1" s="1">
        <f t="shared" si="0"/>
        <v>15</v>
      </c>
      <c r="P1" s="1">
        <f t="shared" si="0"/>
        <v>16</v>
      </c>
      <c r="Q1" s="1">
        <f t="shared" si="0"/>
        <v>17</v>
      </c>
      <c r="R1" s="1">
        <f t="shared" si="0"/>
        <v>18</v>
      </c>
      <c r="S1" s="1">
        <f t="shared" si="0"/>
        <v>19</v>
      </c>
      <c r="T1" s="1">
        <f t="shared" si="0"/>
        <v>20</v>
      </c>
      <c r="U1" s="1">
        <f t="shared" si="0"/>
        <v>21</v>
      </c>
      <c r="V1" s="1">
        <f t="shared" si="0"/>
        <v>22</v>
      </c>
      <c r="W1" s="1">
        <f t="shared" si="0"/>
        <v>23</v>
      </c>
      <c r="X1" s="1">
        <f t="shared" si="0"/>
        <v>24</v>
      </c>
      <c r="Y1" s="1">
        <f t="shared" si="0"/>
        <v>25</v>
      </c>
      <c r="Z1" s="1">
        <f t="shared" si="0"/>
        <v>26</v>
      </c>
      <c r="AA1" s="1">
        <f t="shared" si="0"/>
        <v>27</v>
      </c>
      <c r="AB1" s="1">
        <f t="shared" si="0"/>
        <v>28</v>
      </c>
      <c r="AC1" s="1">
        <f t="shared" si="0"/>
        <v>29</v>
      </c>
      <c r="AD1" s="1">
        <f t="shared" si="0"/>
        <v>30</v>
      </c>
      <c r="AE1" s="1">
        <f t="shared" si="0"/>
        <v>31</v>
      </c>
      <c r="AF1" s="1">
        <f t="shared" si="0"/>
        <v>32</v>
      </c>
      <c r="AG1" s="1">
        <f t="shared" si="0"/>
        <v>33</v>
      </c>
      <c r="AH1" s="1">
        <f t="shared" si="0"/>
        <v>34</v>
      </c>
      <c r="AI1" s="1">
        <f t="shared" si="0"/>
        <v>35</v>
      </c>
      <c r="AJ1" s="1">
        <f t="shared" si="0"/>
        <v>36</v>
      </c>
      <c r="AK1" s="1">
        <f t="shared" si="0"/>
        <v>37</v>
      </c>
      <c r="AL1" s="1">
        <f t="shared" si="0"/>
        <v>38</v>
      </c>
      <c r="AM1" s="1">
        <f t="shared" si="0"/>
        <v>39</v>
      </c>
      <c r="AN1" s="1">
        <f t="shared" si="0"/>
        <v>40</v>
      </c>
      <c r="AO1" s="1">
        <f t="shared" si="0"/>
        <v>41</v>
      </c>
      <c r="AP1" s="1">
        <f t="shared" si="0"/>
        <v>42</v>
      </c>
      <c r="AQ1" s="1">
        <f t="shared" si="0"/>
        <v>43</v>
      </c>
      <c r="AR1" s="1">
        <f t="shared" si="0"/>
        <v>44</v>
      </c>
      <c r="AS1" s="1">
        <f t="shared" si="0"/>
        <v>45</v>
      </c>
      <c r="AT1" s="1">
        <f t="shared" si="0"/>
        <v>46</v>
      </c>
      <c r="AU1" s="1">
        <f t="shared" si="0"/>
        <v>47</v>
      </c>
      <c r="AV1" s="1">
        <f t="shared" si="0"/>
        <v>48</v>
      </c>
      <c r="AW1" s="1">
        <f t="shared" si="0"/>
        <v>49</v>
      </c>
      <c r="AX1" s="1">
        <f t="shared" si="0"/>
        <v>50</v>
      </c>
      <c r="AY1" s="1">
        <f t="shared" si="0"/>
        <v>51</v>
      </c>
      <c r="AZ1" s="1">
        <f t="shared" si="0"/>
        <v>52</v>
      </c>
      <c r="BA1" s="1">
        <f t="shared" si="0"/>
        <v>53</v>
      </c>
      <c r="BB1" s="1">
        <f t="shared" si="0"/>
        <v>54</v>
      </c>
      <c r="BC1" s="1">
        <f t="shared" si="0"/>
        <v>55</v>
      </c>
      <c r="BD1" s="1">
        <f t="shared" si="0"/>
        <v>56</v>
      </c>
      <c r="BE1" s="1">
        <f t="shared" si="0"/>
        <v>57</v>
      </c>
      <c r="BF1" s="1">
        <f t="shared" si="0"/>
        <v>58</v>
      </c>
      <c r="BG1" s="1">
        <f t="shared" si="0"/>
        <v>59</v>
      </c>
      <c r="BH1" s="1">
        <f t="shared" si="0"/>
        <v>60</v>
      </c>
      <c r="BI1" s="1">
        <f t="shared" si="0"/>
        <v>61</v>
      </c>
      <c r="BJ1" s="1">
        <f t="shared" si="0"/>
        <v>62</v>
      </c>
      <c r="BK1" s="1">
        <f t="shared" si="0"/>
        <v>63</v>
      </c>
      <c r="BL1" s="1">
        <f t="shared" si="0"/>
        <v>64</v>
      </c>
      <c r="BM1" s="1">
        <f t="shared" si="0"/>
        <v>65</v>
      </c>
      <c r="BN1" s="1">
        <f t="shared" si="0"/>
        <v>66</v>
      </c>
      <c r="BO1" s="1">
        <f t="shared" si="0"/>
        <v>67</v>
      </c>
      <c r="BP1" s="1">
        <f t="shared" si="0"/>
        <v>68</v>
      </c>
      <c r="BQ1" s="1">
        <f t="shared" si="0"/>
        <v>69</v>
      </c>
      <c r="BR1" s="1">
        <f t="shared" si="0"/>
        <v>70</v>
      </c>
      <c r="BS1" s="1">
        <f t="shared" si="0"/>
        <v>71</v>
      </c>
      <c r="BT1" s="1">
        <f t="shared" si="0"/>
        <v>72</v>
      </c>
      <c r="BU1" s="1">
        <f t="shared" si="0"/>
        <v>73</v>
      </c>
      <c r="BV1" s="1">
        <f t="shared" si="0"/>
        <v>74</v>
      </c>
      <c r="BW1" s="1">
        <f t="shared" si="0"/>
        <v>75</v>
      </c>
      <c r="BX1" s="1">
        <f t="shared" si="0"/>
        <v>76</v>
      </c>
      <c r="BY1" s="1">
        <f t="shared" si="0"/>
        <v>77</v>
      </c>
      <c r="BZ1" s="1">
        <f t="shared" si="0"/>
        <v>78</v>
      </c>
      <c r="CA1" s="1">
        <f t="shared" si="0"/>
        <v>79</v>
      </c>
      <c r="CB1" s="1">
        <f t="shared" si="0"/>
        <v>80</v>
      </c>
      <c r="CC1" s="1">
        <f t="shared" si="0"/>
        <v>81</v>
      </c>
      <c r="CD1" s="1">
        <f t="shared" si="0"/>
        <v>82</v>
      </c>
      <c r="CE1" s="1">
        <f t="shared" si="0"/>
        <v>83</v>
      </c>
      <c r="CF1" s="1">
        <f t="shared" si="0"/>
        <v>84</v>
      </c>
      <c r="CG1" s="1">
        <f t="shared" si="0"/>
        <v>85</v>
      </c>
      <c r="CH1" s="1">
        <f t="shared" si="0"/>
        <v>86</v>
      </c>
      <c r="CI1" s="1">
        <f t="shared" si="0"/>
        <v>87</v>
      </c>
      <c r="CJ1" s="1">
        <f t="shared" si="0"/>
        <v>88</v>
      </c>
      <c r="CK1" s="1">
        <f t="shared" si="0"/>
        <v>89</v>
      </c>
      <c r="CL1" s="1">
        <f t="shared" si="0"/>
        <v>90</v>
      </c>
      <c r="CM1" s="1">
        <f t="shared" si="0"/>
        <v>91</v>
      </c>
      <c r="CN1" s="1">
        <f t="shared" si="0"/>
        <v>92</v>
      </c>
      <c r="CO1" s="1">
        <f t="shared" si="0"/>
        <v>93</v>
      </c>
      <c r="CP1" s="1">
        <f t="shared" si="0"/>
        <v>94</v>
      </c>
      <c r="CQ1" s="1">
        <f t="shared" si="0"/>
        <v>95</v>
      </c>
      <c r="CR1" s="1">
        <f t="shared" si="0"/>
        <v>96</v>
      </c>
      <c r="CS1" s="1">
        <f t="shared" si="0"/>
        <v>97</v>
      </c>
      <c r="CT1" s="1">
        <f t="shared" si="0"/>
        <v>98</v>
      </c>
      <c r="CU1" s="1">
        <f t="shared" si="0"/>
        <v>99</v>
      </c>
      <c r="CV1" s="1">
        <f t="shared" si="0"/>
        <v>100</v>
      </c>
      <c r="CW1" s="1">
        <f t="shared" si="0"/>
        <v>101</v>
      </c>
      <c r="CX1" s="1">
        <f t="shared" si="0"/>
        <v>102</v>
      </c>
      <c r="CY1" s="1">
        <f t="shared" si="0"/>
        <v>103</v>
      </c>
      <c r="CZ1" s="1">
        <f t="shared" si="0"/>
        <v>104</v>
      </c>
      <c r="DA1" s="1">
        <f t="shared" si="0"/>
        <v>105</v>
      </c>
      <c r="DB1" s="1">
        <f t="shared" si="0"/>
        <v>106</v>
      </c>
      <c r="DC1" s="1">
        <f t="shared" si="0"/>
        <v>107</v>
      </c>
      <c r="DD1" s="1">
        <f t="shared" si="0"/>
        <v>108</v>
      </c>
      <c r="DE1" s="1">
        <f t="shared" si="0"/>
        <v>109</v>
      </c>
      <c r="DF1" s="1">
        <f t="shared" si="0"/>
        <v>110</v>
      </c>
      <c r="DG1" s="1">
        <f t="shared" si="0"/>
        <v>111</v>
      </c>
      <c r="DH1" s="1">
        <f t="shared" si="0"/>
        <v>112</v>
      </c>
      <c r="DI1" s="1">
        <f t="shared" si="0"/>
        <v>113</v>
      </c>
      <c r="DJ1" s="1">
        <f t="shared" si="0"/>
        <v>114</v>
      </c>
      <c r="DK1" s="1">
        <f t="shared" si="0"/>
        <v>115</v>
      </c>
      <c r="DL1" s="1">
        <f t="shared" si="0"/>
        <v>116</v>
      </c>
      <c r="DM1" s="1">
        <f t="shared" si="0"/>
        <v>117</v>
      </c>
      <c r="DN1" s="1">
        <f t="shared" si="0"/>
        <v>118</v>
      </c>
      <c r="DO1" s="1">
        <f t="shared" si="0"/>
        <v>119</v>
      </c>
      <c r="DP1" s="1">
        <f t="shared" si="0"/>
        <v>120</v>
      </c>
      <c r="DQ1" s="1">
        <f t="shared" si="0"/>
        <v>121</v>
      </c>
      <c r="DR1" s="1">
        <f t="shared" si="0"/>
        <v>122</v>
      </c>
      <c r="DS1" s="1">
        <f t="shared" si="0"/>
        <v>123</v>
      </c>
      <c r="DT1" s="1">
        <f t="shared" si="0"/>
        <v>124</v>
      </c>
      <c r="DU1" s="1">
        <f t="shared" si="0"/>
        <v>125</v>
      </c>
      <c r="DV1" s="1">
        <f t="shared" si="0"/>
        <v>126</v>
      </c>
      <c r="DW1" s="1">
        <f t="shared" si="0"/>
        <v>127</v>
      </c>
      <c r="DX1" s="1">
        <f t="shared" si="0"/>
        <v>128</v>
      </c>
      <c r="DY1" s="1">
        <f t="shared" si="0"/>
        <v>129</v>
      </c>
      <c r="DZ1" s="1">
        <f t="shared" si="0"/>
        <v>130</v>
      </c>
      <c r="EA1" s="1">
        <f t="shared" si="0"/>
        <v>131</v>
      </c>
      <c r="EB1" s="1">
        <f t="shared" si="0"/>
        <v>132</v>
      </c>
      <c r="EC1" s="1">
        <f t="shared" si="0"/>
        <v>133</v>
      </c>
      <c r="ED1" s="1">
        <f t="shared" si="0"/>
        <v>134</v>
      </c>
      <c r="EE1" s="1">
        <f t="shared" si="0"/>
        <v>135</v>
      </c>
      <c r="EF1" s="1">
        <f t="shared" si="0"/>
        <v>136</v>
      </c>
      <c r="EG1" s="1">
        <f t="shared" si="0"/>
        <v>137</v>
      </c>
      <c r="EH1" s="1">
        <f t="shared" si="0"/>
        <v>138</v>
      </c>
      <c r="EI1" s="1">
        <f t="shared" si="0"/>
        <v>139</v>
      </c>
      <c r="EJ1" s="1">
        <f t="shared" si="0"/>
        <v>140</v>
      </c>
      <c r="EK1" s="1">
        <f t="shared" si="0"/>
        <v>141</v>
      </c>
      <c r="EL1" s="1">
        <f t="shared" si="0"/>
        <v>142</v>
      </c>
      <c r="EM1" s="1">
        <f t="shared" si="0"/>
        <v>143</v>
      </c>
      <c r="EN1" s="1">
        <f t="shared" si="0"/>
        <v>144</v>
      </c>
      <c r="EO1" s="1">
        <f t="shared" si="0"/>
        <v>145</v>
      </c>
      <c r="EP1" s="1">
        <f t="shared" si="0"/>
        <v>146</v>
      </c>
      <c r="EQ1" s="1">
        <f t="shared" si="0"/>
        <v>147</v>
      </c>
      <c r="ER1" s="1">
        <f t="shared" si="0"/>
        <v>148</v>
      </c>
      <c r="ES1" s="1">
        <f t="shared" si="0"/>
        <v>149</v>
      </c>
      <c r="ET1" s="1">
        <f t="shared" si="0"/>
        <v>150</v>
      </c>
      <c r="EU1" s="1">
        <f t="shared" si="0"/>
        <v>151</v>
      </c>
      <c r="EV1" s="1">
        <f t="shared" si="0"/>
        <v>152</v>
      </c>
      <c r="EW1" s="1">
        <f t="shared" si="0"/>
        <v>153</v>
      </c>
      <c r="EX1" s="1">
        <f t="shared" si="0"/>
        <v>154</v>
      </c>
      <c r="EY1" s="1">
        <f t="shared" si="0"/>
        <v>155</v>
      </c>
      <c r="EZ1" s="1">
        <f t="shared" si="0"/>
        <v>156</v>
      </c>
      <c r="FA1" s="1">
        <f t="shared" si="0"/>
        <v>157</v>
      </c>
      <c r="FB1" s="1">
        <f t="shared" si="0"/>
        <v>158</v>
      </c>
      <c r="FC1" s="1">
        <f t="shared" si="0"/>
        <v>159</v>
      </c>
      <c r="FD1" s="1">
        <f t="shared" si="0"/>
        <v>160</v>
      </c>
      <c r="FE1" s="1">
        <f t="shared" si="0"/>
        <v>161</v>
      </c>
      <c r="FF1" s="1">
        <f t="shared" si="0"/>
        <v>162</v>
      </c>
      <c r="FG1" s="1">
        <f t="shared" si="0"/>
        <v>163</v>
      </c>
      <c r="FH1" s="1">
        <f t="shared" si="0"/>
        <v>164</v>
      </c>
      <c r="FI1" s="1">
        <f t="shared" si="0"/>
        <v>165</v>
      </c>
      <c r="FJ1" s="1">
        <f t="shared" si="0"/>
        <v>166</v>
      </c>
      <c r="FK1" s="1">
        <f t="shared" si="0"/>
        <v>167</v>
      </c>
      <c r="FL1" s="1">
        <f t="shared" si="0"/>
        <v>168</v>
      </c>
      <c r="FM1" s="1">
        <f t="shared" si="0"/>
        <v>169</v>
      </c>
      <c r="FN1" s="1">
        <f t="shared" si="0"/>
        <v>170</v>
      </c>
      <c r="FO1" s="1">
        <f t="shared" si="0"/>
        <v>171</v>
      </c>
      <c r="FP1" s="1">
        <f t="shared" si="0"/>
        <v>172</v>
      </c>
      <c r="FQ1" s="1">
        <f t="shared" si="0"/>
        <v>173</v>
      </c>
      <c r="FR1" s="1">
        <f t="shared" si="0"/>
        <v>174</v>
      </c>
      <c r="FS1" s="1">
        <f t="shared" si="0"/>
        <v>175</v>
      </c>
      <c r="FT1" s="1">
        <f t="shared" si="0"/>
        <v>176</v>
      </c>
      <c r="FU1" s="1">
        <f t="shared" si="0"/>
        <v>177</v>
      </c>
      <c r="FV1" s="1">
        <f t="shared" si="0"/>
        <v>178</v>
      </c>
      <c r="FW1" s="1">
        <f t="shared" si="0"/>
        <v>179</v>
      </c>
      <c r="FX1" s="1">
        <f t="shared" si="0"/>
        <v>180</v>
      </c>
      <c r="FY1" s="1">
        <f t="shared" si="0"/>
        <v>181</v>
      </c>
      <c r="FZ1" s="1">
        <f t="shared" si="0"/>
        <v>182</v>
      </c>
      <c r="GA1" s="1">
        <f t="shared" si="0"/>
        <v>183</v>
      </c>
      <c r="GB1" s="1">
        <f t="shared" si="0"/>
        <v>184</v>
      </c>
      <c r="GC1" s="1">
        <f t="shared" si="0"/>
        <v>185</v>
      </c>
      <c r="GD1" s="1">
        <f t="shared" si="0"/>
        <v>186</v>
      </c>
      <c r="GE1" s="1">
        <f t="shared" si="0"/>
        <v>187</v>
      </c>
      <c r="GF1" s="1">
        <f t="shared" si="0"/>
        <v>188</v>
      </c>
      <c r="GG1" s="1">
        <f t="shared" si="0"/>
        <v>189</v>
      </c>
      <c r="GH1" s="1">
        <f t="shared" si="0"/>
        <v>190</v>
      </c>
      <c r="GI1" s="1">
        <f t="shared" si="0"/>
        <v>191</v>
      </c>
      <c r="GJ1" s="1">
        <f t="shared" si="0"/>
        <v>192</v>
      </c>
      <c r="GK1" s="1">
        <f t="shared" si="0"/>
        <v>193</v>
      </c>
      <c r="GL1" s="1">
        <f t="shared" si="0"/>
        <v>194</v>
      </c>
      <c r="GM1" s="1">
        <f t="shared" si="0"/>
        <v>195</v>
      </c>
      <c r="GN1" s="1">
        <f t="shared" si="0"/>
        <v>196</v>
      </c>
      <c r="GO1" s="1">
        <f t="shared" si="0"/>
        <v>197</v>
      </c>
      <c r="GP1" s="1">
        <f t="shared" si="0"/>
        <v>198</v>
      </c>
      <c r="GQ1" s="1">
        <f t="shared" si="0"/>
        <v>199</v>
      </c>
      <c r="GR1" s="1">
        <f t="shared" si="0"/>
        <v>200</v>
      </c>
      <c r="GS1" s="1">
        <f t="shared" si="0"/>
        <v>201</v>
      </c>
      <c r="GT1" s="1">
        <f t="shared" si="0"/>
        <v>202</v>
      </c>
      <c r="GU1" s="1">
        <f t="shared" si="0"/>
        <v>203</v>
      </c>
      <c r="GV1" s="1">
        <f t="shared" si="0"/>
        <v>204</v>
      </c>
      <c r="GW1" s="1">
        <f t="shared" si="0"/>
        <v>205</v>
      </c>
      <c r="GX1" s="1">
        <f t="shared" si="0"/>
        <v>206</v>
      </c>
      <c r="GY1" s="1">
        <f t="shared" si="0"/>
        <v>207</v>
      </c>
      <c r="GZ1" s="1">
        <f t="shared" si="0"/>
        <v>208</v>
      </c>
      <c r="HA1" s="1">
        <f t="shared" si="0"/>
        <v>209</v>
      </c>
      <c r="HB1" s="1">
        <f t="shared" si="0"/>
        <v>210</v>
      </c>
      <c r="HC1" s="1">
        <f t="shared" si="0"/>
        <v>211</v>
      </c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</row>
    <row r="2" spans="1:222" ht="36" customHeight="1">
      <c r="A2" s="1"/>
      <c r="B2" s="71"/>
      <c r="C2" s="72" t="s">
        <v>149</v>
      </c>
      <c r="D2" s="71"/>
      <c r="E2" s="73"/>
      <c r="F2" s="74"/>
      <c r="G2" s="75"/>
      <c r="H2" s="75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</row>
    <row r="3" spans="1:222" ht="39.75" customHeight="1">
      <c r="A3" s="1"/>
      <c r="B3" s="76" t="s">
        <v>150</v>
      </c>
      <c r="C3" s="77"/>
      <c r="D3" s="77"/>
      <c r="E3" s="74"/>
      <c r="F3" s="74"/>
      <c r="G3" s="75">
        <v>1</v>
      </c>
      <c r="H3" s="75"/>
      <c r="I3" s="75">
        <f t="shared" ref="I3:W3" si="1">H3+1</f>
        <v>1</v>
      </c>
      <c r="J3" s="75">
        <f t="shared" si="1"/>
        <v>2</v>
      </c>
      <c r="K3" s="75">
        <f t="shared" si="1"/>
        <v>3</v>
      </c>
      <c r="L3" s="75">
        <f t="shared" si="1"/>
        <v>4</v>
      </c>
      <c r="M3" s="75">
        <f t="shared" si="1"/>
        <v>5</v>
      </c>
      <c r="N3" s="75">
        <f t="shared" si="1"/>
        <v>6</v>
      </c>
      <c r="O3" s="75">
        <f t="shared" si="1"/>
        <v>7</v>
      </c>
      <c r="P3" s="75">
        <f t="shared" si="1"/>
        <v>8</v>
      </c>
      <c r="Q3" s="75">
        <f t="shared" si="1"/>
        <v>9</v>
      </c>
      <c r="R3" s="75">
        <f t="shared" si="1"/>
        <v>10</v>
      </c>
      <c r="S3" s="75">
        <f t="shared" si="1"/>
        <v>11</v>
      </c>
      <c r="T3" s="75">
        <f t="shared" si="1"/>
        <v>12</v>
      </c>
      <c r="U3" s="75">
        <f t="shared" si="1"/>
        <v>13</v>
      </c>
      <c r="V3" s="75">
        <f t="shared" si="1"/>
        <v>14</v>
      </c>
      <c r="W3" s="75">
        <f t="shared" si="1"/>
        <v>15</v>
      </c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>
        <f>56+17</f>
        <v>73</v>
      </c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5"/>
      <c r="CI3" s="75"/>
      <c r="CJ3" s="75"/>
      <c r="CK3" s="75"/>
      <c r="CL3" s="75"/>
      <c r="CM3" s="75"/>
      <c r="CN3" s="75"/>
      <c r="CO3" s="75"/>
      <c r="CP3" s="75"/>
      <c r="CQ3" s="75"/>
      <c r="CR3" s="75"/>
      <c r="CS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5"/>
      <c r="DG3" s="75"/>
      <c r="DH3" s="75"/>
      <c r="DI3" s="75"/>
      <c r="DJ3" s="75"/>
      <c r="DK3" s="75"/>
      <c r="DL3" s="75"/>
      <c r="DM3" s="75"/>
      <c r="DN3" s="75"/>
      <c r="DO3" s="75"/>
      <c r="DP3" s="75"/>
      <c r="DQ3" s="75"/>
      <c r="DR3" s="75"/>
      <c r="DS3" s="75"/>
      <c r="DT3" s="75"/>
      <c r="DU3" s="75"/>
      <c r="DV3" s="75"/>
      <c r="DW3" s="75"/>
      <c r="DX3" s="75"/>
      <c r="DY3" s="75"/>
      <c r="DZ3" s="75"/>
      <c r="EA3" s="75"/>
      <c r="EB3" s="75"/>
      <c r="EC3" s="75"/>
      <c r="ED3" s="75"/>
      <c r="EE3" s="75"/>
      <c r="EF3" s="75"/>
      <c r="EG3" s="75"/>
      <c r="EH3" s="75"/>
      <c r="EI3" s="75"/>
      <c r="EJ3" s="75"/>
      <c r="EK3" s="75"/>
      <c r="EL3" s="75"/>
      <c r="EM3" s="75"/>
      <c r="EN3" s="75"/>
      <c r="EO3" s="75"/>
      <c r="EP3" s="75"/>
      <c r="EQ3" s="75"/>
      <c r="ER3" s="75"/>
      <c r="ES3" s="75"/>
      <c r="ET3" s="75"/>
      <c r="EU3" s="75"/>
      <c r="EV3" s="75"/>
      <c r="EW3" s="75"/>
      <c r="EX3" s="75"/>
      <c r="EY3" s="75"/>
      <c r="EZ3" s="75"/>
      <c r="FA3" s="75"/>
      <c r="FB3" s="75"/>
      <c r="FC3" s="75"/>
      <c r="FD3" s="75"/>
      <c r="FE3" s="75"/>
      <c r="FF3" s="75"/>
      <c r="FG3" s="75"/>
      <c r="FH3" s="75"/>
      <c r="FI3" s="75"/>
      <c r="FJ3" s="75"/>
      <c r="FK3" s="75"/>
      <c r="FL3" s="75"/>
      <c r="FM3" s="75"/>
      <c r="FN3" s="75"/>
      <c r="FO3" s="75"/>
      <c r="FP3" s="75"/>
      <c r="FQ3" s="75"/>
      <c r="FR3" s="75"/>
      <c r="FS3" s="75"/>
      <c r="FT3" s="75"/>
      <c r="FU3" s="75"/>
      <c r="FV3" s="75"/>
      <c r="FW3" s="75"/>
      <c r="FX3" s="75"/>
      <c r="FY3" s="75"/>
      <c r="FZ3" s="75"/>
      <c r="GA3" s="75"/>
      <c r="GB3" s="75"/>
      <c r="GC3" s="75"/>
      <c r="GD3" s="75"/>
      <c r="GE3" s="75"/>
      <c r="GF3" s="75"/>
      <c r="GG3" s="75"/>
      <c r="GH3" s="75"/>
      <c r="GI3" s="75"/>
      <c r="GJ3" s="75"/>
      <c r="GK3" s="75"/>
      <c r="GL3" s="75"/>
      <c r="GM3" s="75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</row>
    <row r="4" spans="1:222" ht="52.5" customHeight="1">
      <c r="A4" s="78"/>
      <c r="B4" s="79"/>
      <c r="C4" s="80" t="s">
        <v>151</v>
      </c>
      <c r="D4" s="81"/>
      <c r="E4" s="78">
        <v>2</v>
      </c>
      <c r="F4" s="78">
        <f t="shared" ref="F4:HC4" si="2">E4+1</f>
        <v>3</v>
      </c>
      <c r="G4" s="82">
        <f t="shared" si="2"/>
        <v>4</v>
      </c>
      <c r="H4" s="78">
        <f t="shared" si="2"/>
        <v>5</v>
      </c>
      <c r="I4" s="78">
        <f t="shared" si="2"/>
        <v>6</v>
      </c>
      <c r="J4" s="78">
        <f t="shared" si="2"/>
        <v>7</v>
      </c>
      <c r="K4" s="78">
        <f t="shared" si="2"/>
        <v>8</v>
      </c>
      <c r="L4" s="78">
        <f t="shared" si="2"/>
        <v>9</v>
      </c>
      <c r="M4" s="78">
        <f t="shared" si="2"/>
        <v>10</v>
      </c>
      <c r="N4" s="78">
        <f t="shared" si="2"/>
        <v>11</v>
      </c>
      <c r="O4" s="83">
        <f t="shared" si="2"/>
        <v>12</v>
      </c>
      <c r="P4" s="78">
        <f t="shared" si="2"/>
        <v>13</v>
      </c>
      <c r="Q4" s="78">
        <f t="shared" si="2"/>
        <v>14</v>
      </c>
      <c r="R4" s="78">
        <f t="shared" si="2"/>
        <v>15</v>
      </c>
      <c r="S4" s="78">
        <f t="shared" si="2"/>
        <v>16</v>
      </c>
      <c r="T4" s="78">
        <f t="shared" si="2"/>
        <v>17</v>
      </c>
      <c r="U4" s="78">
        <f t="shared" si="2"/>
        <v>18</v>
      </c>
      <c r="V4" s="78">
        <f t="shared" si="2"/>
        <v>19</v>
      </c>
      <c r="W4" s="78">
        <f t="shared" si="2"/>
        <v>20</v>
      </c>
      <c r="X4" s="82">
        <f t="shared" si="2"/>
        <v>21</v>
      </c>
      <c r="Y4" s="78">
        <f t="shared" si="2"/>
        <v>22</v>
      </c>
      <c r="Z4" s="78">
        <f t="shared" si="2"/>
        <v>23</v>
      </c>
      <c r="AA4" s="78">
        <f t="shared" si="2"/>
        <v>24</v>
      </c>
      <c r="AB4" s="78">
        <f t="shared" si="2"/>
        <v>25</v>
      </c>
      <c r="AC4" s="78">
        <f t="shared" si="2"/>
        <v>26</v>
      </c>
      <c r="AD4" s="78">
        <f t="shared" si="2"/>
        <v>27</v>
      </c>
      <c r="AE4" s="78">
        <f t="shared" si="2"/>
        <v>28</v>
      </c>
      <c r="AF4" s="83">
        <f t="shared" si="2"/>
        <v>29</v>
      </c>
      <c r="AG4" s="78">
        <f t="shared" si="2"/>
        <v>30</v>
      </c>
      <c r="AH4" s="78">
        <f t="shared" si="2"/>
        <v>31</v>
      </c>
      <c r="AI4" s="78">
        <f t="shared" si="2"/>
        <v>32</v>
      </c>
      <c r="AJ4" s="78">
        <f t="shared" si="2"/>
        <v>33</v>
      </c>
      <c r="AK4" s="78">
        <f t="shared" si="2"/>
        <v>34</v>
      </c>
      <c r="AL4" s="78">
        <f t="shared" si="2"/>
        <v>35</v>
      </c>
      <c r="AM4" s="78">
        <f t="shared" si="2"/>
        <v>36</v>
      </c>
      <c r="AN4" s="78">
        <f t="shared" si="2"/>
        <v>37</v>
      </c>
      <c r="AO4" s="82">
        <f t="shared" si="2"/>
        <v>38</v>
      </c>
      <c r="AP4" s="78">
        <f t="shared" si="2"/>
        <v>39</v>
      </c>
      <c r="AQ4" s="78">
        <f t="shared" si="2"/>
        <v>40</v>
      </c>
      <c r="AR4" s="78">
        <f t="shared" si="2"/>
        <v>41</v>
      </c>
      <c r="AS4" s="78">
        <f t="shared" si="2"/>
        <v>42</v>
      </c>
      <c r="AT4" s="78">
        <f t="shared" si="2"/>
        <v>43</v>
      </c>
      <c r="AU4" s="78">
        <f t="shared" si="2"/>
        <v>44</v>
      </c>
      <c r="AV4" s="78">
        <f t="shared" si="2"/>
        <v>45</v>
      </c>
      <c r="AW4" s="83">
        <f t="shared" si="2"/>
        <v>46</v>
      </c>
      <c r="AX4" s="78">
        <f t="shared" si="2"/>
        <v>47</v>
      </c>
      <c r="AY4" s="78">
        <f t="shared" si="2"/>
        <v>48</v>
      </c>
      <c r="AZ4" s="78">
        <f t="shared" si="2"/>
        <v>49</v>
      </c>
      <c r="BA4" s="78">
        <f t="shared" si="2"/>
        <v>50</v>
      </c>
      <c r="BB4" s="78">
        <f t="shared" si="2"/>
        <v>51</v>
      </c>
      <c r="BC4" s="78">
        <f t="shared" si="2"/>
        <v>52</v>
      </c>
      <c r="BD4" s="78">
        <f t="shared" si="2"/>
        <v>53</v>
      </c>
      <c r="BE4" s="78">
        <f t="shared" si="2"/>
        <v>54</v>
      </c>
      <c r="BF4" s="82">
        <f t="shared" si="2"/>
        <v>55</v>
      </c>
      <c r="BG4" s="78">
        <f t="shared" si="2"/>
        <v>56</v>
      </c>
      <c r="BH4" s="78">
        <f t="shared" si="2"/>
        <v>57</v>
      </c>
      <c r="BI4" s="78">
        <f t="shared" si="2"/>
        <v>58</v>
      </c>
      <c r="BJ4" s="78">
        <f t="shared" si="2"/>
        <v>59</v>
      </c>
      <c r="BK4" s="78">
        <f t="shared" si="2"/>
        <v>60</v>
      </c>
      <c r="BL4" s="78">
        <f t="shared" si="2"/>
        <v>61</v>
      </c>
      <c r="BM4" s="78">
        <f t="shared" si="2"/>
        <v>62</v>
      </c>
      <c r="BN4" s="83">
        <f t="shared" si="2"/>
        <v>63</v>
      </c>
      <c r="BO4" s="78">
        <f t="shared" si="2"/>
        <v>64</v>
      </c>
      <c r="BP4" s="78">
        <f t="shared" si="2"/>
        <v>65</v>
      </c>
      <c r="BQ4" s="78">
        <f t="shared" si="2"/>
        <v>66</v>
      </c>
      <c r="BR4" s="78">
        <f t="shared" si="2"/>
        <v>67</v>
      </c>
      <c r="BS4" s="78">
        <f t="shared" si="2"/>
        <v>68</v>
      </c>
      <c r="BT4" s="78">
        <f t="shared" si="2"/>
        <v>69</v>
      </c>
      <c r="BU4" s="78">
        <f t="shared" si="2"/>
        <v>70</v>
      </c>
      <c r="BV4" s="78">
        <f t="shared" si="2"/>
        <v>71</v>
      </c>
      <c r="BW4" s="82">
        <f t="shared" si="2"/>
        <v>72</v>
      </c>
      <c r="BX4" s="78">
        <f t="shared" si="2"/>
        <v>73</v>
      </c>
      <c r="BY4" s="78">
        <f t="shared" si="2"/>
        <v>74</v>
      </c>
      <c r="BZ4" s="78">
        <f t="shared" si="2"/>
        <v>75</v>
      </c>
      <c r="CA4" s="78">
        <f t="shared" si="2"/>
        <v>76</v>
      </c>
      <c r="CB4" s="78">
        <f t="shared" si="2"/>
        <v>77</v>
      </c>
      <c r="CC4" s="78">
        <f t="shared" si="2"/>
        <v>78</v>
      </c>
      <c r="CD4" s="78">
        <f t="shared" si="2"/>
        <v>79</v>
      </c>
      <c r="CE4" s="83">
        <f t="shared" si="2"/>
        <v>80</v>
      </c>
      <c r="CF4" s="78">
        <f t="shared" si="2"/>
        <v>81</v>
      </c>
      <c r="CG4" s="78">
        <f t="shared" si="2"/>
        <v>82</v>
      </c>
      <c r="CH4" s="78">
        <f t="shared" si="2"/>
        <v>83</v>
      </c>
      <c r="CI4" s="78">
        <f t="shared" si="2"/>
        <v>84</v>
      </c>
      <c r="CJ4" s="78">
        <f t="shared" si="2"/>
        <v>85</v>
      </c>
      <c r="CK4" s="78">
        <f t="shared" si="2"/>
        <v>86</v>
      </c>
      <c r="CL4" s="78">
        <f t="shared" si="2"/>
        <v>87</v>
      </c>
      <c r="CM4" s="78">
        <f t="shared" si="2"/>
        <v>88</v>
      </c>
      <c r="CN4" s="82">
        <f t="shared" si="2"/>
        <v>89</v>
      </c>
      <c r="CO4" s="78">
        <f t="shared" si="2"/>
        <v>90</v>
      </c>
      <c r="CP4" s="78">
        <f t="shared" si="2"/>
        <v>91</v>
      </c>
      <c r="CQ4" s="78">
        <f t="shared" si="2"/>
        <v>92</v>
      </c>
      <c r="CR4" s="78">
        <f t="shared" si="2"/>
        <v>93</v>
      </c>
      <c r="CS4" s="78">
        <f t="shared" si="2"/>
        <v>94</v>
      </c>
      <c r="CT4" s="78">
        <f t="shared" si="2"/>
        <v>95</v>
      </c>
      <c r="CU4" s="78">
        <f t="shared" si="2"/>
        <v>96</v>
      </c>
      <c r="CV4" s="83">
        <f t="shared" si="2"/>
        <v>97</v>
      </c>
      <c r="CW4" s="78">
        <f t="shared" si="2"/>
        <v>98</v>
      </c>
      <c r="CX4" s="78">
        <f t="shared" si="2"/>
        <v>99</v>
      </c>
      <c r="CY4" s="78">
        <f t="shared" si="2"/>
        <v>100</v>
      </c>
      <c r="CZ4" s="78">
        <f t="shared" si="2"/>
        <v>101</v>
      </c>
      <c r="DA4" s="78">
        <f t="shared" si="2"/>
        <v>102</v>
      </c>
      <c r="DB4" s="78">
        <f t="shared" si="2"/>
        <v>103</v>
      </c>
      <c r="DC4" s="78">
        <f t="shared" si="2"/>
        <v>104</v>
      </c>
      <c r="DD4" s="78">
        <f t="shared" si="2"/>
        <v>105</v>
      </c>
      <c r="DE4" s="82">
        <f t="shared" si="2"/>
        <v>106</v>
      </c>
      <c r="DF4" s="78">
        <f t="shared" si="2"/>
        <v>107</v>
      </c>
      <c r="DG4" s="78">
        <f t="shared" si="2"/>
        <v>108</v>
      </c>
      <c r="DH4" s="78">
        <f t="shared" si="2"/>
        <v>109</v>
      </c>
      <c r="DI4" s="78">
        <f t="shared" si="2"/>
        <v>110</v>
      </c>
      <c r="DJ4" s="78">
        <f t="shared" si="2"/>
        <v>111</v>
      </c>
      <c r="DK4" s="78">
        <f t="shared" si="2"/>
        <v>112</v>
      </c>
      <c r="DL4" s="78">
        <f t="shared" si="2"/>
        <v>113</v>
      </c>
      <c r="DM4" s="83">
        <f t="shared" si="2"/>
        <v>114</v>
      </c>
      <c r="DN4" s="78">
        <f t="shared" si="2"/>
        <v>115</v>
      </c>
      <c r="DO4" s="78">
        <f t="shared" si="2"/>
        <v>116</v>
      </c>
      <c r="DP4" s="78">
        <f t="shared" si="2"/>
        <v>117</v>
      </c>
      <c r="DQ4" s="78">
        <f t="shared" si="2"/>
        <v>118</v>
      </c>
      <c r="DR4" s="78">
        <f t="shared" si="2"/>
        <v>119</v>
      </c>
      <c r="DS4" s="78">
        <f t="shared" si="2"/>
        <v>120</v>
      </c>
      <c r="DT4" s="78">
        <f t="shared" si="2"/>
        <v>121</v>
      </c>
      <c r="DU4" s="78">
        <f t="shared" si="2"/>
        <v>122</v>
      </c>
      <c r="DV4" s="82">
        <f t="shared" si="2"/>
        <v>123</v>
      </c>
      <c r="DW4" s="78">
        <f t="shared" si="2"/>
        <v>124</v>
      </c>
      <c r="DX4" s="78">
        <f t="shared" si="2"/>
        <v>125</v>
      </c>
      <c r="DY4" s="78">
        <f t="shared" si="2"/>
        <v>126</v>
      </c>
      <c r="DZ4" s="78">
        <f t="shared" si="2"/>
        <v>127</v>
      </c>
      <c r="EA4" s="78">
        <f t="shared" si="2"/>
        <v>128</v>
      </c>
      <c r="EB4" s="78">
        <f t="shared" si="2"/>
        <v>129</v>
      </c>
      <c r="EC4" s="78">
        <f t="shared" si="2"/>
        <v>130</v>
      </c>
      <c r="ED4" s="83">
        <f t="shared" si="2"/>
        <v>131</v>
      </c>
      <c r="EE4" s="78">
        <f t="shared" si="2"/>
        <v>132</v>
      </c>
      <c r="EF4" s="78">
        <f t="shared" si="2"/>
        <v>133</v>
      </c>
      <c r="EG4" s="78">
        <f t="shared" si="2"/>
        <v>134</v>
      </c>
      <c r="EH4" s="78">
        <f t="shared" si="2"/>
        <v>135</v>
      </c>
      <c r="EI4" s="78">
        <f t="shared" si="2"/>
        <v>136</v>
      </c>
      <c r="EJ4" s="78">
        <f t="shared" si="2"/>
        <v>137</v>
      </c>
      <c r="EK4" s="78">
        <f t="shared" si="2"/>
        <v>138</v>
      </c>
      <c r="EL4" s="78">
        <f t="shared" si="2"/>
        <v>139</v>
      </c>
      <c r="EM4" s="82">
        <f t="shared" si="2"/>
        <v>140</v>
      </c>
      <c r="EN4" s="78">
        <f t="shared" si="2"/>
        <v>141</v>
      </c>
      <c r="EO4" s="78">
        <f t="shared" si="2"/>
        <v>142</v>
      </c>
      <c r="EP4" s="78">
        <f t="shared" si="2"/>
        <v>143</v>
      </c>
      <c r="EQ4" s="78">
        <f t="shared" si="2"/>
        <v>144</v>
      </c>
      <c r="ER4" s="78">
        <f t="shared" si="2"/>
        <v>145</v>
      </c>
      <c r="ES4" s="78">
        <f t="shared" si="2"/>
        <v>146</v>
      </c>
      <c r="ET4" s="78">
        <f t="shared" si="2"/>
        <v>147</v>
      </c>
      <c r="EU4" s="83">
        <f t="shared" si="2"/>
        <v>148</v>
      </c>
      <c r="EV4" s="78">
        <f t="shared" si="2"/>
        <v>149</v>
      </c>
      <c r="EW4" s="78">
        <f t="shared" si="2"/>
        <v>150</v>
      </c>
      <c r="EX4" s="78">
        <f t="shared" si="2"/>
        <v>151</v>
      </c>
      <c r="EY4" s="78">
        <f t="shared" si="2"/>
        <v>152</v>
      </c>
      <c r="EZ4" s="78">
        <f t="shared" si="2"/>
        <v>153</v>
      </c>
      <c r="FA4" s="78">
        <f t="shared" si="2"/>
        <v>154</v>
      </c>
      <c r="FB4" s="78">
        <f t="shared" si="2"/>
        <v>155</v>
      </c>
      <c r="FC4" s="78">
        <f t="shared" si="2"/>
        <v>156</v>
      </c>
      <c r="FD4" s="82">
        <f t="shared" si="2"/>
        <v>157</v>
      </c>
      <c r="FE4" s="78">
        <f t="shared" si="2"/>
        <v>158</v>
      </c>
      <c r="FF4" s="78">
        <f t="shared" si="2"/>
        <v>159</v>
      </c>
      <c r="FG4" s="78">
        <f t="shared" si="2"/>
        <v>160</v>
      </c>
      <c r="FH4" s="78">
        <f t="shared" si="2"/>
        <v>161</v>
      </c>
      <c r="FI4" s="78">
        <f t="shared" si="2"/>
        <v>162</v>
      </c>
      <c r="FJ4" s="78">
        <f t="shared" si="2"/>
        <v>163</v>
      </c>
      <c r="FK4" s="78">
        <f t="shared" si="2"/>
        <v>164</v>
      </c>
      <c r="FL4" s="83">
        <f t="shared" si="2"/>
        <v>165</v>
      </c>
      <c r="FM4" s="78">
        <f t="shared" si="2"/>
        <v>166</v>
      </c>
      <c r="FN4" s="78">
        <f t="shared" si="2"/>
        <v>167</v>
      </c>
      <c r="FO4" s="78">
        <f t="shared" si="2"/>
        <v>168</v>
      </c>
      <c r="FP4" s="78">
        <f t="shared" si="2"/>
        <v>169</v>
      </c>
      <c r="FQ4" s="78">
        <f t="shared" si="2"/>
        <v>170</v>
      </c>
      <c r="FR4" s="78">
        <f t="shared" si="2"/>
        <v>171</v>
      </c>
      <c r="FS4" s="78">
        <f t="shared" si="2"/>
        <v>172</v>
      </c>
      <c r="FT4" s="78">
        <f t="shared" si="2"/>
        <v>173</v>
      </c>
      <c r="FU4" s="82">
        <f t="shared" si="2"/>
        <v>174</v>
      </c>
      <c r="FV4" s="78">
        <f t="shared" si="2"/>
        <v>175</v>
      </c>
      <c r="FW4" s="78">
        <f t="shared" si="2"/>
        <v>176</v>
      </c>
      <c r="FX4" s="78">
        <f t="shared" si="2"/>
        <v>177</v>
      </c>
      <c r="FY4" s="78">
        <f t="shared" si="2"/>
        <v>178</v>
      </c>
      <c r="FZ4" s="78">
        <f t="shared" si="2"/>
        <v>179</v>
      </c>
      <c r="GA4" s="78">
        <f t="shared" si="2"/>
        <v>180</v>
      </c>
      <c r="GB4" s="78">
        <f t="shared" si="2"/>
        <v>181</v>
      </c>
      <c r="GC4" s="83">
        <f t="shared" si="2"/>
        <v>182</v>
      </c>
      <c r="GD4" s="78">
        <f t="shared" si="2"/>
        <v>183</v>
      </c>
      <c r="GE4" s="78">
        <f t="shared" si="2"/>
        <v>184</v>
      </c>
      <c r="GF4" s="78">
        <f t="shared" si="2"/>
        <v>185</v>
      </c>
      <c r="GG4" s="78">
        <f t="shared" si="2"/>
        <v>186</v>
      </c>
      <c r="GH4" s="78">
        <f t="shared" si="2"/>
        <v>187</v>
      </c>
      <c r="GI4" s="78">
        <f t="shared" si="2"/>
        <v>188</v>
      </c>
      <c r="GJ4" s="78">
        <f t="shared" si="2"/>
        <v>189</v>
      </c>
      <c r="GK4" s="78">
        <f t="shared" si="2"/>
        <v>190</v>
      </c>
      <c r="GL4" s="82">
        <f t="shared" si="2"/>
        <v>191</v>
      </c>
      <c r="GM4" s="78">
        <f t="shared" si="2"/>
        <v>192</v>
      </c>
      <c r="GN4" s="78">
        <f t="shared" si="2"/>
        <v>193</v>
      </c>
      <c r="GO4" s="78">
        <f t="shared" si="2"/>
        <v>194</v>
      </c>
      <c r="GP4" s="78">
        <f t="shared" si="2"/>
        <v>195</v>
      </c>
      <c r="GQ4" s="78">
        <f t="shared" si="2"/>
        <v>196</v>
      </c>
      <c r="GR4" s="78">
        <f t="shared" si="2"/>
        <v>197</v>
      </c>
      <c r="GS4" s="78">
        <f t="shared" si="2"/>
        <v>198</v>
      </c>
      <c r="GT4" s="83">
        <f t="shared" si="2"/>
        <v>199</v>
      </c>
      <c r="GU4" s="78">
        <f t="shared" si="2"/>
        <v>200</v>
      </c>
      <c r="GV4" s="78">
        <f t="shared" si="2"/>
        <v>201</v>
      </c>
      <c r="GW4" s="78">
        <f t="shared" si="2"/>
        <v>202</v>
      </c>
      <c r="GX4" s="78">
        <f t="shared" si="2"/>
        <v>203</v>
      </c>
      <c r="GY4" s="78">
        <f t="shared" si="2"/>
        <v>204</v>
      </c>
      <c r="GZ4" s="78">
        <f t="shared" si="2"/>
        <v>205</v>
      </c>
      <c r="HA4" s="78">
        <f t="shared" si="2"/>
        <v>206</v>
      </c>
      <c r="HB4" s="78">
        <f t="shared" si="2"/>
        <v>207</v>
      </c>
      <c r="HC4" s="78">
        <f t="shared" si="2"/>
        <v>208</v>
      </c>
      <c r="HD4" s="78"/>
      <c r="HE4" s="78"/>
      <c r="HF4" s="78"/>
      <c r="HG4" s="78"/>
      <c r="HH4" s="78"/>
      <c r="HI4" s="78"/>
      <c r="HJ4" s="78"/>
      <c r="HK4" s="78"/>
      <c r="HL4" s="78"/>
      <c r="HM4" s="78"/>
      <c r="HN4" s="78"/>
    </row>
    <row r="5" spans="1:222" ht="22.5" customHeight="1">
      <c r="A5" s="1"/>
      <c r="B5" s="948" t="s">
        <v>152</v>
      </c>
      <c r="C5" s="949"/>
      <c r="D5" s="950"/>
      <c r="E5" s="84" t="s">
        <v>153</v>
      </c>
      <c r="F5" s="85"/>
      <c r="G5" s="951" t="s">
        <v>154</v>
      </c>
      <c r="H5" s="944"/>
      <c r="I5" s="944"/>
      <c r="J5" s="944"/>
      <c r="K5" s="944"/>
      <c r="L5" s="944"/>
      <c r="M5" s="944"/>
      <c r="N5" s="944"/>
      <c r="O5" s="944"/>
      <c r="P5" s="944"/>
      <c r="Q5" s="944"/>
      <c r="R5" s="944"/>
      <c r="S5" s="944"/>
      <c r="T5" s="944"/>
      <c r="U5" s="944"/>
      <c r="V5" s="944"/>
      <c r="W5" s="944"/>
      <c r="X5" s="952" t="str">
        <f>G5</f>
        <v xml:space="preserve"> S E R V I Ç O S     -    INTERPRETE DE LIBRAS e SINAIS </v>
      </c>
      <c r="Y5" s="944"/>
      <c r="Z5" s="944"/>
      <c r="AA5" s="944"/>
      <c r="AB5" s="944"/>
      <c r="AC5" s="944"/>
      <c r="AD5" s="944"/>
      <c r="AE5" s="944"/>
      <c r="AF5" s="944"/>
      <c r="AG5" s="944"/>
      <c r="AH5" s="944"/>
      <c r="AI5" s="944"/>
      <c r="AJ5" s="944"/>
      <c r="AK5" s="944"/>
      <c r="AL5" s="944"/>
      <c r="AM5" s="944"/>
      <c r="AN5" s="944"/>
      <c r="AO5" s="943" t="str">
        <f>X5</f>
        <v xml:space="preserve"> S E R V I Ç O S     -    INTERPRETE DE LIBRAS e SINAIS </v>
      </c>
      <c r="AP5" s="944"/>
      <c r="AQ5" s="944"/>
      <c r="AR5" s="944"/>
      <c r="AS5" s="944"/>
      <c r="AT5" s="944"/>
      <c r="AU5" s="944"/>
      <c r="AV5" s="944"/>
      <c r="AW5" s="944"/>
      <c r="AX5" s="944"/>
      <c r="AY5" s="944"/>
      <c r="AZ5" s="944"/>
      <c r="BA5" s="944"/>
      <c r="BB5" s="944"/>
      <c r="BC5" s="944"/>
      <c r="BD5" s="944"/>
      <c r="BE5" s="944"/>
      <c r="BF5" s="953" t="str">
        <f>AO5</f>
        <v xml:space="preserve"> S E R V I Ç O S     -    INTERPRETE DE LIBRAS e SINAIS </v>
      </c>
      <c r="BG5" s="954"/>
      <c r="BH5" s="954"/>
      <c r="BI5" s="954"/>
      <c r="BJ5" s="954"/>
      <c r="BK5" s="954"/>
      <c r="BL5" s="954"/>
      <c r="BM5" s="954"/>
      <c r="BN5" s="954"/>
      <c r="BO5" s="954"/>
      <c r="BP5" s="954"/>
      <c r="BQ5" s="954"/>
      <c r="BR5" s="954"/>
      <c r="BS5" s="954"/>
      <c r="BT5" s="954"/>
      <c r="BU5" s="954"/>
      <c r="BV5" s="954"/>
      <c r="BW5" s="943" t="str">
        <f>AO5</f>
        <v xml:space="preserve"> S E R V I Ç O S     -    INTERPRETE DE LIBRAS e SINAIS </v>
      </c>
      <c r="BX5" s="944"/>
      <c r="BY5" s="944"/>
      <c r="BZ5" s="944"/>
      <c r="CA5" s="944"/>
      <c r="CB5" s="944"/>
      <c r="CC5" s="944"/>
      <c r="CD5" s="944"/>
      <c r="CE5" s="944"/>
      <c r="CF5" s="944"/>
      <c r="CG5" s="944"/>
      <c r="CH5" s="944"/>
      <c r="CI5" s="944"/>
      <c r="CJ5" s="944"/>
      <c r="CK5" s="944"/>
      <c r="CL5" s="944"/>
      <c r="CM5" s="944"/>
      <c r="CN5" s="943" t="str">
        <f>AO5</f>
        <v xml:space="preserve"> S E R V I Ç O S     -    INTERPRETE DE LIBRAS e SINAIS </v>
      </c>
      <c r="CO5" s="944"/>
      <c r="CP5" s="944"/>
      <c r="CQ5" s="944"/>
      <c r="CR5" s="944"/>
      <c r="CS5" s="944"/>
      <c r="CT5" s="944"/>
      <c r="CU5" s="944"/>
      <c r="CV5" s="944"/>
      <c r="CW5" s="944"/>
      <c r="CX5" s="944"/>
      <c r="CY5" s="944"/>
      <c r="CZ5" s="944"/>
      <c r="DA5" s="944"/>
      <c r="DB5" s="944"/>
      <c r="DC5" s="944"/>
      <c r="DD5" s="944"/>
      <c r="DE5" s="943" t="str">
        <f>AO5</f>
        <v xml:space="preserve"> S E R V I Ç O S     -    INTERPRETE DE LIBRAS e SINAIS </v>
      </c>
      <c r="DF5" s="944"/>
      <c r="DG5" s="944"/>
      <c r="DH5" s="944"/>
      <c r="DI5" s="944"/>
      <c r="DJ5" s="944"/>
      <c r="DK5" s="944"/>
      <c r="DL5" s="944"/>
      <c r="DM5" s="944"/>
      <c r="DN5" s="944"/>
      <c r="DO5" s="944"/>
      <c r="DP5" s="944"/>
      <c r="DQ5" s="944"/>
      <c r="DR5" s="944"/>
      <c r="DS5" s="944"/>
      <c r="DT5" s="944"/>
      <c r="DU5" s="944"/>
      <c r="DV5" s="943" t="str">
        <f>AO5</f>
        <v xml:space="preserve"> S E R V I Ç O S     -    INTERPRETE DE LIBRAS e SINAIS </v>
      </c>
      <c r="DW5" s="944"/>
      <c r="DX5" s="944"/>
      <c r="DY5" s="944"/>
      <c r="DZ5" s="944"/>
      <c r="EA5" s="944"/>
      <c r="EB5" s="944"/>
      <c r="EC5" s="944"/>
      <c r="ED5" s="944"/>
      <c r="EE5" s="944"/>
      <c r="EF5" s="944"/>
      <c r="EG5" s="944"/>
      <c r="EH5" s="944"/>
      <c r="EI5" s="944"/>
      <c r="EJ5" s="944"/>
      <c r="EK5" s="944"/>
      <c r="EL5" s="944"/>
      <c r="EM5" s="945" t="str">
        <f>AO5</f>
        <v xml:space="preserve"> S E R V I Ç O S     -    INTERPRETE DE LIBRAS e SINAIS </v>
      </c>
      <c r="EN5" s="944"/>
      <c r="EO5" s="944"/>
      <c r="EP5" s="944"/>
      <c r="EQ5" s="944"/>
      <c r="ER5" s="944"/>
      <c r="ES5" s="944"/>
      <c r="ET5" s="944"/>
      <c r="EU5" s="944"/>
      <c r="EV5" s="944"/>
      <c r="EW5" s="944"/>
      <c r="EX5" s="944"/>
      <c r="EY5" s="944"/>
      <c r="EZ5" s="944"/>
      <c r="FA5" s="944"/>
      <c r="FB5" s="944"/>
      <c r="FC5" s="944"/>
      <c r="FD5" s="945" t="str">
        <f>AO5</f>
        <v xml:space="preserve"> S E R V I Ç O S     -    INTERPRETE DE LIBRAS e SINAIS </v>
      </c>
      <c r="FE5" s="944"/>
      <c r="FF5" s="944"/>
      <c r="FG5" s="944"/>
      <c r="FH5" s="944"/>
      <c r="FI5" s="944"/>
      <c r="FJ5" s="944"/>
      <c r="FK5" s="944"/>
      <c r="FL5" s="944"/>
      <c r="FM5" s="944"/>
      <c r="FN5" s="944"/>
      <c r="FO5" s="944"/>
      <c r="FP5" s="944"/>
      <c r="FQ5" s="944"/>
      <c r="FR5" s="944"/>
      <c r="FS5" s="944"/>
      <c r="FT5" s="944"/>
      <c r="FU5" s="945" t="str">
        <f>AO5</f>
        <v xml:space="preserve"> S E R V I Ç O S     -    INTERPRETE DE LIBRAS e SINAIS </v>
      </c>
      <c r="FV5" s="944"/>
      <c r="FW5" s="944"/>
      <c r="FX5" s="944"/>
      <c r="FY5" s="944"/>
      <c r="FZ5" s="944"/>
      <c r="GA5" s="944"/>
      <c r="GB5" s="944"/>
      <c r="GC5" s="944"/>
      <c r="GD5" s="944"/>
      <c r="GE5" s="944"/>
      <c r="GF5" s="944"/>
      <c r="GG5" s="944"/>
      <c r="GH5" s="944"/>
      <c r="GI5" s="944"/>
      <c r="GJ5" s="944"/>
      <c r="GK5" s="944"/>
      <c r="GL5" s="945" t="str">
        <f>AO5</f>
        <v xml:space="preserve"> S E R V I Ç O S     -    INTERPRETE DE LIBRAS e SINAIS </v>
      </c>
      <c r="GM5" s="944"/>
      <c r="GN5" s="944"/>
      <c r="GO5" s="944"/>
      <c r="GP5" s="944"/>
      <c r="GQ5" s="944"/>
      <c r="GR5" s="944"/>
      <c r="GS5" s="944"/>
      <c r="GT5" s="944"/>
      <c r="GU5" s="944"/>
      <c r="GV5" s="944"/>
      <c r="GW5" s="944"/>
      <c r="GX5" s="944"/>
      <c r="GY5" s="944"/>
      <c r="GZ5" s="944"/>
      <c r="HA5" s="944"/>
      <c r="HB5" s="944"/>
      <c r="HC5" s="86"/>
      <c r="HD5" s="86"/>
      <c r="HE5" s="86"/>
      <c r="HF5" s="86"/>
      <c r="HG5" s="86"/>
      <c r="HH5" s="86"/>
      <c r="HI5" s="86"/>
      <c r="HJ5" s="86"/>
      <c r="HK5" s="86"/>
      <c r="HL5" s="86"/>
      <c r="HM5" s="86"/>
      <c r="HN5" s="86"/>
    </row>
    <row r="6" spans="1:222" ht="24.75" customHeight="1">
      <c r="A6" s="87"/>
      <c r="B6" s="988" t="s">
        <v>155</v>
      </c>
      <c r="C6" s="988" t="s">
        <v>156</v>
      </c>
      <c r="D6" s="988" t="s">
        <v>157</v>
      </c>
      <c r="E6" s="991" t="s">
        <v>158</v>
      </c>
      <c r="F6" s="992" t="s">
        <v>159</v>
      </c>
      <c r="G6" s="993" t="s">
        <v>160</v>
      </c>
      <c r="H6" s="929"/>
      <c r="I6" s="929"/>
      <c r="J6" s="929"/>
      <c r="K6" s="929"/>
      <c r="L6" s="929"/>
      <c r="M6" s="929"/>
      <c r="N6" s="929"/>
      <c r="O6" s="929"/>
      <c r="P6" s="929"/>
      <c r="Q6" s="929"/>
      <c r="R6" s="929"/>
      <c r="S6" s="929"/>
      <c r="T6" s="929"/>
      <c r="U6" s="929"/>
      <c r="V6" s="929"/>
      <c r="W6" s="930"/>
      <c r="X6" s="994" t="s">
        <v>161</v>
      </c>
      <c r="Y6" s="929"/>
      <c r="Z6" s="929"/>
      <c r="AA6" s="929"/>
      <c r="AB6" s="929"/>
      <c r="AC6" s="929"/>
      <c r="AD6" s="929"/>
      <c r="AE6" s="929"/>
      <c r="AF6" s="929"/>
      <c r="AG6" s="929"/>
      <c r="AH6" s="929"/>
      <c r="AI6" s="929"/>
      <c r="AJ6" s="929"/>
      <c r="AK6" s="929"/>
      <c r="AL6" s="929"/>
      <c r="AM6" s="929"/>
      <c r="AN6" s="930"/>
      <c r="AO6" s="955" t="s">
        <v>162</v>
      </c>
      <c r="AP6" s="929"/>
      <c r="AQ6" s="929"/>
      <c r="AR6" s="929"/>
      <c r="AS6" s="929"/>
      <c r="AT6" s="929"/>
      <c r="AU6" s="929"/>
      <c r="AV6" s="929"/>
      <c r="AW6" s="929"/>
      <c r="AX6" s="929"/>
      <c r="AY6" s="929"/>
      <c r="AZ6" s="929"/>
      <c r="BA6" s="929"/>
      <c r="BB6" s="929"/>
      <c r="BC6" s="929"/>
      <c r="BD6" s="929"/>
      <c r="BE6" s="930"/>
      <c r="BF6" s="955" t="s">
        <v>143</v>
      </c>
      <c r="BG6" s="929"/>
      <c r="BH6" s="929"/>
      <c r="BI6" s="929"/>
      <c r="BJ6" s="929"/>
      <c r="BK6" s="929"/>
      <c r="BL6" s="929"/>
      <c r="BM6" s="929"/>
      <c r="BN6" s="929"/>
      <c r="BO6" s="929"/>
      <c r="BP6" s="929"/>
      <c r="BQ6" s="929"/>
      <c r="BR6" s="929"/>
      <c r="BS6" s="929"/>
      <c r="BT6" s="929"/>
      <c r="BU6" s="929"/>
      <c r="BV6" s="930"/>
      <c r="BW6" s="955" t="s">
        <v>163</v>
      </c>
      <c r="BX6" s="929"/>
      <c r="BY6" s="929"/>
      <c r="BZ6" s="929"/>
      <c r="CA6" s="929"/>
      <c r="CB6" s="929"/>
      <c r="CC6" s="929"/>
      <c r="CD6" s="929"/>
      <c r="CE6" s="929"/>
      <c r="CF6" s="929"/>
      <c r="CG6" s="929"/>
      <c r="CH6" s="929"/>
      <c r="CI6" s="929"/>
      <c r="CJ6" s="929"/>
      <c r="CK6" s="929"/>
      <c r="CL6" s="929"/>
      <c r="CM6" s="930"/>
      <c r="CN6" s="955" t="s">
        <v>164</v>
      </c>
      <c r="CO6" s="929"/>
      <c r="CP6" s="929"/>
      <c r="CQ6" s="929"/>
      <c r="CR6" s="929"/>
      <c r="CS6" s="929"/>
      <c r="CT6" s="929"/>
      <c r="CU6" s="929"/>
      <c r="CV6" s="929"/>
      <c r="CW6" s="929"/>
      <c r="CX6" s="929"/>
      <c r="CY6" s="929"/>
      <c r="CZ6" s="929"/>
      <c r="DA6" s="929"/>
      <c r="DB6" s="929"/>
      <c r="DC6" s="929"/>
      <c r="DD6" s="930"/>
      <c r="DE6" s="955" t="s">
        <v>165</v>
      </c>
      <c r="DF6" s="929"/>
      <c r="DG6" s="929"/>
      <c r="DH6" s="929"/>
      <c r="DI6" s="929"/>
      <c r="DJ6" s="929"/>
      <c r="DK6" s="929"/>
      <c r="DL6" s="929"/>
      <c r="DM6" s="929"/>
      <c r="DN6" s="929"/>
      <c r="DO6" s="929"/>
      <c r="DP6" s="929"/>
      <c r="DQ6" s="929"/>
      <c r="DR6" s="929"/>
      <c r="DS6" s="929"/>
      <c r="DT6" s="929"/>
      <c r="DU6" s="930"/>
      <c r="DV6" s="955" t="s">
        <v>166</v>
      </c>
      <c r="DW6" s="929"/>
      <c r="DX6" s="929"/>
      <c r="DY6" s="929"/>
      <c r="DZ6" s="929"/>
      <c r="EA6" s="929"/>
      <c r="EB6" s="929"/>
      <c r="EC6" s="929"/>
      <c r="ED6" s="929"/>
      <c r="EE6" s="929"/>
      <c r="EF6" s="929"/>
      <c r="EG6" s="929"/>
      <c r="EH6" s="929"/>
      <c r="EI6" s="929"/>
      <c r="EJ6" s="929"/>
      <c r="EK6" s="929"/>
      <c r="EL6" s="930"/>
      <c r="EM6" s="955" t="s">
        <v>167</v>
      </c>
      <c r="EN6" s="929"/>
      <c r="EO6" s="929"/>
      <c r="EP6" s="929"/>
      <c r="EQ6" s="929"/>
      <c r="ER6" s="929"/>
      <c r="ES6" s="929"/>
      <c r="ET6" s="929"/>
      <c r="EU6" s="929"/>
      <c r="EV6" s="929"/>
      <c r="EW6" s="929"/>
      <c r="EX6" s="929"/>
      <c r="EY6" s="929"/>
      <c r="EZ6" s="929"/>
      <c r="FA6" s="929"/>
      <c r="FB6" s="929"/>
      <c r="FC6" s="930"/>
      <c r="FD6" s="928" t="s">
        <v>168</v>
      </c>
      <c r="FE6" s="929"/>
      <c r="FF6" s="929"/>
      <c r="FG6" s="929"/>
      <c r="FH6" s="929"/>
      <c r="FI6" s="929"/>
      <c r="FJ6" s="929"/>
      <c r="FK6" s="929"/>
      <c r="FL6" s="929"/>
      <c r="FM6" s="929"/>
      <c r="FN6" s="929"/>
      <c r="FO6" s="929"/>
      <c r="FP6" s="929"/>
      <c r="FQ6" s="929"/>
      <c r="FR6" s="929"/>
      <c r="FS6" s="929"/>
      <c r="FT6" s="930"/>
      <c r="FU6" s="928" t="s">
        <v>169</v>
      </c>
      <c r="FV6" s="929"/>
      <c r="FW6" s="929"/>
      <c r="FX6" s="929"/>
      <c r="FY6" s="929"/>
      <c r="FZ6" s="929"/>
      <c r="GA6" s="929"/>
      <c r="GB6" s="929"/>
      <c r="GC6" s="929"/>
      <c r="GD6" s="929"/>
      <c r="GE6" s="929"/>
      <c r="GF6" s="929"/>
      <c r="GG6" s="929"/>
      <c r="GH6" s="929"/>
      <c r="GI6" s="929"/>
      <c r="GJ6" s="929"/>
      <c r="GK6" s="930"/>
      <c r="GL6" s="928" t="s">
        <v>170</v>
      </c>
      <c r="GM6" s="929"/>
      <c r="GN6" s="929"/>
      <c r="GO6" s="929"/>
      <c r="GP6" s="929"/>
      <c r="GQ6" s="929"/>
      <c r="GR6" s="929"/>
      <c r="GS6" s="929"/>
      <c r="GT6" s="929"/>
      <c r="GU6" s="929"/>
      <c r="GV6" s="929"/>
      <c r="GW6" s="929"/>
      <c r="GX6" s="929"/>
      <c r="GY6" s="929"/>
      <c r="GZ6" s="929"/>
      <c r="HA6" s="929"/>
      <c r="HB6" s="930"/>
      <c r="HC6" s="88"/>
      <c r="HD6" s="88"/>
      <c r="HE6" s="88"/>
      <c r="HF6" s="88"/>
      <c r="HG6" s="88"/>
      <c r="HH6" s="88"/>
      <c r="HI6" s="88"/>
      <c r="HJ6" s="88"/>
      <c r="HK6" s="88"/>
      <c r="HL6" s="88"/>
      <c r="HM6" s="88"/>
      <c r="HN6" s="88"/>
    </row>
    <row r="7" spans="1:222" ht="97.5" customHeight="1">
      <c r="A7" s="1"/>
      <c r="B7" s="989"/>
      <c r="C7" s="989"/>
      <c r="D7" s="989"/>
      <c r="E7" s="989"/>
      <c r="F7" s="989"/>
      <c r="G7" s="966" t="s">
        <v>171</v>
      </c>
      <c r="H7" s="89" t="s">
        <v>172</v>
      </c>
      <c r="I7" s="969" t="s">
        <v>173</v>
      </c>
      <c r="J7" s="956" t="s">
        <v>174</v>
      </c>
      <c r="K7" s="959" t="s">
        <v>175</v>
      </c>
      <c r="L7" s="960"/>
      <c r="M7" s="961"/>
      <c r="N7" s="959"/>
      <c r="O7" s="960"/>
      <c r="P7" s="961"/>
      <c r="Q7" s="977" t="s">
        <v>176</v>
      </c>
      <c r="R7" s="977" t="s">
        <v>177</v>
      </c>
      <c r="S7" s="90" t="s">
        <v>178</v>
      </c>
      <c r="T7" s="90" t="s">
        <v>179</v>
      </c>
      <c r="U7" s="91" t="s">
        <v>180</v>
      </c>
      <c r="V7" s="980" t="s">
        <v>181</v>
      </c>
      <c r="W7" s="980" t="s">
        <v>182</v>
      </c>
      <c r="X7" s="981" t="s">
        <v>171</v>
      </c>
      <c r="Y7" s="92" t="s">
        <v>172</v>
      </c>
      <c r="Z7" s="978" t="s">
        <v>173</v>
      </c>
      <c r="AA7" s="979" t="s">
        <v>174</v>
      </c>
      <c r="AB7" s="982" t="s">
        <v>175</v>
      </c>
      <c r="AC7" s="923"/>
      <c r="AD7" s="924"/>
      <c r="AE7" s="982" t="s">
        <v>183</v>
      </c>
      <c r="AF7" s="923"/>
      <c r="AG7" s="924"/>
      <c r="AH7" s="983" t="s">
        <v>176</v>
      </c>
      <c r="AI7" s="995" t="s">
        <v>177</v>
      </c>
      <c r="AJ7" s="93" t="s">
        <v>178</v>
      </c>
      <c r="AK7" s="93" t="s">
        <v>179</v>
      </c>
      <c r="AL7" s="94" t="s">
        <v>180</v>
      </c>
      <c r="AM7" s="996" t="s">
        <v>181</v>
      </c>
      <c r="AN7" s="996" t="s">
        <v>182</v>
      </c>
      <c r="AO7" s="973" t="s">
        <v>171</v>
      </c>
      <c r="AP7" s="95" t="s">
        <v>172</v>
      </c>
      <c r="AQ7" s="965" t="s">
        <v>173</v>
      </c>
      <c r="AR7" s="933" t="s">
        <v>174</v>
      </c>
      <c r="AS7" s="931" t="s">
        <v>175</v>
      </c>
      <c r="AT7" s="923"/>
      <c r="AU7" s="924"/>
      <c r="AV7" s="931" t="s">
        <v>184</v>
      </c>
      <c r="AW7" s="923"/>
      <c r="AX7" s="924"/>
      <c r="AY7" s="932" t="s">
        <v>176</v>
      </c>
      <c r="AZ7" s="933" t="s">
        <v>177</v>
      </c>
      <c r="BA7" s="96" t="s">
        <v>178</v>
      </c>
      <c r="BB7" s="96" t="s">
        <v>179</v>
      </c>
      <c r="BC7" s="95" t="s">
        <v>180</v>
      </c>
      <c r="BD7" s="932" t="s">
        <v>181</v>
      </c>
      <c r="BE7" s="932" t="s">
        <v>182</v>
      </c>
      <c r="BF7" s="973" t="s">
        <v>171</v>
      </c>
      <c r="BG7" s="95" t="s">
        <v>172</v>
      </c>
      <c r="BH7" s="965" t="s">
        <v>173</v>
      </c>
      <c r="BI7" s="933" t="s">
        <v>174</v>
      </c>
      <c r="BJ7" s="931" t="s">
        <v>175</v>
      </c>
      <c r="BK7" s="923"/>
      <c r="BL7" s="924"/>
      <c r="BM7" s="931" t="s">
        <v>183</v>
      </c>
      <c r="BN7" s="923"/>
      <c r="BO7" s="924"/>
      <c r="BP7" s="932" t="s">
        <v>185</v>
      </c>
      <c r="BQ7" s="933" t="s">
        <v>186</v>
      </c>
      <c r="BR7" s="96" t="s">
        <v>178</v>
      </c>
      <c r="BS7" s="96" t="s">
        <v>179</v>
      </c>
      <c r="BT7" s="95" t="s">
        <v>180</v>
      </c>
      <c r="BU7" s="933" t="s">
        <v>179</v>
      </c>
      <c r="BV7" s="970" t="s">
        <v>187</v>
      </c>
      <c r="BW7" s="973" t="s">
        <v>171</v>
      </c>
      <c r="BX7" s="95" t="s">
        <v>172</v>
      </c>
      <c r="BY7" s="965" t="s">
        <v>173</v>
      </c>
      <c r="BZ7" s="933" t="s">
        <v>174</v>
      </c>
      <c r="CA7" s="931" t="s">
        <v>175</v>
      </c>
      <c r="CB7" s="923"/>
      <c r="CC7" s="924"/>
      <c r="CD7" s="931" t="s">
        <v>183</v>
      </c>
      <c r="CE7" s="923"/>
      <c r="CF7" s="924"/>
      <c r="CG7" s="932" t="s">
        <v>185</v>
      </c>
      <c r="CH7" s="933" t="s">
        <v>186</v>
      </c>
      <c r="CI7" s="96" t="s">
        <v>178</v>
      </c>
      <c r="CJ7" s="96" t="s">
        <v>179</v>
      </c>
      <c r="CK7" s="95" t="s">
        <v>180</v>
      </c>
      <c r="CL7" s="96" t="s">
        <v>188</v>
      </c>
      <c r="CM7" s="932" t="s">
        <v>188</v>
      </c>
      <c r="CN7" s="973" t="s">
        <v>171</v>
      </c>
      <c r="CO7" s="95" t="s">
        <v>172</v>
      </c>
      <c r="CP7" s="965" t="s">
        <v>173</v>
      </c>
      <c r="CQ7" s="933" t="s">
        <v>174</v>
      </c>
      <c r="CR7" s="931" t="s">
        <v>175</v>
      </c>
      <c r="CS7" s="923"/>
      <c r="CT7" s="924"/>
      <c r="CU7" s="931" t="s">
        <v>183</v>
      </c>
      <c r="CV7" s="923"/>
      <c r="CW7" s="924"/>
      <c r="CX7" s="932" t="s">
        <v>185</v>
      </c>
      <c r="CY7" s="933" t="s">
        <v>186</v>
      </c>
      <c r="CZ7" s="96" t="s">
        <v>178</v>
      </c>
      <c r="DA7" s="96" t="s">
        <v>179</v>
      </c>
      <c r="DB7" s="95" t="s">
        <v>180</v>
      </c>
      <c r="DC7" s="96" t="s">
        <v>188</v>
      </c>
      <c r="DD7" s="932" t="s">
        <v>188</v>
      </c>
      <c r="DE7" s="973" t="s">
        <v>171</v>
      </c>
      <c r="DF7" s="95" t="s">
        <v>172</v>
      </c>
      <c r="DG7" s="965" t="s">
        <v>173</v>
      </c>
      <c r="DH7" s="933" t="s">
        <v>174</v>
      </c>
      <c r="DI7" s="931" t="s">
        <v>175</v>
      </c>
      <c r="DJ7" s="923"/>
      <c r="DK7" s="924"/>
      <c r="DL7" s="931" t="s">
        <v>183</v>
      </c>
      <c r="DM7" s="923"/>
      <c r="DN7" s="924"/>
      <c r="DO7" s="932" t="s">
        <v>185</v>
      </c>
      <c r="DP7" s="933" t="s">
        <v>186</v>
      </c>
      <c r="DQ7" s="96" t="s">
        <v>178</v>
      </c>
      <c r="DR7" s="96" t="s">
        <v>179</v>
      </c>
      <c r="DS7" s="95" t="s">
        <v>180</v>
      </c>
      <c r="DT7" s="96" t="s">
        <v>188</v>
      </c>
      <c r="DU7" s="932" t="s">
        <v>188</v>
      </c>
      <c r="DV7" s="973" t="s">
        <v>171</v>
      </c>
      <c r="DW7" s="95" t="s">
        <v>172</v>
      </c>
      <c r="DX7" s="965" t="s">
        <v>173</v>
      </c>
      <c r="DY7" s="933" t="s">
        <v>174</v>
      </c>
      <c r="DZ7" s="931" t="s">
        <v>175</v>
      </c>
      <c r="EA7" s="923"/>
      <c r="EB7" s="924"/>
      <c r="EC7" s="931" t="s">
        <v>183</v>
      </c>
      <c r="ED7" s="923"/>
      <c r="EE7" s="924"/>
      <c r="EF7" s="932" t="s">
        <v>185</v>
      </c>
      <c r="EG7" s="933" t="s">
        <v>186</v>
      </c>
      <c r="EH7" s="96" t="s">
        <v>178</v>
      </c>
      <c r="EI7" s="96" t="s">
        <v>179</v>
      </c>
      <c r="EJ7" s="95" t="s">
        <v>180</v>
      </c>
      <c r="EK7" s="96" t="s">
        <v>188</v>
      </c>
      <c r="EL7" s="932" t="s">
        <v>188</v>
      </c>
      <c r="EM7" s="937" t="s">
        <v>171</v>
      </c>
      <c r="EN7" s="97" t="s">
        <v>172</v>
      </c>
      <c r="EO7" s="940" t="s">
        <v>173</v>
      </c>
      <c r="EP7" s="936" t="s">
        <v>174</v>
      </c>
      <c r="EQ7" s="922" t="s">
        <v>175</v>
      </c>
      <c r="ER7" s="923"/>
      <c r="ES7" s="924"/>
      <c r="ET7" s="922" t="s">
        <v>183</v>
      </c>
      <c r="EU7" s="923"/>
      <c r="EV7" s="924"/>
      <c r="EW7" s="925" t="s">
        <v>185</v>
      </c>
      <c r="EX7" s="936" t="s">
        <v>186</v>
      </c>
      <c r="EY7" s="98" t="s">
        <v>178</v>
      </c>
      <c r="EZ7" s="98" t="s">
        <v>179</v>
      </c>
      <c r="FA7" s="97" t="s">
        <v>180</v>
      </c>
      <c r="FB7" s="98" t="s">
        <v>188</v>
      </c>
      <c r="FC7" s="925" t="s">
        <v>188</v>
      </c>
      <c r="FD7" s="937" t="s">
        <v>171</v>
      </c>
      <c r="FE7" s="97" t="s">
        <v>172</v>
      </c>
      <c r="FF7" s="940" t="s">
        <v>173</v>
      </c>
      <c r="FG7" s="936" t="s">
        <v>174</v>
      </c>
      <c r="FH7" s="922" t="s">
        <v>175</v>
      </c>
      <c r="FI7" s="923"/>
      <c r="FJ7" s="924"/>
      <c r="FK7" s="922" t="s">
        <v>183</v>
      </c>
      <c r="FL7" s="923"/>
      <c r="FM7" s="924"/>
      <c r="FN7" s="925" t="s">
        <v>185</v>
      </c>
      <c r="FO7" s="936" t="s">
        <v>186</v>
      </c>
      <c r="FP7" s="98" t="s">
        <v>178</v>
      </c>
      <c r="FQ7" s="98" t="s">
        <v>179</v>
      </c>
      <c r="FR7" s="97" t="s">
        <v>180</v>
      </c>
      <c r="FS7" s="98" t="s">
        <v>188</v>
      </c>
      <c r="FT7" s="925" t="s">
        <v>188</v>
      </c>
      <c r="FU7" s="937" t="s">
        <v>171</v>
      </c>
      <c r="FV7" s="97" t="s">
        <v>172</v>
      </c>
      <c r="FW7" s="940" t="s">
        <v>173</v>
      </c>
      <c r="FX7" s="936" t="s">
        <v>174</v>
      </c>
      <c r="FY7" s="922" t="s">
        <v>175</v>
      </c>
      <c r="FZ7" s="923"/>
      <c r="GA7" s="924"/>
      <c r="GB7" s="922" t="s">
        <v>183</v>
      </c>
      <c r="GC7" s="923"/>
      <c r="GD7" s="924"/>
      <c r="GE7" s="925" t="s">
        <v>185</v>
      </c>
      <c r="GF7" s="936" t="s">
        <v>186</v>
      </c>
      <c r="GG7" s="98" t="s">
        <v>178</v>
      </c>
      <c r="GH7" s="98" t="s">
        <v>179</v>
      </c>
      <c r="GI7" s="97" t="s">
        <v>180</v>
      </c>
      <c r="GJ7" s="98" t="s">
        <v>188</v>
      </c>
      <c r="GK7" s="925" t="s">
        <v>188</v>
      </c>
      <c r="GL7" s="937" t="s">
        <v>171</v>
      </c>
      <c r="GM7" s="97" t="s">
        <v>172</v>
      </c>
      <c r="GN7" s="940" t="s">
        <v>173</v>
      </c>
      <c r="GO7" s="936" t="s">
        <v>174</v>
      </c>
      <c r="GP7" s="922" t="s">
        <v>175</v>
      </c>
      <c r="GQ7" s="923"/>
      <c r="GR7" s="924"/>
      <c r="GS7" s="922" t="s">
        <v>183</v>
      </c>
      <c r="GT7" s="923"/>
      <c r="GU7" s="924"/>
      <c r="GV7" s="925" t="s">
        <v>189</v>
      </c>
      <c r="GW7" s="925" t="s">
        <v>186</v>
      </c>
      <c r="GX7" s="98" t="s">
        <v>178</v>
      </c>
      <c r="GY7" s="98" t="s">
        <v>179</v>
      </c>
      <c r="GZ7" s="97" t="s">
        <v>180</v>
      </c>
      <c r="HA7" s="98" t="s">
        <v>188</v>
      </c>
      <c r="HB7" s="925" t="s">
        <v>188</v>
      </c>
      <c r="HC7" s="86"/>
      <c r="HD7" s="86"/>
      <c r="HE7" s="86"/>
      <c r="HF7" s="86"/>
      <c r="HG7" s="86"/>
      <c r="HH7" s="86"/>
      <c r="HI7" s="86"/>
      <c r="HJ7" s="86"/>
      <c r="HK7" s="86"/>
      <c r="HL7" s="86"/>
      <c r="HM7" s="86"/>
      <c r="HN7" s="86"/>
    </row>
    <row r="8" spans="1:222" ht="13.5" customHeight="1">
      <c r="A8" s="1"/>
      <c r="B8" s="989"/>
      <c r="C8" s="989"/>
      <c r="D8" s="989"/>
      <c r="E8" s="989"/>
      <c r="F8" s="989"/>
      <c r="G8" s="967"/>
      <c r="H8" s="99" t="s">
        <v>69</v>
      </c>
      <c r="I8" s="941"/>
      <c r="J8" s="957"/>
      <c r="K8" s="100" t="s">
        <v>190</v>
      </c>
      <c r="L8" s="962" t="s">
        <v>191</v>
      </c>
      <c r="M8" s="963" t="s">
        <v>192</v>
      </c>
      <c r="N8" s="101" t="s">
        <v>193</v>
      </c>
      <c r="O8" s="962" t="s">
        <v>194</v>
      </c>
      <c r="P8" s="102" t="s">
        <v>184</v>
      </c>
      <c r="Q8" s="926"/>
      <c r="R8" s="926"/>
      <c r="S8" s="103"/>
      <c r="T8" s="103"/>
      <c r="U8" s="104" t="s">
        <v>69</v>
      </c>
      <c r="V8" s="926"/>
      <c r="W8" s="926"/>
      <c r="X8" s="938"/>
      <c r="Y8" s="105" t="s">
        <v>69</v>
      </c>
      <c r="Z8" s="941"/>
      <c r="AA8" s="957"/>
      <c r="AB8" s="106" t="s">
        <v>190</v>
      </c>
      <c r="AC8" s="964" t="s">
        <v>191</v>
      </c>
      <c r="AD8" s="964" t="s">
        <v>192</v>
      </c>
      <c r="AE8" s="107" t="s">
        <v>193</v>
      </c>
      <c r="AF8" s="964" t="s">
        <v>194</v>
      </c>
      <c r="AG8" s="108" t="s">
        <v>184</v>
      </c>
      <c r="AH8" s="926"/>
      <c r="AI8" s="926"/>
      <c r="AJ8" s="109"/>
      <c r="AK8" s="109"/>
      <c r="AL8" s="110" t="s">
        <v>69</v>
      </c>
      <c r="AM8" s="926"/>
      <c r="AN8" s="926"/>
      <c r="AO8" s="938"/>
      <c r="AP8" s="111" t="s">
        <v>69</v>
      </c>
      <c r="AQ8" s="941"/>
      <c r="AR8" s="926"/>
      <c r="AS8" s="112" t="s">
        <v>190</v>
      </c>
      <c r="AT8" s="935" t="s">
        <v>191</v>
      </c>
      <c r="AU8" s="935" t="s">
        <v>192</v>
      </c>
      <c r="AV8" s="113" t="s">
        <v>193</v>
      </c>
      <c r="AW8" s="935" t="s">
        <v>194</v>
      </c>
      <c r="AX8" s="114" t="s">
        <v>184</v>
      </c>
      <c r="AY8" s="926"/>
      <c r="AZ8" s="926"/>
      <c r="BA8" s="115"/>
      <c r="BB8" s="115"/>
      <c r="BC8" s="111" t="s">
        <v>69</v>
      </c>
      <c r="BD8" s="926"/>
      <c r="BE8" s="926"/>
      <c r="BF8" s="938"/>
      <c r="BG8" s="111" t="s">
        <v>69</v>
      </c>
      <c r="BH8" s="941"/>
      <c r="BI8" s="926"/>
      <c r="BJ8" s="112"/>
      <c r="BK8" s="935" t="s">
        <v>191</v>
      </c>
      <c r="BL8" s="935" t="s">
        <v>192</v>
      </c>
      <c r="BM8" s="113" t="s">
        <v>193</v>
      </c>
      <c r="BN8" s="935" t="s">
        <v>191</v>
      </c>
      <c r="BO8" s="114" t="s">
        <v>184</v>
      </c>
      <c r="BP8" s="926"/>
      <c r="BQ8" s="926"/>
      <c r="BR8" s="115"/>
      <c r="BS8" s="115"/>
      <c r="BT8" s="111" t="s">
        <v>69</v>
      </c>
      <c r="BU8" s="926"/>
      <c r="BV8" s="971"/>
      <c r="BW8" s="938"/>
      <c r="BX8" s="111" t="s">
        <v>69</v>
      </c>
      <c r="BY8" s="941"/>
      <c r="BZ8" s="926"/>
      <c r="CA8" s="112"/>
      <c r="CB8" s="935" t="s">
        <v>191</v>
      </c>
      <c r="CC8" s="935" t="s">
        <v>192</v>
      </c>
      <c r="CD8" s="113" t="s">
        <v>193</v>
      </c>
      <c r="CE8" s="935" t="s">
        <v>191</v>
      </c>
      <c r="CF8" s="114" t="s">
        <v>184</v>
      </c>
      <c r="CG8" s="926"/>
      <c r="CH8" s="926"/>
      <c r="CI8" s="115"/>
      <c r="CJ8" s="115"/>
      <c r="CK8" s="111" t="s">
        <v>69</v>
      </c>
      <c r="CL8" s="115"/>
      <c r="CM8" s="926"/>
      <c r="CN8" s="938"/>
      <c r="CO8" s="111" t="s">
        <v>69</v>
      </c>
      <c r="CP8" s="941"/>
      <c r="CQ8" s="926"/>
      <c r="CR8" s="112"/>
      <c r="CS8" s="935" t="s">
        <v>191</v>
      </c>
      <c r="CT8" s="935" t="s">
        <v>192</v>
      </c>
      <c r="CU8" s="113" t="s">
        <v>193</v>
      </c>
      <c r="CV8" s="935" t="s">
        <v>191</v>
      </c>
      <c r="CW8" s="114" t="s">
        <v>184</v>
      </c>
      <c r="CX8" s="926"/>
      <c r="CY8" s="926"/>
      <c r="CZ8" s="115"/>
      <c r="DA8" s="115"/>
      <c r="DB8" s="111" t="s">
        <v>69</v>
      </c>
      <c r="DC8" s="115"/>
      <c r="DD8" s="926"/>
      <c r="DE8" s="938"/>
      <c r="DF8" s="111" t="s">
        <v>69</v>
      </c>
      <c r="DG8" s="941"/>
      <c r="DH8" s="926"/>
      <c r="DI8" s="112"/>
      <c r="DJ8" s="935" t="s">
        <v>191</v>
      </c>
      <c r="DK8" s="935" t="s">
        <v>192</v>
      </c>
      <c r="DL8" s="113" t="s">
        <v>193</v>
      </c>
      <c r="DM8" s="935" t="s">
        <v>191</v>
      </c>
      <c r="DN8" s="114" t="s">
        <v>184</v>
      </c>
      <c r="DO8" s="926"/>
      <c r="DP8" s="926"/>
      <c r="DQ8" s="115"/>
      <c r="DR8" s="115"/>
      <c r="DS8" s="111" t="s">
        <v>69</v>
      </c>
      <c r="DT8" s="115"/>
      <c r="DU8" s="926"/>
      <c r="DV8" s="938"/>
      <c r="DW8" s="111" t="s">
        <v>69</v>
      </c>
      <c r="DX8" s="941"/>
      <c r="DY8" s="926"/>
      <c r="DZ8" s="112"/>
      <c r="EA8" s="935" t="s">
        <v>191</v>
      </c>
      <c r="EB8" s="935" t="s">
        <v>192</v>
      </c>
      <c r="EC8" s="113" t="s">
        <v>193</v>
      </c>
      <c r="ED8" s="935" t="s">
        <v>191</v>
      </c>
      <c r="EE8" s="114" t="s">
        <v>184</v>
      </c>
      <c r="EF8" s="926"/>
      <c r="EG8" s="926"/>
      <c r="EH8" s="115"/>
      <c r="EI8" s="115"/>
      <c r="EJ8" s="111" t="s">
        <v>69</v>
      </c>
      <c r="EK8" s="115"/>
      <c r="EL8" s="926"/>
      <c r="EM8" s="938"/>
      <c r="EN8" s="116" t="s">
        <v>69</v>
      </c>
      <c r="EO8" s="941"/>
      <c r="EP8" s="926"/>
      <c r="EQ8" s="117"/>
      <c r="ER8" s="920" t="s">
        <v>191</v>
      </c>
      <c r="ES8" s="920" t="s">
        <v>192</v>
      </c>
      <c r="ET8" s="118" t="s">
        <v>193</v>
      </c>
      <c r="EU8" s="920" t="s">
        <v>191</v>
      </c>
      <c r="EV8" s="119" t="s">
        <v>184</v>
      </c>
      <c r="EW8" s="926"/>
      <c r="EX8" s="926"/>
      <c r="EY8" s="120"/>
      <c r="EZ8" s="120"/>
      <c r="FA8" s="116" t="s">
        <v>69</v>
      </c>
      <c r="FB8" s="120"/>
      <c r="FC8" s="926"/>
      <c r="FD8" s="938"/>
      <c r="FE8" s="116" t="s">
        <v>69</v>
      </c>
      <c r="FF8" s="941"/>
      <c r="FG8" s="926"/>
      <c r="FH8" s="117"/>
      <c r="FI8" s="920" t="s">
        <v>191</v>
      </c>
      <c r="FJ8" s="920" t="s">
        <v>192</v>
      </c>
      <c r="FK8" s="118" t="s">
        <v>193</v>
      </c>
      <c r="FL8" s="920" t="s">
        <v>191</v>
      </c>
      <c r="FM8" s="119" t="s">
        <v>184</v>
      </c>
      <c r="FN8" s="926"/>
      <c r="FO8" s="926"/>
      <c r="FP8" s="120"/>
      <c r="FQ8" s="120"/>
      <c r="FR8" s="116" t="s">
        <v>69</v>
      </c>
      <c r="FS8" s="120"/>
      <c r="FT8" s="926"/>
      <c r="FU8" s="938"/>
      <c r="FV8" s="116" t="s">
        <v>69</v>
      </c>
      <c r="FW8" s="941"/>
      <c r="FX8" s="926"/>
      <c r="FY8" s="117"/>
      <c r="FZ8" s="920" t="s">
        <v>191</v>
      </c>
      <c r="GA8" s="920" t="s">
        <v>192</v>
      </c>
      <c r="GB8" s="118" t="s">
        <v>193</v>
      </c>
      <c r="GC8" s="920" t="s">
        <v>191</v>
      </c>
      <c r="GD8" s="119" t="s">
        <v>184</v>
      </c>
      <c r="GE8" s="926"/>
      <c r="GF8" s="926"/>
      <c r="GG8" s="120"/>
      <c r="GH8" s="120"/>
      <c r="GI8" s="116" t="s">
        <v>69</v>
      </c>
      <c r="GJ8" s="120"/>
      <c r="GK8" s="926"/>
      <c r="GL8" s="938"/>
      <c r="GM8" s="116" t="s">
        <v>69</v>
      </c>
      <c r="GN8" s="941"/>
      <c r="GO8" s="926"/>
      <c r="GP8" s="117"/>
      <c r="GQ8" s="920" t="s">
        <v>191</v>
      </c>
      <c r="GR8" s="920" t="s">
        <v>192</v>
      </c>
      <c r="GS8" s="118" t="s">
        <v>193</v>
      </c>
      <c r="GT8" s="920" t="s">
        <v>191</v>
      </c>
      <c r="GU8" s="119" t="s">
        <v>184</v>
      </c>
      <c r="GV8" s="926"/>
      <c r="GW8" s="926"/>
      <c r="GX8" s="120"/>
      <c r="GY8" s="120"/>
      <c r="GZ8" s="116" t="s">
        <v>69</v>
      </c>
      <c r="HA8" s="120"/>
      <c r="HB8" s="926"/>
      <c r="HC8" s="86"/>
      <c r="HD8" s="86"/>
      <c r="HE8" s="86"/>
      <c r="HF8" s="86"/>
      <c r="HG8" s="86"/>
      <c r="HH8" s="86"/>
      <c r="HI8" s="86"/>
      <c r="HJ8" s="86"/>
      <c r="HK8" s="86"/>
      <c r="HL8" s="86"/>
      <c r="HM8" s="86"/>
      <c r="HN8" s="86"/>
    </row>
    <row r="9" spans="1:222" ht="15.75">
      <c r="A9" s="1"/>
      <c r="B9" s="990"/>
      <c r="C9" s="990"/>
      <c r="D9" s="990"/>
      <c r="E9" s="990"/>
      <c r="F9" s="990"/>
      <c r="G9" s="968"/>
      <c r="H9" s="121" t="s">
        <v>129</v>
      </c>
      <c r="I9" s="942"/>
      <c r="J9" s="958"/>
      <c r="K9" s="122" t="s">
        <v>195</v>
      </c>
      <c r="L9" s="958"/>
      <c r="M9" s="958"/>
      <c r="N9" s="123" t="s">
        <v>196</v>
      </c>
      <c r="O9" s="958"/>
      <c r="P9" s="124" t="s">
        <v>197</v>
      </c>
      <c r="Q9" s="927"/>
      <c r="R9" s="927"/>
      <c r="S9" s="125"/>
      <c r="T9" s="125"/>
      <c r="U9" s="126" t="s">
        <v>129</v>
      </c>
      <c r="V9" s="927"/>
      <c r="W9" s="927"/>
      <c r="X9" s="939"/>
      <c r="Y9" s="127" t="s">
        <v>129</v>
      </c>
      <c r="Z9" s="942"/>
      <c r="AA9" s="921"/>
      <c r="AB9" s="128" t="s">
        <v>195</v>
      </c>
      <c r="AC9" s="921"/>
      <c r="AD9" s="921"/>
      <c r="AE9" s="129" t="s">
        <v>196</v>
      </c>
      <c r="AF9" s="958"/>
      <c r="AG9" s="130" t="s">
        <v>197</v>
      </c>
      <c r="AH9" s="927"/>
      <c r="AI9" s="934"/>
      <c r="AJ9" s="131"/>
      <c r="AK9" s="131"/>
      <c r="AL9" s="132" t="s">
        <v>129</v>
      </c>
      <c r="AM9" s="927"/>
      <c r="AN9" s="927"/>
      <c r="AO9" s="939"/>
      <c r="AP9" s="133" t="s">
        <v>129</v>
      </c>
      <c r="AQ9" s="942"/>
      <c r="AR9" s="934"/>
      <c r="AS9" s="134" t="s">
        <v>195</v>
      </c>
      <c r="AT9" s="921"/>
      <c r="AU9" s="921"/>
      <c r="AV9" s="135" t="s">
        <v>196</v>
      </c>
      <c r="AW9" s="958"/>
      <c r="AX9" s="136" t="s">
        <v>197</v>
      </c>
      <c r="AY9" s="927"/>
      <c r="AZ9" s="934"/>
      <c r="BA9" s="137"/>
      <c r="BB9" s="137"/>
      <c r="BC9" s="138" t="s">
        <v>129</v>
      </c>
      <c r="BD9" s="927"/>
      <c r="BE9" s="927"/>
      <c r="BF9" s="939"/>
      <c r="BG9" s="138" t="s">
        <v>129</v>
      </c>
      <c r="BH9" s="942"/>
      <c r="BI9" s="934"/>
      <c r="BJ9" s="134"/>
      <c r="BK9" s="921"/>
      <c r="BL9" s="921"/>
      <c r="BM9" s="139" t="s">
        <v>196</v>
      </c>
      <c r="BN9" s="921"/>
      <c r="BO9" s="136" t="s">
        <v>197</v>
      </c>
      <c r="BP9" s="927"/>
      <c r="BQ9" s="934"/>
      <c r="BR9" s="137"/>
      <c r="BS9" s="137"/>
      <c r="BT9" s="138" t="s">
        <v>129</v>
      </c>
      <c r="BU9" s="934"/>
      <c r="BV9" s="972"/>
      <c r="BW9" s="939"/>
      <c r="BX9" s="138" t="s">
        <v>129</v>
      </c>
      <c r="BY9" s="942"/>
      <c r="BZ9" s="934"/>
      <c r="CA9" s="134"/>
      <c r="CB9" s="921"/>
      <c r="CC9" s="921"/>
      <c r="CD9" s="139" t="s">
        <v>196</v>
      </c>
      <c r="CE9" s="921"/>
      <c r="CF9" s="136" t="s">
        <v>197</v>
      </c>
      <c r="CG9" s="927"/>
      <c r="CH9" s="934"/>
      <c r="CI9" s="137"/>
      <c r="CJ9" s="137"/>
      <c r="CK9" s="138" t="s">
        <v>129</v>
      </c>
      <c r="CL9" s="137"/>
      <c r="CM9" s="927"/>
      <c r="CN9" s="939"/>
      <c r="CO9" s="138" t="s">
        <v>129</v>
      </c>
      <c r="CP9" s="942"/>
      <c r="CQ9" s="934"/>
      <c r="CR9" s="134"/>
      <c r="CS9" s="921"/>
      <c r="CT9" s="921"/>
      <c r="CU9" s="139" t="s">
        <v>196</v>
      </c>
      <c r="CV9" s="921"/>
      <c r="CW9" s="136" t="s">
        <v>197</v>
      </c>
      <c r="CX9" s="927"/>
      <c r="CY9" s="934"/>
      <c r="CZ9" s="137"/>
      <c r="DA9" s="137"/>
      <c r="DB9" s="138" t="s">
        <v>129</v>
      </c>
      <c r="DC9" s="137"/>
      <c r="DD9" s="927"/>
      <c r="DE9" s="939"/>
      <c r="DF9" s="138" t="s">
        <v>129</v>
      </c>
      <c r="DG9" s="942"/>
      <c r="DH9" s="934"/>
      <c r="DI9" s="134"/>
      <c r="DJ9" s="921"/>
      <c r="DK9" s="921"/>
      <c r="DL9" s="139" t="s">
        <v>196</v>
      </c>
      <c r="DM9" s="921"/>
      <c r="DN9" s="136" t="s">
        <v>197</v>
      </c>
      <c r="DO9" s="927"/>
      <c r="DP9" s="934"/>
      <c r="DQ9" s="137"/>
      <c r="DR9" s="137"/>
      <c r="DS9" s="138" t="s">
        <v>129</v>
      </c>
      <c r="DT9" s="137"/>
      <c r="DU9" s="927"/>
      <c r="DV9" s="939"/>
      <c r="DW9" s="138" t="s">
        <v>129</v>
      </c>
      <c r="DX9" s="942"/>
      <c r="DY9" s="934"/>
      <c r="DZ9" s="134"/>
      <c r="EA9" s="921"/>
      <c r="EB9" s="921"/>
      <c r="EC9" s="139" t="s">
        <v>196</v>
      </c>
      <c r="ED9" s="921"/>
      <c r="EE9" s="136" t="s">
        <v>197</v>
      </c>
      <c r="EF9" s="927"/>
      <c r="EG9" s="934"/>
      <c r="EH9" s="137"/>
      <c r="EI9" s="137"/>
      <c r="EJ9" s="138" t="s">
        <v>129</v>
      </c>
      <c r="EK9" s="137"/>
      <c r="EL9" s="927"/>
      <c r="EM9" s="939"/>
      <c r="EN9" s="140" t="s">
        <v>129</v>
      </c>
      <c r="EO9" s="942"/>
      <c r="EP9" s="934"/>
      <c r="EQ9" s="141"/>
      <c r="ER9" s="921"/>
      <c r="ES9" s="921"/>
      <c r="ET9" s="142" t="s">
        <v>196</v>
      </c>
      <c r="EU9" s="921"/>
      <c r="EV9" s="143" t="s">
        <v>197</v>
      </c>
      <c r="EW9" s="927"/>
      <c r="EX9" s="934"/>
      <c r="EY9" s="144"/>
      <c r="EZ9" s="144"/>
      <c r="FA9" s="140" t="s">
        <v>129</v>
      </c>
      <c r="FB9" s="144"/>
      <c r="FC9" s="927"/>
      <c r="FD9" s="939"/>
      <c r="FE9" s="140" t="s">
        <v>129</v>
      </c>
      <c r="FF9" s="942"/>
      <c r="FG9" s="934"/>
      <c r="FH9" s="141"/>
      <c r="FI9" s="921"/>
      <c r="FJ9" s="921"/>
      <c r="FK9" s="142" t="s">
        <v>196</v>
      </c>
      <c r="FL9" s="921"/>
      <c r="FM9" s="143" t="s">
        <v>197</v>
      </c>
      <c r="FN9" s="927"/>
      <c r="FO9" s="934"/>
      <c r="FP9" s="144"/>
      <c r="FQ9" s="144"/>
      <c r="FR9" s="140" t="s">
        <v>129</v>
      </c>
      <c r="FS9" s="144"/>
      <c r="FT9" s="927"/>
      <c r="FU9" s="939"/>
      <c r="FV9" s="140" t="s">
        <v>129</v>
      </c>
      <c r="FW9" s="942"/>
      <c r="FX9" s="934"/>
      <c r="FY9" s="141"/>
      <c r="FZ9" s="921"/>
      <c r="GA9" s="921"/>
      <c r="GB9" s="142" t="s">
        <v>196</v>
      </c>
      <c r="GC9" s="921"/>
      <c r="GD9" s="143" t="s">
        <v>197</v>
      </c>
      <c r="GE9" s="927"/>
      <c r="GF9" s="934"/>
      <c r="GG9" s="144"/>
      <c r="GH9" s="144"/>
      <c r="GI9" s="140" t="s">
        <v>129</v>
      </c>
      <c r="GJ9" s="144"/>
      <c r="GK9" s="927"/>
      <c r="GL9" s="939"/>
      <c r="GM9" s="140" t="s">
        <v>129</v>
      </c>
      <c r="GN9" s="942"/>
      <c r="GO9" s="934"/>
      <c r="GP9" s="141"/>
      <c r="GQ9" s="921"/>
      <c r="GR9" s="921"/>
      <c r="GS9" s="142" t="s">
        <v>196</v>
      </c>
      <c r="GT9" s="921"/>
      <c r="GU9" s="143" t="s">
        <v>197</v>
      </c>
      <c r="GV9" s="927"/>
      <c r="GW9" s="927"/>
      <c r="GX9" s="144"/>
      <c r="GY9" s="144"/>
      <c r="GZ9" s="140" t="s">
        <v>129</v>
      </c>
      <c r="HA9" s="144"/>
      <c r="HB9" s="927"/>
      <c r="HC9" s="86"/>
      <c r="HD9" s="86"/>
      <c r="HE9" s="86"/>
      <c r="HF9" s="86"/>
      <c r="HG9" s="86"/>
      <c r="HH9" s="86"/>
      <c r="HI9" s="86"/>
      <c r="HJ9" s="86"/>
      <c r="HK9" s="86"/>
      <c r="HL9" s="86"/>
      <c r="HM9" s="86"/>
      <c r="HN9" s="86"/>
    </row>
    <row r="10" spans="1:222" ht="22.5" customHeight="1">
      <c r="A10" s="145"/>
      <c r="B10" s="146">
        <v>158267</v>
      </c>
      <c r="C10" s="146" t="s">
        <v>198</v>
      </c>
      <c r="D10" s="147" t="s">
        <v>33</v>
      </c>
      <c r="E10" s="148">
        <v>4.25</v>
      </c>
      <c r="F10" s="149">
        <v>3</v>
      </c>
      <c r="G10" s="150">
        <v>2</v>
      </c>
      <c r="H10" s="151" t="s">
        <v>129</v>
      </c>
      <c r="I10" s="152" t="s">
        <v>127</v>
      </c>
      <c r="J10" s="153">
        <v>4556.92</v>
      </c>
      <c r="K10" s="154">
        <v>0.25</v>
      </c>
      <c r="L10" s="997" t="s">
        <v>199</v>
      </c>
      <c r="M10" s="975"/>
      <c r="N10" s="154">
        <v>0.2</v>
      </c>
      <c r="O10" s="155" t="s">
        <v>200</v>
      </c>
      <c r="P10" s="156">
        <v>30</v>
      </c>
      <c r="Q10" s="157">
        <f>IFERROR((52/(IF(H10="S",G10+(IF(Y10="S",X10,0))+(IF(AP10="S",AO10,0)),0)))/12,0)</f>
        <v>0</v>
      </c>
      <c r="R10" s="157">
        <f>IFERROR(((52+12)/(IF(H10="S",G10+(IF(Y10="S",X10,0))+(IF(AP10="S",AO10,0)),0)))/12,0)</f>
        <v>0</v>
      </c>
      <c r="S10" s="158">
        <v>0</v>
      </c>
      <c r="T10" s="158">
        <v>0</v>
      </c>
      <c r="U10" s="159" t="s">
        <v>69</v>
      </c>
      <c r="V10" s="160">
        <v>0</v>
      </c>
      <c r="W10" s="161">
        <v>0</v>
      </c>
      <c r="X10" s="162">
        <v>2</v>
      </c>
      <c r="Y10" s="163" t="s">
        <v>129</v>
      </c>
      <c r="Z10" s="164" t="s">
        <v>127</v>
      </c>
      <c r="AA10" s="153">
        <v>4556.92</v>
      </c>
      <c r="AB10" s="165">
        <v>0.25</v>
      </c>
      <c r="AC10" s="986" t="s">
        <v>199</v>
      </c>
      <c r="AD10" s="975"/>
      <c r="AE10" s="165">
        <v>0.2</v>
      </c>
      <c r="AF10" s="166" t="s">
        <v>200</v>
      </c>
      <c r="AG10" s="167">
        <v>20</v>
      </c>
      <c r="AH10" s="168">
        <f>IFERROR((52/(IF(Y10="S",X10+(IF(H10="S",G10,0))+(IF(AP10="S",AO10,0)),0)))/12,0)</f>
        <v>0</v>
      </c>
      <c r="AI10" s="168">
        <f>IFERROR(((52+12)/(IF(Y10="S",X10+(IF(H10="S",G10,0))+(IF(AP10="S",AO10,0)),0)))/12,0)</f>
        <v>0</v>
      </c>
      <c r="AJ10" s="169">
        <v>0</v>
      </c>
      <c r="AK10" s="169">
        <v>0</v>
      </c>
      <c r="AL10" s="169" t="s">
        <v>69</v>
      </c>
      <c r="AM10" s="170">
        <v>0</v>
      </c>
      <c r="AN10" s="170">
        <v>0</v>
      </c>
      <c r="AO10" s="171">
        <v>0</v>
      </c>
      <c r="AP10" s="172" t="s">
        <v>69</v>
      </c>
      <c r="AQ10" s="173" t="s">
        <v>83</v>
      </c>
      <c r="AR10" s="174">
        <v>1905</v>
      </c>
      <c r="AS10" s="175">
        <v>0.25</v>
      </c>
      <c r="AT10" s="976" t="s">
        <v>199</v>
      </c>
      <c r="AU10" s="975"/>
      <c r="AV10" s="175">
        <v>0.2</v>
      </c>
      <c r="AW10" s="176" t="s">
        <v>201</v>
      </c>
      <c r="AX10" s="177">
        <v>40</v>
      </c>
      <c r="AY10" s="178">
        <f>IFERROR((52/(IF(AP10="S",AO10+(IF(H10="S",G10,0))+(IF(Y10="S",X10,0)),0)))/12,0)</f>
        <v>0</v>
      </c>
      <c r="AZ10" s="178">
        <f>IFERROR(((52+12)/(IF(AP10="S",AO10+(IF(H10="S",G10,0))+(IF(Y10="S",X10,0)),0)))/12,0)</f>
        <v>0</v>
      </c>
      <c r="BA10" s="173">
        <v>25</v>
      </c>
      <c r="BB10" s="173">
        <v>25</v>
      </c>
      <c r="BC10" s="173" t="s">
        <v>129</v>
      </c>
      <c r="BD10" s="179">
        <v>3</v>
      </c>
      <c r="BE10" s="179">
        <v>3</v>
      </c>
      <c r="BF10" s="171">
        <v>0</v>
      </c>
      <c r="BG10" s="172" t="s">
        <v>129</v>
      </c>
      <c r="BH10" s="173" t="s">
        <v>28</v>
      </c>
      <c r="BI10" s="174">
        <v>1929.4</v>
      </c>
      <c r="BJ10" s="175">
        <v>0.25</v>
      </c>
      <c r="BK10" s="976" t="s">
        <v>199</v>
      </c>
      <c r="BL10" s="975"/>
      <c r="BM10" s="175">
        <v>0.2</v>
      </c>
      <c r="BN10" s="176" t="s">
        <v>202</v>
      </c>
      <c r="BO10" s="177">
        <v>44</v>
      </c>
      <c r="BP10" s="178">
        <f t="shared" ref="BP10:BP21" si="3">IFERROR((52/(IF(BG10="S",BF10+(IF(Y10="S",X10,0))+(IF(AS10="S",AR10,0)),0)))/12,0)</f>
        <v>0</v>
      </c>
      <c r="BQ10" s="178">
        <f t="shared" ref="BQ10:BQ12" si="4">IFERROR(((52+12)/(IF(BG10="S",BF10+(IF(Y10="S",X10,0))+(IF(AS10="S",AR10,0)),0)))/12,0)</f>
        <v>0</v>
      </c>
      <c r="BR10" s="173">
        <v>22</v>
      </c>
      <c r="BS10" s="173">
        <v>22</v>
      </c>
      <c r="BT10" s="173" t="s">
        <v>69</v>
      </c>
      <c r="BU10" s="173"/>
      <c r="BV10" s="180"/>
      <c r="BW10" s="171">
        <v>0</v>
      </c>
      <c r="BX10" s="172" t="s">
        <v>69</v>
      </c>
      <c r="BY10" s="173" t="s">
        <v>28</v>
      </c>
      <c r="BZ10" s="174">
        <v>2461.8000000000002</v>
      </c>
      <c r="CA10" s="175">
        <v>0.25</v>
      </c>
      <c r="CB10" s="976" t="s">
        <v>199</v>
      </c>
      <c r="CC10" s="975"/>
      <c r="CD10" s="175">
        <v>0.2</v>
      </c>
      <c r="CE10" s="176" t="s">
        <v>202</v>
      </c>
      <c r="CF10" s="177">
        <v>44</v>
      </c>
      <c r="CG10" s="178">
        <f t="shared" ref="CG10:CG21" si="5">IFERROR((52/(IF(BX10="S",BW10+(IF(Y10="S",X10,0))+(IF(AS10="S",AR10,0)),0)))/12,0)</f>
        <v>0</v>
      </c>
      <c r="CH10" s="178">
        <f>IFERROR(((52+12)/(IF(BG10="S",BF10+(IF(Y10="S",X10,0))+(IF(AS10="S",AR10,0)),0)))/12,0)</f>
        <v>0</v>
      </c>
      <c r="CI10" s="173">
        <v>22</v>
      </c>
      <c r="CJ10" s="173">
        <v>22</v>
      </c>
      <c r="CK10" s="173" t="s">
        <v>69</v>
      </c>
      <c r="CL10" s="173"/>
      <c r="CM10" s="173"/>
      <c r="CN10" s="171">
        <v>0</v>
      </c>
      <c r="CO10" s="172" t="s">
        <v>69</v>
      </c>
      <c r="CP10" s="173" t="s">
        <v>28</v>
      </c>
      <c r="CQ10" s="174">
        <v>1396.01</v>
      </c>
      <c r="CR10" s="175">
        <v>0.3</v>
      </c>
      <c r="CS10" s="976" t="s">
        <v>199</v>
      </c>
      <c r="CT10" s="975"/>
      <c r="CU10" s="175">
        <v>0.2</v>
      </c>
      <c r="CV10" s="176" t="s">
        <v>201</v>
      </c>
      <c r="CW10" s="177">
        <v>44</v>
      </c>
      <c r="CX10" s="178">
        <f t="shared" ref="CX10:CX21" si="6">IFERROR((52/(IF(CO10="S",CN10+(IF(Y10="S",X10,0))+(IF(AS10="S",AR10,0)),0)))/12,0)</f>
        <v>0</v>
      </c>
      <c r="CY10" s="178">
        <f>IFERROR(((52+12)/(IF(BG10="S",BF10+(IF(Y10="S",X10,0))+(IF(AS10="S",AR10,0)),0)))/12,0)</f>
        <v>0</v>
      </c>
      <c r="CZ10" s="173">
        <v>22</v>
      </c>
      <c r="DA10" s="173">
        <v>22</v>
      </c>
      <c r="DB10" s="173" t="s">
        <v>69</v>
      </c>
      <c r="DC10" s="173"/>
      <c r="DD10" s="173"/>
      <c r="DE10" s="171">
        <v>0</v>
      </c>
      <c r="DF10" s="172" t="s">
        <v>69</v>
      </c>
      <c r="DG10" s="173" t="s">
        <v>28</v>
      </c>
      <c r="DH10" s="174">
        <v>1396.01</v>
      </c>
      <c r="DI10" s="181">
        <v>0.25</v>
      </c>
      <c r="DJ10" s="984" t="s">
        <v>199</v>
      </c>
      <c r="DK10" s="975"/>
      <c r="DL10" s="181">
        <v>0.2</v>
      </c>
      <c r="DM10" s="176" t="s">
        <v>201</v>
      </c>
      <c r="DN10" s="182">
        <v>44</v>
      </c>
      <c r="DO10" s="183">
        <f t="shared" ref="DO10:DO21" si="7">IFERROR((52/(IF(DF10="S",DE10+(IF(Y10="S",X10,0))+(IF(AS10="S",AR10,0)),0)))/12,0)</f>
        <v>0</v>
      </c>
      <c r="DP10" s="183">
        <f>IFERROR(((52+12)/(IF(BG10="S",BF10+(IF(Y10="S",X10,0))+(IF(AS10="S",AR10,0)),0)))/12,0)</f>
        <v>0</v>
      </c>
      <c r="DQ10" s="184">
        <v>22</v>
      </c>
      <c r="DR10" s="173">
        <v>22</v>
      </c>
      <c r="DS10" s="184" t="s">
        <v>69</v>
      </c>
      <c r="DT10" s="184"/>
      <c r="DU10" s="184"/>
      <c r="DV10" s="185">
        <v>0</v>
      </c>
      <c r="DW10" s="186" t="s">
        <v>129</v>
      </c>
      <c r="DX10" s="173" t="s">
        <v>19</v>
      </c>
      <c r="DY10" s="187">
        <v>4128.0200000000004</v>
      </c>
      <c r="DZ10" s="181">
        <v>0.25</v>
      </c>
      <c r="EA10" s="984" t="s">
        <v>199</v>
      </c>
      <c r="EB10" s="975"/>
      <c r="EC10" s="181">
        <v>0.2</v>
      </c>
      <c r="ED10" s="188" t="s">
        <v>200</v>
      </c>
      <c r="EE10" s="182">
        <v>44</v>
      </c>
      <c r="EF10" s="183">
        <f t="shared" ref="EF10:EF21" si="8">IFERROR((52/(IF(DW10="S",DV10+(IF(Y10="S",X10,0))+(IF(AS10="S",AR10,0)),0)))/12,0)</f>
        <v>0</v>
      </c>
      <c r="EG10" s="183">
        <f>IFERROR(((52+12)/(IF(BG10="S",BF10+(IF(Y10="S",X10,0))+(IF(AS10="S",AR10,0)),0)))/12,0)</f>
        <v>0</v>
      </c>
      <c r="EH10" s="184">
        <v>22</v>
      </c>
      <c r="EI10" s="184">
        <v>22</v>
      </c>
      <c r="EJ10" s="184" t="s">
        <v>69</v>
      </c>
      <c r="EK10" s="184"/>
      <c r="EL10" s="184"/>
      <c r="EM10" s="189">
        <v>0</v>
      </c>
      <c r="EN10" s="190" t="s">
        <v>129</v>
      </c>
      <c r="EO10" s="191" t="s">
        <v>19</v>
      </c>
      <c r="EP10" s="192">
        <v>4128.0200000000004</v>
      </c>
      <c r="EQ10" s="193">
        <v>0.25</v>
      </c>
      <c r="ER10" s="974" t="s">
        <v>199</v>
      </c>
      <c r="ES10" s="975"/>
      <c r="ET10" s="193">
        <v>0.2</v>
      </c>
      <c r="EU10" s="194" t="s">
        <v>200</v>
      </c>
      <c r="EV10" s="195">
        <v>44</v>
      </c>
      <c r="EW10" s="196">
        <f t="shared" ref="EW10:EW21" si="9">IFERROR((52/(IF(EN10="S",EM10+(IF(Y10="S",X10,0))+(IF(AS10="S",AR10,0)),0)))/12,0)</f>
        <v>0</v>
      </c>
      <c r="EX10" s="196">
        <f>IFERROR(((52+12)/(IF(BG10="S",BF10+(IF(Y10="S",X10,0))+(IF(AS10="S",AR10,0)),0)))/12,0)</f>
        <v>0</v>
      </c>
      <c r="EY10" s="197">
        <v>22</v>
      </c>
      <c r="EZ10" s="197">
        <v>22</v>
      </c>
      <c r="FA10" s="197" t="s">
        <v>69</v>
      </c>
      <c r="FB10" s="197"/>
      <c r="FC10" s="197"/>
      <c r="FD10" s="189">
        <v>0</v>
      </c>
      <c r="FE10" s="190" t="s">
        <v>129</v>
      </c>
      <c r="FF10" s="191" t="s">
        <v>19</v>
      </c>
      <c r="FG10" s="192">
        <v>1741.45</v>
      </c>
      <c r="FH10" s="193">
        <v>0.25</v>
      </c>
      <c r="FI10" s="974" t="s">
        <v>199</v>
      </c>
      <c r="FJ10" s="975"/>
      <c r="FK10" s="193">
        <v>0.2</v>
      </c>
      <c r="FL10" s="194" t="s">
        <v>203</v>
      </c>
      <c r="FM10" s="195">
        <v>44</v>
      </c>
      <c r="FN10" s="196">
        <f t="shared" ref="FN10:FN21" si="10">IFERROR((52/(IF(FE10="S",FD10+(IF(Y10="S",X10,0))+(IF(AS10="S",AR10,0)),0)))/12,0)</f>
        <v>0</v>
      </c>
      <c r="FO10" s="196">
        <f>IFERROR(((52+12)/(IF(BG10="S",BF10+(IF(Y10="S",X10,0))+(IF(AS10="S",AR10,0)),0)))/12,0)</f>
        <v>0</v>
      </c>
      <c r="FP10" s="197">
        <v>9</v>
      </c>
      <c r="FQ10" s="197"/>
      <c r="FR10" s="197" t="s">
        <v>69</v>
      </c>
      <c r="FS10" s="197"/>
      <c r="FT10" s="197"/>
      <c r="FU10" s="189">
        <v>0</v>
      </c>
      <c r="FV10" s="190" t="s">
        <v>129</v>
      </c>
      <c r="FW10" s="191" t="s">
        <v>19</v>
      </c>
      <c r="FX10" s="192">
        <v>0</v>
      </c>
      <c r="FY10" s="193">
        <v>0.25</v>
      </c>
      <c r="FZ10" s="974" t="s">
        <v>199</v>
      </c>
      <c r="GA10" s="975"/>
      <c r="GB10" s="193">
        <v>0.2</v>
      </c>
      <c r="GC10" s="194" t="s">
        <v>200</v>
      </c>
      <c r="GD10" s="195">
        <v>44</v>
      </c>
      <c r="GE10" s="196">
        <f t="shared" ref="GE10:GE21" si="11">IFERROR((52/(IF(FV10="S",FU10+(IF(Y10="S",X10,0))+(IF(AS10="S",AR10,0)),0)))/12,0)</f>
        <v>0</v>
      </c>
      <c r="GF10" s="196">
        <f>IFERROR(((52+12)/(IF(BG10="S",BF10+(IF(Y10="S",X10,0))+(IF(AS10="S",AR10,0)),0)))/12,0)</f>
        <v>0</v>
      </c>
      <c r="GG10" s="197">
        <v>0</v>
      </c>
      <c r="GH10" s="197"/>
      <c r="GI10" s="197" t="s">
        <v>69</v>
      </c>
      <c r="GJ10" s="197"/>
      <c r="GK10" s="197"/>
      <c r="GL10" s="189">
        <v>0</v>
      </c>
      <c r="GM10" s="190" t="s">
        <v>129</v>
      </c>
      <c r="GN10" s="191" t="s">
        <v>19</v>
      </c>
      <c r="GO10" s="192">
        <v>0</v>
      </c>
      <c r="GP10" s="193">
        <v>0.25</v>
      </c>
      <c r="GQ10" s="974" t="s">
        <v>199</v>
      </c>
      <c r="GR10" s="975"/>
      <c r="GS10" s="193">
        <v>0.2</v>
      </c>
      <c r="GT10" s="194" t="s">
        <v>200</v>
      </c>
      <c r="GU10" s="195">
        <v>44</v>
      </c>
      <c r="GV10" s="196" t="e">
        <f>IFERROR((52/(IF(GM10="S",GL10+(IF(Y10="S",X10,0))+(IF(AS10="S",AR10,0)),0)))/12,0)*#REF!</f>
        <v>#REF!</v>
      </c>
      <c r="GW10" s="196">
        <f t="shared" ref="GW10:GW12" si="12">IFERROR(((52+12)/(IF(GM10="S",GL10+(IF(Y10="S",X10,0))+(IF(AS10="S",AR10,0)),0)))/12,0)</f>
        <v>0</v>
      </c>
      <c r="GX10" s="197">
        <v>0</v>
      </c>
      <c r="GY10" s="197"/>
      <c r="GZ10" s="197" t="s">
        <v>69</v>
      </c>
      <c r="HA10" s="197"/>
      <c r="HB10" s="197"/>
      <c r="HC10" s="198">
        <f t="shared" ref="HC10:HC21" si="13">G10+X10+AO10+BF10+BW10+CN10+DE10</f>
        <v>4</v>
      </c>
      <c r="HD10" s="199"/>
      <c r="HE10" s="199"/>
      <c r="HF10" s="199"/>
      <c r="HG10" s="199"/>
      <c r="HH10" s="199"/>
      <c r="HI10" s="199"/>
      <c r="HJ10" s="199"/>
      <c r="HK10" s="199"/>
      <c r="HL10" s="199"/>
      <c r="HM10" s="199"/>
      <c r="HN10" s="200">
        <f t="shared" ref="HN10:HN22" si="14">G10+X10+AO10+BF10+BW10+CN10+DE10+DV10+EM10+FD10+FU10+GL10</f>
        <v>4</v>
      </c>
    </row>
    <row r="11" spans="1:222" ht="22.5" customHeight="1">
      <c r="A11" s="1"/>
      <c r="B11" s="201">
        <v>155570</v>
      </c>
      <c r="C11" s="201" t="s">
        <v>204</v>
      </c>
      <c r="D11" s="202" t="s">
        <v>39</v>
      </c>
      <c r="E11" s="203">
        <v>3.7</v>
      </c>
      <c r="F11" s="204">
        <v>3</v>
      </c>
      <c r="G11" s="205">
        <v>0</v>
      </c>
      <c r="H11" s="206" t="s">
        <v>129</v>
      </c>
      <c r="I11" s="207" t="s">
        <v>127</v>
      </c>
      <c r="J11" s="153">
        <v>4556.92</v>
      </c>
      <c r="K11" s="208">
        <v>0.25</v>
      </c>
      <c r="L11" s="987" t="s">
        <v>199</v>
      </c>
      <c r="M11" s="975"/>
      <c r="N11" s="208">
        <v>0.2</v>
      </c>
      <c r="O11" s="209" t="s">
        <v>200</v>
      </c>
      <c r="P11" s="210">
        <v>30</v>
      </c>
      <c r="Q11" s="211">
        <f>IFERROR((52/(IF(H11="S",G11+(IF(Y11="S",X11,0))+(IF(AP11="S",AO11,0)),0)))/12,0)*0</f>
        <v>0</v>
      </c>
      <c r="R11" s="211">
        <f>IFERROR(((12)/(IF(H11="S",G11+(IF(Y11="S",X11,0))+(IF(AP11="S",AO11,0)),0)))/12,0)</f>
        <v>0</v>
      </c>
      <c r="S11" s="212">
        <v>0</v>
      </c>
      <c r="T11" s="212">
        <v>0</v>
      </c>
      <c r="U11" s="207" t="s">
        <v>69</v>
      </c>
      <c r="V11" s="213">
        <v>0</v>
      </c>
      <c r="W11" s="214">
        <v>0</v>
      </c>
      <c r="X11" s="215">
        <v>2</v>
      </c>
      <c r="Y11" s="216" t="s">
        <v>129</v>
      </c>
      <c r="Z11" s="169" t="s">
        <v>127</v>
      </c>
      <c r="AA11" s="153">
        <v>4556.92</v>
      </c>
      <c r="AB11" s="217">
        <v>0.25</v>
      </c>
      <c r="AC11" s="985" t="s">
        <v>199</v>
      </c>
      <c r="AD11" s="975"/>
      <c r="AE11" s="217">
        <v>0.2</v>
      </c>
      <c r="AF11" s="218" t="s">
        <v>200</v>
      </c>
      <c r="AG11" s="167">
        <v>20</v>
      </c>
      <c r="AH11" s="168">
        <f>IFERROR((52/(IF(Y11="S",X11+(IF(H11="S",G11,0))+(IF(AP11="S",AO11,0)),0)))/12,0)*0</f>
        <v>0</v>
      </c>
      <c r="AI11" s="168">
        <f>IFERROR(((12)/(IF(Y11="S",X11+(IF(H11="S",G11,0))+(IF(AP11="S",AO11,0)),0)))/12,0)</f>
        <v>0</v>
      </c>
      <c r="AJ11" s="219">
        <v>0</v>
      </c>
      <c r="AK11" s="219">
        <v>0</v>
      </c>
      <c r="AL11" s="169" t="s">
        <v>69</v>
      </c>
      <c r="AM11" s="219">
        <v>0</v>
      </c>
      <c r="AN11" s="219">
        <v>0</v>
      </c>
      <c r="AO11" s="220">
        <v>0</v>
      </c>
      <c r="AP11" s="221" t="s">
        <v>69</v>
      </c>
      <c r="AQ11" s="173" t="s">
        <v>83</v>
      </c>
      <c r="AR11" s="222">
        <v>1305.56</v>
      </c>
      <c r="AS11" s="223">
        <v>0.25</v>
      </c>
      <c r="AT11" s="976" t="s">
        <v>199</v>
      </c>
      <c r="AU11" s="975"/>
      <c r="AV11" s="223">
        <v>0.2</v>
      </c>
      <c r="AW11" s="176" t="s">
        <v>201</v>
      </c>
      <c r="AX11" s="177">
        <v>40</v>
      </c>
      <c r="AY11" s="178">
        <f>IFERROR((52/(IF(AP11="S",AO11+(IF(H11="S",G11,0))+(IF(Y11="S",X11,0)),0)))/12,0)*0</f>
        <v>0</v>
      </c>
      <c r="AZ11" s="178">
        <f>IFERROR(((12)/(IF(AP11="S",AO11+(IF(H11="S",G11,0))+(IF(Y11="S",X11,0)),0)))/12,0)</f>
        <v>0</v>
      </c>
      <c r="BA11" s="224">
        <v>25</v>
      </c>
      <c r="BB11" s="224">
        <v>25</v>
      </c>
      <c r="BC11" s="173" t="s">
        <v>129</v>
      </c>
      <c r="BD11" s="225">
        <v>1</v>
      </c>
      <c r="BE11" s="225">
        <v>1</v>
      </c>
      <c r="BF11" s="220">
        <v>0</v>
      </c>
      <c r="BG11" s="221" t="s">
        <v>129</v>
      </c>
      <c r="BH11" s="173" t="s">
        <v>28</v>
      </c>
      <c r="BI11" s="174">
        <v>1929.4</v>
      </c>
      <c r="BJ11" s="223">
        <v>0.25</v>
      </c>
      <c r="BK11" s="976" t="s">
        <v>199</v>
      </c>
      <c r="BL11" s="975"/>
      <c r="BM11" s="223">
        <v>0.2</v>
      </c>
      <c r="BN11" s="176" t="s">
        <v>202</v>
      </c>
      <c r="BO11" s="177">
        <v>44</v>
      </c>
      <c r="BP11" s="178">
        <f t="shared" si="3"/>
        <v>0</v>
      </c>
      <c r="BQ11" s="178">
        <f t="shared" si="4"/>
        <v>0</v>
      </c>
      <c r="BR11" s="224">
        <v>22</v>
      </c>
      <c r="BS11" s="224">
        <v>22</v>
      </c>
      <c r="BT11" s="173" t="s">
        <v>69</v>
      </c>
      <c r="BU11" s="224"/>
      <c r="BV11" s="226"/>
      <c r="BW11" s="220">
        <v>0</v>
      </c>
      <c r="BX11" s="221" t="s">
        <v>69</v>
      </c>
      <c r="BY11" s="173" t="s">
        <v>28</v>
      </c>
      <c r="BZ11" s="174">
        <v>2461.8000000000002</v>
      </c>
      <c r="CA11" s="223">
        <v>0.25</v>
      </c>
      <c r="CB11" s="976" t="s">
        <v>199</v>
      </c>
      <c r="CC11" s="975"/>
      <c r="CD11" s="223">
        <v>0.2</v>
      </c>
      <c r="CE11" s="176" t="s">
        <v>202</v>
      </c>
      <c r="CF11" s="177">
        <v>44</v>
      </c>
      <c r="CG11" s="178">
        <f t="shared" si="5"/>
        <v>0</v>
      </c>
      <c r="CH11" s="178">
        <f t="shared" ref="CH11:CH12" si="15">IFERROR(((52+12)/(IF(BX11="S",BW11+(IF(Y11="S",X11,0))+(IF(AS11="S",AR11,0)),0)))/12,0)</f>
        <v>0</v>
      </c>
      <c r="CI11" s="224">
        <v>22</v>
      </c>
      <c r="CJ11" s="224">
        <v>22</v>
      </c>
      <c r="CK11" s="173" t="s">
        <v>69</v>
      </c>
      <c r="CL11" s="224"/>
      <c r="CM11" s="224"/>
      <c r="CN11" s="220">
        <v>0</v>
      </c>
      <c r="CO11" s="221" t="s">
        <v>69</v>
      </c>
      <c r="CP11" s="173" t="s">
        <v>28</v>
      </c>
      <c r="CQ11" s="222">
        <v>1396.01</v>
      </c>
      <c r="CR11" s="223">
        <v>0.3</v>
      </c>
      <c r="CS11" s="976" t="s">
        <v>199</v>
      </c>
      <c r="CT11" s="975"/>
      <c r="CU11" s="223">
        <v>0.2</v>
      </c>
      <c r="CV11" s="176" t="s">
        <v>201</v>
      </c>
      <c r="CW11" s="177">
        <v>44</v>
      </c>
      <c r="CX11" s="178">
        <f t="shared" si="6"/>
        <v>0</v>
      </c>
      <c r="CY11" s="178">
        <f t="shared" ref="CY11:CY12" si="16">IFERROR(((52+12)/(IF(CO11="S",CN11+(IF(Y11="S",X11,0))+(IF(AS11="S",AR11,0)),0)))/12,0)</f>
        <v>0</v>
      </c>
      <c r="CZ11" s="224">
        <v>22</v>
      </c>
      <c r="DA11" s="224">
        <v>22</v>
      </c>
      <c r="DB11" s="173" t="s">
        <v>69</v>
      </c>
      <c r="DC11" s="224"/>
      <c r="DD11" s="224"/>
      <c r="DE11" s="220">
        <v>0</v>
      </c>
      <c r="DF11" s="221" t="s">
        <v>69</v>
      </c>
      <c r="DG11" s="173" t="s">
        <v>28</v>
      </c>
      <c r="DH11" s="222">
        <v>1396.01</v>
      </c>
      <c r="DI11" s="223">
        <v>0.25</v>
      </c>
      <c r="DJ11" s="984" t="s">
        <v>199</v>
      </c>
      <c r="DK11" s="975"/>
      <c r="DL11" s="223">
        <v>0.2</v>
      </c>
      <c r="DM11" s="176" t="s">
        <v>201</v>
      </c>
      <c r="DN11" s="182">
        <v>44</v>
      </c>
      <c r="DO11" s="178">
        <f t="shared" si="7"/>
        <v>0</v>
      </c>
      <c r="DP11" s="178">
        <f t="shared" ref="DP11:DP12" si="17">IFERROR(((52+12)/(IF(DF11="S",DE11+(IF(Y11="S",X11,0))+(IF(AS11="S",AR11,0)),0)))/12,0)</f>
        <v>0</v>
      </c>
      <c r="DQ11" s="224">
        <v>22</v>
      </c>
      <c r="DR11" s="224">
        <v>22</v>
      </c>
      <c r="DS11" s="173" t="s">
        <v>69</v>
      </c>
      <c r="DT11" s="224"/>
      <c r="DU11" s="224"/>
      <c r="DV11" s="227">
        <v>0</v>
      </c>
      <c r="DW11" s="228" t="s">
        <v>129</v>
      </c>
      <c r="DX11" s="173" t="s">
        <v>19</v>
      </c>
      <c r="DY11" s="222">
        <v>4128.0200000000004</v>
      </c>
      <c r="DZ11" s="223">
        <v>0.25</v>
      </c>
      <c r="EA11" s="984" t="s">
        <v>199</v>
      </c>
      <c r="EB11" s="975"/>
      <c r="EC11" s="223">
        <v>0.2</v>
      </c>
      <c r="ED11" s="176" t="s">
        <v>200</v>
      </c>
      <c r="EE11" s="182">
        <v>44</v>
      </c>
      <c r="EF11" s="178">
        <f t="shared" si="8"/>
        <v>0</v>
      </c>
      <c r="EG11" s="178">
        <f t="shared" ref="EG11:EG12" si="18">IFERROR(((52+12)/(IF(DW11="S",DV11+(IF(Y11="S",X11,0))+(IF(AS11="S",AR11,0)),0)))/12,0)</f>
        <v>0</v>
      </c>
      <c r="EH11" s="224">
        <v>22</v>
      </c>
      <c r="EI11" s="224">
        <v>22</v>
      </c>
      <c r="EJ11" s="173" t="s">
        <v>69</v>
      </c>
      <c r="EK11" s="224"/>
      <c r="EL11" s="224"/>
      <c r="EM11" s="229">
        <v>0</v>
      </c>
      <c r="EN11" s="230" t="s">
        <v>129</v>
      </c>
      <c r="EO11" s="191" t="s">
        <v>19</v>
      </c>
      <c r="EP11" s="231">
        <v>4128.0200000000004</v>
      </c>
      <c r="EQ11" s="232">
        <v>0.25</v>
      </c>
      <c r="ER11" s="974" t="s">
        <v>199</v>
      </c>
      <c r="ES11" s="975"/>
      <c r="ET11" s="232">
        <v>0.2</v>
      </c>
      <c r="EU11" s="233" t="s">
        <v>200</v>
      </c>
      <c r="EV11" s="195">
        <v>44</v>
      </c>
      <c r="EW11" s="234">
        <f t="shared" si="9"/>
        <v>0</v>
      </c>
      <c r="EX11" s="234">
        <f t="shared" ref="EX11:EX12" si="19">IFERROR(((52+12)/(IF(EN11="S",EM11+(IF(Y11="S",X11,0))+(IF(AS11="S",AR11,0)),0)))/12,0)</f>
        <v>0</v>
      </c>
      <c r="EY11" s="235">
        <v>22</v>
      </c>
      <c r="EZ11" s="235">
        <v>22</v>
      </c>
      <c r="FA11" s="191" t="s">
        <v>69</v>
      </c>
      <c r="FB11" s="235"/>
      <c r="FC11" s="235"/>
      <c r="FD11" s="229">
        <v>0</v>
      </c>
      <c r="FE11" s="230" t="s">
        <v>129</v>
      </c>
      <c r="FF11" s="191" t="s">
        <v>19</v>
      </c>
      <c r="FG11" s="231">
        <v>1741.45</v>
      </c>
      <c r="FH11" s="232">
        <v>0.25</v>
      </c>
      <c r="FI11" s="974" t="s">
        <v>199</v>
      </c>
      <c r="FJ11" s="975"/>
      <c r="FK11" s="232">
        <v>0.2</v>
      </c>
      <c r="FL11" s="233" t="s">
        <v>203</v>
      </c>
      <c r="FM11" s="195">
        <v>44</v>
      </c>
      <c r="FN11" s="234">
        <f t="shared" si="10"/>
        <v>0</v>
      </c>
      <c r="FO11" s="234">
        <f t="shared" ref="FO11:FO12" si="20">IFERROR(((52+12)/(IF(FE11="S",FD11+(IF(Y11="S",X11,0))+(IF(AS11="S",AR11,0)),0)))/12,0)</f>
        <v>0</v>
      </c>
      <c r="FP11" s="235">
        <v>9</v>
      </c>
      <c r="FQ11" s="235"/>
      <c r="FR11" s="191" t="s">
        <v>69</v>
      </c>
      <c r="FS11" s="235"/>
      <c r="FT11" s="235"/>
      <c r="FU11" s="229">
        <v>0</v>
      </c>
      <c r="FV11" s="230" t="s">
        <v>129</v>
      </c>
      <c r="FW11" s="191" t="s">
        <v>19</v>
      </c>
      <c r="FX11" s="231">
        <v>0</v>
      </c>
      <c r="FY11" s="232">
        <v>0.25</v>
      </c>
      <c r="FZ11" s="974" t="s">
        <v>199</v>
      </c>
      <c r="GA11" s="975"/>
      <c r="GB11" s="232">
        <v>0.2</v>
      </c>
      <c r="GC11" s="233" t="s">
        <v>200</v>
      </c>
      <c r="GD11" s="195">
        <v>44</v>
      </c>
      <c r="GE11" s="234">
        <f t="shared" si="11"/>
        <v>0</v>
      </c>
      <c r="GF11" s="234">
        <f t="shared" ref="GF11:GF12" si="21">IFERROR(((52+12)/(IF(FV11="S",FU11+(IF(Y11="S",X11,0))+(IF(AS11="S",AR11,0)),0)))/12,0)</f>
        <v>0</v>
      </c>
      <c r="GG11" s="235">
        <v>0</v>
      </c>
      <c r="GH11" s="235"/>
      <c r="GI11" s="191" t="s">
        <v>69</v>
      </c>
      <c r="GJ11" s="235"/>
      <c r="GK11" s="235"/>
      <c r="GL11" s="229">
        <v>0</v>
      </c>
      <c r="GM11" s="230" t="s">
        <v>129</v>
      </c>
      <c r="GN11" s="191" t="s">
        <v>19</v>
      </c>
      <c r="GO11" s="231">
        <v>0</v>
      </c>
      <c r="GP11" s="232">
        <v>0.25</v>
      </c>
      <c r="GQ11" s="974" t="s">
        <v>199</v>
      </c>
      <c r="GR11" s="975"/>
      <c r="GS11" s="232">
        <v>0.2</v>
      </c>
      <c r="GT11" s="233" t="s">
        <v>200</v>
      </c>
      <c r="GU11" s="195">
        <v>44</v>
      </c>
      <c r="GV11" s="234">
        <f t="shared" ref="GV11:GV21" si="22">IFERROR((52/(IF(GM11="S",GL11+(IF(Y11="S",X11,0))+(IF(AS11="S",AR11,0)),0)))/12,0)</f>
        <v>0</v>
      </c>
      <c r="GW11" s="234">
        <f t="shared" si="12"/>
        <v>0</v>
      </c>
      <c r="GX11" s="235">
        <v>0</v>
      </c>
      <c r="GY11" s="235"/>
      <c r="GZ11" s="191" t="s">
        <v>69</v>
      </c>
      <c r="HA11" s="235"/>
      <c r="HB11" s="235"/>
      <c r="HC11" s="198">
        <f t="shared" si="13"/>
        <v>2</v>
      </c>
      <c r="HD11" s="86"/>
      <c r="HE11" s="86"/>
      <c r="HF11" s="86"/>
      <c r="HG11" s="86"/>
      <c r="HH11" s="86"/>
      <c r="HI11" s="86"/>
      <c r="HJ11" s="86"/>
      <c r="HK11" s="86"/>
      <c r="HL11" s="86"/>
      <c r="HM11" s="86"/>
      <c r="HN11" s="200">
        <f t="shared" si="14"/>
        <v>2</v>
      </c>
    </row>
    <row r="12" spans="1:222" ht="22.5" customHeight="1">
      <c r="A12" s="1"/>
      <c r="B12" s="201">
        <v>154628</v>
      </c>
      <c r="C12" s="201" t="s">
        <v>205</v>
      </c>
      <c r="D12" s="202" t="s">
        <v>44</v>
      </c>
      <c r="E12" s="236">
        <v>8</v>
      </c>
      <c r="F12" s="204">
        <v>3</v>
      </c>
      <c r="G12" s="205">
        <v>1</v>
      </c>
      <c r="H12" s="206" t="s">
        <v>129</v>
      </c>
      <c r="I12" s="207" t="s">
        <v>127</v>
      </c>
      <c r="J12" s="153">
        <v>4556.92</v>
      </c>
      <c r="K12" s="208">
        <v>0.25</v>
      </c>
      <c r="L12" s="987" t="s">
        <v>199</v>
      </c>
      <c r="M12" s="975"/>
      <c r="N12" s="208">
        <v>0.2</v>
      </c>
      <c r="O12" s="209" t="s">
        <v>200</v>
      </c>
      <c r="P12" s="210">
        <v>30</v>
      </c>
      <c r="Q12" s="211">
        <f t="shared" ref="Q12:Q21" si="23">IFERROR((52/(IF(H12="S",G12+(IF(Y12="S",X12,0))+(IF(AP12="S",AO12,0)),0)))/12,0)</f>
        <v>0</v>
      </c>
      <c r="R12" s="211">
        <f t="shared" ref="R12:R21" si="24">IFERROR(((52+12)/(IF(H12="S",G12+(IF(Y12="S",X12,0))+(IF(AP12="S",AO12,0)),0)))/12,0)</f>
        <v>0</v>
      </c>
      <c r="S12" s="212">
        <v>0</v>
      </c>
      <c r="T12" s="212">
        <v>0</v>
      </c>
      <c r="U12" s="207" t="s">
        <v>69</v>
      </c>
      <c r="V12" s="213">
        <v>0</v>
      </c>
      <c r="W12" s="214">
        <v>0</v>
      </c>
      <c r="X12" s="215">
        <v>2</v>
      </c>
      <c r="Y12" s="216" t="s">
        <v>129</v>
      </c>
      <c r="Z12" s="169" t="s">
        <v>127</v>
      </c>
      <c r="AA12" s="153">
        <v>4556.92</v>
      </c>
      <c r="AB12" s="217">
        <v>0.25</v>
      </c>
      <c r="AC12" s="985" t="s">
        <v>199</v>
      </c>
      <c r="AD12" s="975"/>
      <c r="AE12" s="217">
        <v>0.2</v>
      </c>
      <c r="AF12" s="218" t="s">
        <v>200</v>
      </c>
      <c r="AG12" s="167">
        <v>20</v>
      </c>
      <c r="AH12" s="168">
        <f t="shared" ref="AH12:AH19" si="25">IFERROR((52/(IF(Y12="S",X12+(IF(H12="S",G12,0))+(IF(AP12="S",AO12,0)),0)))/12,0)</f>
        <v>0</v>
      </c>
      <c r="AI12" s="168">
        <f t="shared" ref="AI12:AI21" si="26">IFERROR(((52+12)/(IF(Y12="S",X12+(IF(H12="S",G12,0))+(IF(AP12="S",AO12,0)),0)))/12,0)</f>
        <v>0</v>
      </c>
      <c r="AJ12" s="219">
        <v>0</v>
      </c>
      <c r="AK12" s="219">
        <v>0</v>
      </c>
      <c r="AL12" s="169" t="s">
        <v>69</v>
      </c>
      <c r="AM12" s="219">
        <v>0</v>
      </c>
      <c r="AN12" s="219">
        <v>0</v>
      </c>
      <c r="AO12" s="220">
        <v>0</v>
      </c>
      <c r="AP12" s="221" t="s">
        <v>69</v>
      </c>
      <c r="AQ12" s="173" t="s">
        <v>83</v>
      </c>
      <c r="AR12" s="222">
        <v>1305.56</v>
      </c>
      <c r="AS12" s="223">
        <v>0.2</v>
      </c>
      <c r="AT12" s="976" t="s">
        <v>199</v>
      </c>
      <c r="AU12" s="975"/>
      <c r="AV12" s="223">
        <v>0.2</v>
      </c>
      <c r="AW12" s="176" t="s">
        <v>201</v>
      </c>
      <c r="AX12" s="177">
        <v>40</v>
      </c>
      <c r="AY12" s="178">
        <f t="shared" ref="AY12:AY21" si="27">IFERROR((52/(IF(AP12="S",AO12+(IF(H12="S",G12,0))+(IF(Y12="S",X12,0)),0)))/12,0)</f>
        <v>0</v>
      </c>
      <c r="AZ12" s="178">
        <f t="shared" ref="AZ12:AZ21" si="28">IFERROR(((52+12)/(IF(AP12="S",AO12+(IF(H12="S",G12,0))+(IF(Y12="S",X12,0)),0)))/12,0)</f>
        <v>0</v>
      </c>
      <c r="BA12" s="224">
        <v>25</v>
      </c>
      <c r="BB12" s="224">
        <v>25</v>
      </c>
      <c r="BC12" s="173" t="s">
        <v>129</v>
      </c>
      <c r="BD12" s="225">
        <v>1</v>
      </c>
      <c r="BE12" s="225">
        <v>1</v>
      </c>
      <c r="BF12" s="220">
        <v>0</v>
      </c>
      <c r="BG12" s="221" t="s">
        <v>129</v>
      </c>
      <c r="BH12" s="173" t="s">
        <v>28</v>
      </c>
      <c r="BI12" s="174">
        <v>1929.4</v>
      </c>
      <c r="BJ12" s="223">
        <v>0.25</v>
      </c>
      <c r="BK12" s="976" t="s">
        <v>199</v>
      </c>
      <c r="BL12" s="975"/>
      <c r="BM12" s="223">
        <v>0.2</v>
      </c>
      <c r="BN12" s="176" t="s">
        <v>202</v>
      </c>
      <c r="BO12" s="177">
        <v>44</v>
      </c>
      <c r="BP12" s="178">
        <f t="shared" si="3"/>
        <v>0</v>
      </c>
      <c r="BQ12" s="178">
        <f t="shared" si="4"/>
        <v>0</v>
      </c>
      <c r="BR12" s="224">
        <v>22</v>
      </c>
      <c r="BS12" s="224">
        <v>22</v>
      </c>
      <c r="BT12" s="173" t="s">
        <v>69</v>
      </c>
      <c r="BU12" s="224"/>
      <c r="BV12" s="226"/>
      <c r="BW12" s="220">
        <v>0</v>
      </c>
      <c r="BX12" s="221" t="s">
        <v>69</v>
      </c>
      <c r="BY12" s="173" t="s">
        <v>28</v>
      </c>
      <c r="BZ12" s="174">
        <v>2461.8000000000002</v>
      </c>
      <c r="CA12" s="223">
        <v>0.25</v>
      </c>
      <c r="CB12" s="976" t="s">
        <v>199</v>
      </c>
      <c r="CC12" s="975"/>
      <c r="CD12" s="223">
        <v>0.2</v>
      </c>
      <c r="CE12" s="176" t="s">
        <v>202</v>
      </c>
      <c r="CF12" s="177">
        <v>44</v>
      </c>
      <c r="CG12" s="178">
        <f t="shared" si="5"/>
        <v>0</v>
      </c>
      <c r="CH12" s="178">
        <f t="shared" si="15"/>
        <v>0</v>
      </c>
      <c r="CI12" s="224">
        <v>22</v>
      </c>
      <c r="CJ12" s="224">
        <v>22</v>
      </c>
      <c r="CK12" s="173" t="s">
        <v>69</v>
      </c>
      <c r="CL12" s="224"/>
      <c r="CM12" s="224"/>
      <c r="CN12" s="220">
        <v>0</v>
      </c>
      <c r="CO12" s="221" t="s">
        <v>69</v>
      </c>
      <c r="CP12" s="173" t="s">
        <v>28</v>
      </c>
      <c r="CQ12" s="222">
        <v>1396.01</v>
      </c>
      <c r="CR12" s="223">
        <v>0.3</v>
      </c>
      <c r="CS12" s="976" t="s">
        <v>199</v>
      </c>
      <c r="CT12" s="975"/>
      <c r="CU12" s="223">
        <v>0.2</v>
      </c>
      <c r="CV12" s="176" t="s">
        <v>201</v>
      </c>
      <c r="CW12" s="177">
        <v>44</v>
      </c>
      <c r="CX12" s="178">
        <f t="shared" si="6"/>
        <v>0</v>
      </c>
      <c r="CY12" s="178">
        <f t="shared" si="16"/>
        <v>0</v>
      </c>
      <c r="CZ12" s="224">
        <v>22</v>
      </c>
      <c r="DA12" s="224">
        <v>22</v>
      </c>
      <c r="DB12" s="173" t="s">
        <v>69</v>
      </c>
      <c r="DC12" s="224"/>
      <c r="DD12" s="224"/>
      <c r="DE12" s="220">
        <v>0</v>
      </c>
      <c r="DF12" s="221" t="s">
        <v>69</v>
      </c>
      <c r="DG12" s="173" t="s">
        <v>28</v>
      </c>
      <c r="DH12" s="222">
        <v>1396.01</v>
      </c>
      <c r="DI12" s="223">
        <v>0.25</v>
      </c>
      <c r="DJ12" s="984" t="s">
        <v>199</v>
      </c>
      <c r="DK12" s="975"/>
      <c r="DL12" s="223">
        <v>0.2</v>
      </c>
      <c r="DM12" s="176" t="s">
        <v>201</v>
      </c>
      <c r="DN12" s="182">
        <v>44</v>
      </c>
      <c r="DO12" s="178">
        <f t="shared" si="7"/>
        <v>0</v>
      </c>
      <c r="DP12" s="178">
        <f t="shared" si="17"/>
        <v>0</v>
      </c>
      <c r="DQ12" s="224">
        <v>22</v>
      </c>
      <c r="DR12" s="224">
        <v>22</v>
      </c>
      <c r="DS12" s="173" t="s">
        <v>69</v>
      </c>
      <c r="DT12" s="224"/>
      <c r="DU12" s="224"/>
      <c r="DV12" s="227">
        <v>0</v>
      </c>
      <c r="DW12" s="228" t="s">
        <v>129</v>
      </c>
      <c r="DX12" s="173" t="s">
        <v>19</v>
      </c>
      <c r="DY12" s="222">
        <v>4128.0200000000004</v>
      </c>
      <c r="DZ12" s="223">
        <v>0.25</v>
      </c>
      <c r="EA12" s="984" t="s">
        <v>199</v>
      </c>
      <c r="EB12" s="975"/>
      <c r="EC12" s="223">
        <v>0.2</v>
      </c>
      <c r="ED12" s="176" t="s">
        <v>200</v>
      </c>
      <c r="EE12" s="182">
        <v>44</v>
      </c>
      <c r="EF12" s="178">
        <f t="shared" si="8"/>
        <v>0</v>
      </c>
      <c r="EG12" s="178">
        <f t="shared" si="18"/>
        <v>0</v>
      </c>
      <c r="EH12" s="224">
        <v>22</v>
      </c>
      <c r="EI12" s="224">
        <v>22</v>
      </c>
      <c r="EJ12" s="173" t="s">
        <v>69</v>
      </c>
      <c r="EK12" s="224"/>
      <c r="EL12" s="224"/>
      <c r="EM12" s="229">
        <v>0</v>
      </c>
      <c r="EN12" s="230" t="s">
        <v>129</v>
      </c>
      <c r="EO12" s="191" t="s">
        <v>19</v>
      </c>
      <c r="EP12" s="231">
        <v>4128.0200000000004</v>
      </c>
      <c r="EQ12" s="232">
        <v>0.25</v>
      </c>
      <c r="ER12" s="974" t="s">
        <v>199</v>
      </c>
      <c r="ES12" s="975"/>
      <c r="ET12" s="232">
        <v>0.2</v>
      </c>
      <c r="EU12" s="233" t="s">
        <v>200</v>
      </c>
      <c r="EV12" s="195">
        <v>44</v>
      </c>
      <c r="EW12" s="234">
        <f t="shared" si="9"/>
        <v>0</v>
      </c>
      <c r="EX12" s="234">
        <f t="shared" si="19"/>
        <v>0</v>
      </c>
      <c r="EY12" s="235">
        <v>22</v>
      </c>
      <c r="EZ12" s="235">
        <v>22</v>
      </c>
      <c r="FA12" s="191" t="s">
        <v>69</v>
      </c>
      <c r="FB12" s="235"/>
      <c r="FC12" s="235"/>
      <c r="FD12" s="229">
        <v>0</v>
      </c>
      <c r="FE12" s="230" t="s">
        <v>129</v>
      </c>
      <c r="FF12" s="191" t="s">
        <v>19</v>
      </c>
      <c r="FG12" s="231">
        <v>1741.45</v>
      </c>
      <c r="FH12" s="232">
        <v>0.25</v>
      </c>
      <c r="FI12" s="974" t="s">
        <v>199</v>
      </c>
      <c r="FJ12" s="975"/>
      <c r="FK12" s="232">
        <v>0.2</v>
      </c>
      <c r="FL12" s="233" t="s">
        <v>203</v>
      </c>
      <c r="FM12" s="195">
        <v>44</v>
      </c>
      <c r="FN12" s="234">
        <f t="shared" si="10"/>
        <v>0</v>
      </c>
      <c r="FO12" s="234">
        <f t="shared" si="20"/>
        <v>0</v>
      </c>
      <c r="FP12" s="235">
        <v>9</v>
      </c>
      <c r="FQ12" s="235"/>
      <c r="FR12" s="191" t="s">
        <v>69</v>
      </c>
      <c r="FS12" s="235"/>
      <c r="FT12" s="235"/>
      <c r="FU12" s="229">
        <v>0</v>
      </c>
      <c r="FV12" s="230" t="s">
        <v>129</v>
      </c>
      <c r="FW12" s="191" t="s">
        <v>19</v>
      </c>
      <c r="FX12" s="231">
        <v>0</v>
      </c>
      <c r="FY12" s="232">
        <v>0.25</v>
      </c>
      <c r="FZ12" s="974" t="s">
        <v>199</v>
      </c>
      <c r="GA12" s="975"/>
      <c r="GB12" s="232">
        <v>0.2</v>
      </c>
      <c r="GC12" s="233" t="s">
        <v>200</v>
      </c>
      <c r="GD12" s="195">
        <v>44</v>
      </c>
      <c r="GE12" s="234">
        <f t="shared" si="11"/>
        <v>0</v>
      </c>
      <c r="GF12" s="234">
        <f t="shared" si="21"/>
        <v>0</v>
      </c>
      <c r="GG12" s="235">
        <v>0</v>
      </c>
      <c r="GH12" s="235"/>
      <c r="GI12" s="191" t="s">
        <v>69</v>
      </c>
      <c r="GJ12" s="235"/>
      <c r="GK12" s="235"/>
      <c r="GL12" s="229">
        <v>0</v>
      </c>
      <c r="GM12" s="230" t="s">
        <v>129</v>
      </c>
      <c r="GN12" s="191" t="s">
        <v>19</v>
      </c>
      <c r="GO12" s="231">
        <v>0</v>
      </c>
      <c r="GP12" s="232">
        <v>0.25</v>
      </c>
      <c r="GQ12" s="974" t="s">
        <v>199</v>
      </c>
      <c r="GR12" s="975"/>
      <c r="GS12" s="232">
        <v>0.2</v>
      </c>
      <c r="GT12" s="233" t="s">
        <v>200</v>
      </c>
      <c r="GU12" s="195">
        <v>44</v>
      </c>
      <c r="GV12" s="234">
        <f t="shared" si="22"/>
        <v>0</v>
      </c>
      <c r="GW12" s="234">
        <f t="shared" si="12"/>
        <v>0</v>
      </c>
      <c r="GX12" s="235">
        <v>0</v>
      </c>
      <c r="GY12" s="235"/>
      <c r="GZ12" s="191" t="s">
        <v>69</v>
      </c>
      <c r="HA12" s="235"/>
      <c r="HB12" s="235"/>
      <c r="HC12" s="198">
        <f t="shared" si="13"/>
        <v>3</v>
      </c>
      <c r="HD12" s="86"/>
      <c r="HE12" s="86"/>
      <c r="HF12" s="86"/>
      <c r="HG12" s="86"/>
      <c r="HH12" s="86"/>
      <c r="HI12" s="86"/>
      <c r="HJ12" s="86"/>
      <c r="HK12" s="86"/>
      <c r="HL12" s="86"/>
      <c r="HM12" s="86"/>
      <c r="HN12" s="200">
        <f t="shared" si="14"/>
        <v>3</v>
      </c>
    </row>
    <row r="13" spans="1:222" ht="22.5" customHeight="1">
      <c r="A13" s="145"/>
      <c r="B13" s="201">
        <v>158269</v>
      </c>
      <c r="C13" s="201" t="s">
        <v>206</v>
      </c>
      <c r="D13" s="202" t="s">
        <v>50</v>
      </c>
      <c r="E13" s="203">
        <v>3.2</v>
      </c>
      <c r="F13" s="204">
        <v>4</v>
      </c>
      <c r="G13" s="205">
        <v>2</v>
      </c>
      <c r="H13" s="206" t="s">
        <v>129</v>
      </c>
      <c r="I13" s="207" t="s">
        <v>127</v>
      </c>
      <c r="J13" s="153">
        <v>4556.92</v>
      </c>
      <c r="K13" s="237">
        <v>0.25</v>
      </c>
      <c r="L13" s="987" t="s">
        <v>199</v>
      </c>
      <c r="M13" s="975"/>
      <c r="N13" s="237">
        <v>0.2</v>
      </c>
      <c r="O13" s="209" t="s">
        <v>200</v>
      </c>
      <c r="P13" s="210">
        <v>30</v>
      </c>
      <c r="Q13" s="238">
        <f t="shared" si="23"/>
        <v>0</v>
      </c>
      <c r="R13" s="238">
        <f t="shared" si="24"/>
        <v>0</v>
      </c>
      <c r="S13" s="212">
        <v>0</v>
      </c>
      <c r="T13" s="212">
        <v>0</v>
      </c>
      <c r="U13" s="207" t="s">
        <v>69</v>
      </c>
      <c r="V13" s="239">
        <v>0</v>
      </c>
      <c r="W13" s="214">
        <v>0</v>
      </c>
      <c r="X13" s="240">
        <v>2</v>
      </c>
      <c r="Y13" s="241" t="s">
        <v>129</v>
      </c>
      <c r="Z13" s="169" t="s">
        <v>127</v>
      </c>
      <c r="AA13" s="153">
        <v>4556.92</v>
      </c>
      <c r="AB13" s="242">
        <v>0.25</v>
      </c>
      <c r="AC13" s="985" t="s">
        <v>199</v>
      </c>
      <c r="AD13" s="975"/>
      <c r="AE13" s="242">
        <v>0.2</v>
      </c>
      <c r="AF13" s="218" t="s">
        <v>200</v>
      </c>
      <c r="AG13" s="243">
        <v>20</v>
      </c>
      <c r="AH13" s="244">
        <f t="shared" si="25"/>
        <v>0</v>
      </c>
      <c r="AI13" s="244">
        <f t="shared" si="26"/>
        <v>0</v>
      </c>
      <c r="AJ13" s="245">
        <v>0</v>
      </c>
      <c r="AK13" s="245">
        <v>0</v>
      </c>
      <c r="AL13" s="246" t="s">
        <v>69</v>
      </c>
      <c r="AM13" s="247">
        <v>0</v>
      </c>
      <c r="AN13" s="247">
        <v>0</v>
      </c>
      <c r="AO13" s="220">
        <v>0</v>
      </c>
      <c r="AP13" s="221" t="s">
        <v>69</v>
      </c>
      <c r="AQ13" s="173" t="s">
        <v>83</v>
      </c>
      <c r="AR13" s="222">
        <v>1305.56</v>
      </c>
      <c r="AS13" s="223">
        <v>0.25</v>
      </c>
      <c r="AT13" s="976" t="s">
        <v>199</v>
      </c>
      <c r="AU13" s="975"/>
      <c r="AV13" s="223">
        <v>0.2</v>
      </c>
      <c r="AW13" s="176" t="s">
        <v>201</v>
      </c>
      <c r="AX13" s="177">
        <v>40</v>
      </c>
      <c r="AY13" s="178">
        <f t="shared" si="27"/>
        <v>0</v>
      </c>
      <c r="AZ13" s="178">
        <f t="shared" si="28"/>
        <v>0</v>
      </c>
      <c r="BA13" s="224">
        <v>25</v>
      </c>
      <c r="BB13" s="224">
        <v>25</v>
      </c>
      <c r="BC13" s="173" t="s">
        <v>129</v>
      </c>
      <c r="BD13" s="225">
        <v>1</v>
      </c>
      <c r="BE13" s="225">
        <v>1</v>
      </c>
      <c r="BF13" s="220">
        <v>0</v>
      </c>
      <c r="BG13" s="221" t="s">
        <v>129</v>
      </c>
      <c r="BH13" s="173" t="s">
        <v>102</v>
      </c>
      <c r="BI13" s="174">
        <v>1929.4</v>
      </c>
      <c r="BJ13" s="223">
        <v>0.25</v>
      </c>
      <c r="BK13" s="976" t="s">
        <v>199</v>
      </c>
      <c r="BL13" s="975"/>
      <c r="BM13" s="223">
        <v>0.2</v>
      </c>
      <c r="BN13" s="176" t="s">
        <v>202</v>
      </c>
      <c r="BO13" s="177">
        <v>44</v>
      </c>
      <c r="BP13" s="178">
        <f t="shared" si="3"/>
        <v>0</v>
      </c>
      <c r="BQ13" s="178">
        <f>IFERROR(((52+12)/(IF(AP13="S",AO13+(IF(H13="S",G13,0))+(IF(Y13="S",X13,0)),0)))/12,0)</f>
        <v>0</v>
      </c>
      <c r="BR13" s="224">
        <v>22</v>
      </c>
      <c r="BS13" s="224">
        <v>22</v>
      </c>
      <c r="BT13" s="173" t="s">
        <v>69</v>
      </c>
      <c r="BU13" s="224"/>
      <c r="BV13" s="226"/>
      <c r="BW13" s="220">
        <v>0</v>
      </c>
      <c r="BX13" s="221" t="s">
        <v>69</v>
      </c>
      <c r="BY13" s="173" t="s">
        <v>102</v>
      </c>
      <c r="BZ13" s="174">
        <v>2461.8000000000002</v>
      </c>
      <c r="CA13" s="223">
        <v>0.25</v>
      </c>
      <c r="CB13" s="976" t="s">
        <v>199</v>
      </c>
      <c r="CC13" s="975"/>
      <c r="CD13" s="223">
        <v>0.2</v>
      </c>
      <c r="CE13" s="176" t="s">
        <v>202</v>
      </c>
      <c r="CF13" s="177">
        <v>44</v>
      </c>
      <c r="CG13" s="178">
        <f t="shared" si="5"/>
        <v>0</v>
      </c>
      <c r="CH13" s="178">
        <f>IFERROR(((52+12)/(IF(AP13="S",AO13+(IF(H13="S",G13,0))+(IF(Y13="S",X13,0)),0)))/12,0)</f>
        <v>0</v>
      </c>
      <c r="CI13" s="224">
        <v>22</v>
      </c>
      <c r="CJ13" s="224">
        <v>22</v>
      </c>
      <c r="CK13" s="173" t="s">
        <v>69</v>
      </c>
      <c r="CL13" s="224"/>
      <c r="CM13" s="224"/>
      <c r="CN13" s="220">
        <v>0</v>
      </c>
      <c r="CO13" s="221" t="s">
        <v>69</v>
      </c>
      <c r="CP13" s="173" t="s">
        <v>28</v>
      </c>
      <c r="CQ13" s="222">
        <v>1396.01</v>
      </c>
      <c r="CR13" s="223">
        <v>0.3</v>
      </c>
      <c r="CS13" s="976" t="s">
        <v>199</v>
      </c>
      <c r="CT13" s="975"/>
      <c r="CU13" s="223">
        <v>0.2</v>
      </c>
      <c r="CV13" s="176" t="s">
        <v>201</v>
      </c>
      <c r="CW13" s="177">
        <v>44</v>
      </c>
      <c r="CX13" s="178">
        <f t="shared" si="6"/>
        <v>0</v>
      </c>
      <c r="CY13" s="178">
        <f>IFERROR(((52+12)/(IF(AP13="S",AO13+(IF(H13="S",G13,0))+(IF(Y13="S",X13,0)),0)))/12,0)</f>
        <v>0</v>
      </c>
      <c r="CZ13" s="224">
        <v>22</v>
      </c>
      <c r="DA13" s="224">
        <v>22</v>
      </c>
      <c r="DB13" s="173" t="s">
        <v>69</v>
      </c>
      <c r="DC13" s="224"/>
      <c r="DD13" s="224"/>
      <c r="DE13" s="220">
        <v>0</v>
      </c>
      <c r="DF13" s="221" t="s">
        <v>69</v>
      </c>
      <c r="DG13" s="173" t="s">
        <v>28</v>
      </c>
      <c r="DH13" s="222">
        <v>1396.01</v>
      </c>
      <c r="DI13" s="248">
        <v>0.25</v>
      </c>
      <c r="DJ13" s="984" t="s">
        <v>199</v>
      </c>
      <c r="DK13" s="975"/>
      <c r="DL13" s="248">
        <v>0.2</v>
      </c>
      <c r="DM13" s="176" t="s">
        <v>201</v>
      </c>
      <c r="DN13" s="182">
        <v>44</v>
      </c>
      <c r="DO13" s="183">
        <f t="shared" si="7"/>
        <v>0</v>
      </c>
      <c r="DP13" s="183">
        <f>IFERROR(((52+12)/(IF(AP13="S",AO13+(IF(H13="S",G13,0))+(IF(Y13="S",X13,0)),0)))/12,0)</f>
        <v>0</v>
      </c>
      <c r="DQ13" s="249">
        <v>22</v>
      </c>
      <c r="DR13" s="224">
        <v>22</v>
      </c>
      <c r="DS13" s="173" t="s">
        <v>69</v>
      </c>
      <c r="DT13" s="249"/>
      <c r="DU13" s="249"/>
      <c r="DV13" s="227">
        <v>0</v>
      </c>
      <c r="DW13" s="228" t="s">
        <v>129</v>
      </c>
      <c r="DX13" s="173" t="s">
        <v>19</v>
      </c>
      <c r="DY13" s="250">
        <v>4128.0200000000004</v>
      </c>
      <c r="DZ13" s="248">
        <v>0.25</v>
      </c>
      <c r="EA13" s="984" t="s">
        <v>199</v>
      </c>
      <c r="EB13" s="975"/>
      <c r="EC13" s="248">
        <v>0.2</v>
      </c>
      <c r="ED13" s="176" t="s">
        <v>200</v>
      </c>
      <c r="EE13" s="182">
        <v>44</v>
      </c>
      <c r="EF13" s="183">
        <f t="shared" si="8"/>
        <v>0</v>
      </c>
      <c r="EG13" s="183">
        <f>IFERROR(((52+12)/(IF(AP13="S",AO13+(IF(H13="S",G13,0))+(IF(Y13="S",X13,0)),0)))/12,0)</f>
        <v>0</v>
      </c>
      <c r="EH13" s="249">
        <v>22</v>
      </c>
      <c r="EI13" s="249">
        <v>22</v>
      </c>
      <c r="EJ13" s="173" t="s">
        <v>69</v>
      </c>
      <c r="EK13" s="249"/>
      <c r="EL13" s="249"/>
      <c r="EM13" s="229">
        <v>0</v>
      </c>
      <c r="EN13" s="230" t="s">
        <v>129</v>
      </c>
      <c r="EO13" s="191" t="s">
        <v>19</v>
      </c>
      <c r="EP13" s="251">
        <v>4128.0200000000004</v>
      </c>
      <c r="EQ13" s="252">
        <v>0.25</v>
      </c>
      <c r="ER13" s="974" t="s">
        <v>199</v>
      </c>
      <c r="ES13" s="975"/>
      <c r="ET13" s="252">
        <v>0.2</v>
      </c>
      <c r="EU13" s="233" t="s">
        <v>200</v>
      </c>
      <c r="EV13" s="195">
        <v>44</v>
      </c>
      <c r="EW13" s="196">
        <f t="shared" si="9"/>
        <v>0</v>
      </c>
      <c r="EX13" s="196">
        <f>IFERROR(((52+12)/(IF(AP13="S",AO13+(IF(H13="S",G13,0))+(IF(Y13="S",X13,0)),0)))/12,0)</f>
        <v>0</v>
      </c>
      <c r="EY13" s="253">
        <v>22</v>
      </c>
      <c r="EZ13" s="253">
        <v>22</v>
      </c>
      <c r="FA13" s="191" t="s">
        <v>69</v>
      </c>
      <c r="FB13" s="253"/>
      <c r="FC13" s="253"/>
      <c r="FD13" s="229">
        <v>0</v>
      </c>
      <c r="FE13" s="230" t="s">
        <v>129</v>
      </c>
      <c r="FF13" s="191" t="s">
        <v>19</v>
      </c>
      <c r="FG13" s="251">
        <v>1741.45</v>
      </c>
      <c r="FH13" s="252">
        <v>0.25</v>
      </c>
      <c r="FI13" s="974" t="s">
        <v>199</v>
      </c>
      <c r="FJ13" s="975"/>
      <c r="FK13" s="252">
        <v>0.2</v>
      </c>
      <c r="FL13" s="233" t="s">
        <v>203</v>
      </c>
      <c r="FM13" s="195">
        <v>44</v>
      </c>
      <c r="FN13" s="196">
        <f t="shared" si="10"/>
        <v>0</v>
      </c>
      <c r="FO13" s="196">
        <f>IFERROR(((52+12)/(IF(AP13="S",AO13+(IF(H13="S",G13,0))+(IF(Y13="S",X13,0)),0)))/12,0)</f>
        <v>0</v>
      </c>
      <c r="FP13" s="253">
        <v>25</v>
      </c>
      <c r="FQ13" s="253"/>
      <c r="FR13" s="191" t="s">
        <v>69</v>
      </c>
      <c r="FS13" s="253"/>
      <c r="FT13" s="253"/>
      <c r="FU13" s="229">
        <v>0</v>
      </c>
      <c r="FV13" s="230" t="s">
        <v>129</v>
      </c>
      <c r="FW13" s="191" t="s">
        <v>19</v>
      </c>
      <c r="FX13" s="251">
        <v>0</v>
      </c>
      <c r="FY13" s="252">
        <v>0.25</v>
      </c>
      <c r="FZ13" s="974" t="s">
        <v>199</v>
      </c>
      <c r="GA13" s="975"/>
      <c r="GB13" s="252">
        <v>0.2</v>
      </c>
      <c r="GC13" s="233" t="s">
        <v>200</v>
      </c>
      <c r="GD13" s="195">
        <v>44</v>
      </c>
      <c r="GE13" s="196">
        <f t="shared" si="11"/>
        <v>0</v>
      </c>
      <c r="GF13" s="196">
        <f>IFERROR(((52+12)/(IF(AP13="S",AO13+(IF(H13="S",G13,0))+(IF(Y13="S",X13,0)),0)))/12,0)</f>
        <v>0</v>
      </c>
      <c r="GG13" s="253">
        <v>0</v>
      </c>
      <c r="GH13" s="253">
        <v>0</v>
      </c>
      <c r="GI13" s="191" t="s">
        <v>69</v>
      </c>
      <c r="GJ13" s="253"/>
      <c r="GK13" s="253"/>
      <c r="GL13" s="229">
        <v>0</v>
      </c>
      <c r="GM13" s="230" t="s">
        <v>129</v>
      </c>
      <c r="GN13" s="191" t="s">
        <v>19</v>
      </c>
      <c r="GO13" s="251">
        <v>0</v>
      </c>
      <c r="GP13" s="252">
        <v>0.25</v>
      </c>
      <c r="GQ13" s="974" t="s">
        <v>199</v>
      </c>
      <c r="GR13" s="975"/>
      <c r="GS13" s="252">
        <v>0.2</v>
      </c>
      <c r="GT13" s="233" t="s">
        <v>200</v>
      </c>
      <c r="GU13" s="195">
        <v>44</v>
      </c>
      <c r="GV13" s="196">
        <f t="shared" si="22"/>
        <v>0</v>
      </c>
      <c r="GW13" s="196">
        <f>IFERROR(((52+12)/(IF(AP13="S",AO13+(IF(H13="S",G13,0))+(IF(Y13="S",X13,0)),0)))/12,0)</f>
        <v>0</v>
      </c>
      <c r="GX13" s="253">
        <v>0</v>
      </c>
      <c r="GY13" s="253">
        <v>0</v>
      </c>
      <c r="GZ13" s="191" t="s">
        <v>69</v>
      </c>
      <c r="HA13" s="253"/>
      <c r="HB13" s="253"/>
      <c r="HC13" s="198">
        <f t="shared" si="13"/>
        <v>4</v>
      </c>
      <c r="HD13" s="254"/>
      <c r="HE13" s="254"/>
      <c r="HF13" s="254"/>
      <c r="HG13" s="254"/>
      <c r="HH13" s="254"/>
      <c r="HI13" s="254"/>
      <c r="HJ13" s="254"/>
      <c r="HK13" s="254"/>
      <c r="HL13" s="254"/>
      <c r="HM13" s="254"/>
      <c r="HN13" s="200">
        <f t="shared" si="14"/>
        <v>4</v>
      </c>
    </row>
    <row r="14" spans="1:222" ht="22.5" customHeight="1">
      <c r="A14" s="145"/>
      <c r="B14" s="201">
        <v>158505</v>
      </c>
      <c r="C14" s="255" t="s">
        <v>207</v>
      </c>
      <c r="D14" s="202" t="s">
        <v>208</v>
      </c>
      <c r="E14" s="203">
        <v>4.5</v>
      </c>
      <c r="F14" s="204">
        <v>2</v>
      </c>
      <c r="G14" s="205">
        <v>1</v>
      </c>
      <c r="H14" s="256" t="s">
        <v>129</v>
      </c>
      <c r="I14" s="207" t="s">
        <v>127</v>
      </c>
      <c r="J14" s="153">
        <v>4556.92</v>
      </c>
      <c r="K14" s="237">
        <v>0.25</v>
      </c>
      <c r="L14" s="987" t="s">
        <v>199</v>
      </c>
      <c r="M14" s="975"/>
      <c r="N14" s="237">
        <v>0.2</v>
      </c>
      <c r="O14" s="209" t="s">
        <v>200</v>
      </c>
      <c r="P14" s="210">
        <v>30</v>
      </c>
      <c r="Q14" s="238">
        <f t="shared" si="23"/>
        <v>0</v>
      </c>
      <c r="R14" s="238">
        <f t="shared" si="24"/>
        <v>0</v>
      </c>
      <c r="S14" s="212">
        <v>0</v>
      </c>
      <c r="T14" s="212">
        <v>0</v>
      </c>
      <c r="U14" s="207" t="s">
        <v>69</v>
      </c>
      <c r="V14" s="239">
        <v>0</v>
      </c>
      <c r="W14" s="214">
        <v>0</v>
      </c>
      <c r="X14" s="240">
        <v>2</v>
      </c>
      <c r="Y14" s="241" t="s">
        <v>129</v>
      </c>
      <c r="Z14" s="169" t="s">
        <v>127</v>
      </c>
      <c r="AA14" s="153">
        <v>4556.92</v>
      </c>
      <c r="AB14" s="242">
        <v>0.25</v>
      </c>
      <c r="AC14" s="985" t="s">
        <v>199</v>
      </c>
      <c r="AD14" s="975"/>
      <c r="AE14" s="242">
        <v>0.2</v>
      </c>
      <c r="AF14" s="218" t="s">
        <v>200</v>
      </c>
      <c r="AG14" s="243">
        <v>20</v>
      </c>
      <c r="AH14" s="244">
        <f t="shared" si="25"/>
        <v>0</v>
      </c>
      <c r="AI14" s="244">
        <f t="shared" si="26"/>
        <v>0</v>
      </c>
      <c r="AJ14" s="245">
        <v>0</v>
      </c>
      <c r="AK14" s="245">
        <v>0</v>
      </c>
      <c r="AL14" s="246" t="s">
        <v>69</v>
      </c>
      <c r="AM14" s="245">
        <v>0</v>
      </c>
      <c r="AN14" s="245">
        <v>0</v>
      </c>
      <c r="AO14" s="220">
        <v>0</v>
      </c>
      <c r="AP14" s="221" t="s">
        <v>129</v>
      </c>
      <c r="AQ14" s="173" t="s">
        <v>83</v>
      </c>
      <c r="AR14" s="222">
        <v>1305.56</v>
      </c>
      <c r="AS14" s="223">
        <v>0.25</v>
      </c>
      <c r="AT14" s="976" t="s">
        <v>199</v>
      </c>
      <c r="AU14" s="975"/>
      <c r="AV14" s="223">
        <v>0.2</v>
      </c>
      <c r="AW14" s="176" t="s">
        <v>201</v>
      </c>
      <c r="AX14" s="177">
        <v>40</v>
      </c>
      <c r="AY14" s="178">
        <f t="shared" si="27"/>
        <v>0</v>
      </c>
      <c r="AZ14" s="178">
        <f t="shared" si="28"/>
        <v>0</v>
      </c>
      <c r="BA14" s="224">
        <v>25</v>
      </c>
      <c r="BB14" s="224">
        <v>25</v>
      </c>
      <c r="BC14" s="173" t="s">
        <v>129</v>
      </c>
      <c r="BD14" s="225">
        <v>1</v>
      </c>
      <c r="BE14" s="225">
        <v>1</v>
      </c>
      <c r="BF14" s="220">
        <v>0</v>
      </c>
      <c r="BG14" s="221" t="s">
        <v>129</v>
      </c>
      <c r="BH14" s="173" t="s">
        <v>28</v>
      </c>
      <c r="BI14" s="174">
        <v>1929.4</v>
      </c>
      <c r="BJ14" s="223">
        <v>0.25</v>
      </c>
      <c r="BK14" s="976" t="s">
        <v>199</v>
      </c>
      <c r="BL14" s="975"/>
      <c r="BM14" s="223">
        <v>0.2</v>
      </c>
      <c r="BN14" s="176" t="s">
        <v>202</v>
      </c>
      <c r="BO14" s="177">
        <v>44</v>
      </c>
      <c r="BP14" s="178">
        <f t="shared" si="3"/>
        <v>0</v>
      </c>
      <c r="BQ14" s="178">
        <f t="shared" ref="BQ14:BQ21" si="29">IFERROR(((52+12)/(IF(BG14="S",BF14+(IF(Y14="S",X14,0))+(IF(AS14="S",AR14,0)),0)))/12,0)</f>
        <v>0</v>
      </c>
      <c r="BR14" s="224">
        <v>22</v>
      </c>
      <c r="BS14" s="224">
        <v>22</v>
      </c>
      <c r="BT14" s="173" t="s">
        <v>69</v>
      </c>
      <c r="BU14" s="224"/>
      <c r="BV14" s="226"/>
      <c r="BW14" s="220">
        <v>0</v>
      </c>
      <c r="BX14" s="221" t="s">
        <v>69</v>
      </c>
      <c r="BY14" s="173" t="s">
        <v>28</v>
      </c>
      <c r="BZ14" s="174">
        <v>2461.8000000000002</v>
      </c>
      <c r="CA14" s="223">
        <v>0.25</v>
      </c>
      <c r="CB14" s="976" t="s">
        <v>199</v>
      </c>
      <c r="CC14" s="975"/>
      <c r="CD14" s="223">
        <v>0.2</v>
      </c>
      <c r="CE14" s="176" t="s">
        <v>202</v>
      </c>
      <c r="CF14" s="177">
        <v>44</v>
      </c>
      <c r="CG14" s="178">
        <f t="shared" si="5"/>
        <v>0</v>
      </c>
      <c r="CH14" s="178">
        <f t="shared" ref="CH14:CH21" si="30">IFERROR(((52+12)/(IF(BX14="S",BW14+(IF(Y14="S",X14,0))+(IF(AS14="S",AR14,0)),0)))/12,0)</f>
        <v>0</v>
      </c>
      <c r="CI14" s="224">
        <v>22</v>
      </c>
      <c r="CJ14" s="224">
        <v>22</v>
      </c>
      <c r="CK14" s="173" t="s">
        <v>69</v>
      </c>
      <c r="CL14" s="224"/>
      <c r="CM14" s="224"/>
      <c r="CN14" s="220">
        <v>0</v>
      </c>
      <c r="CO14" s="221" t="s">
        <v>69</v>
      </c>
      <c r="CP14" s="173" t="s">
        <v>28</v>
      </c>
      <c r="CQ14" s="222">
        <v>1396.01</v>
      </c>
      <c r="CR14" s="223">
        <v>0.3</v>
      </c>
      <c r="CS14" s="976" t="s">
        <v>199</v>
      </c>
      <c r="CT14" s="975"/>
      <c r="CU14" s="223">
        <v>0.2</v>
      </c>
      <c r="CV14" s="176" t="s">
        <v>201</v>
      </c>
      <c r="CW14" s="177">
        <v>44</v>
      </c>
      <c r="CX14" s="178">
        <f t="shared" si="6"/>
        <v>0</v>
      </c>
      <c r="CY14" s="178">
        <f t="shared" ref="CY14:CY21" si="31">IFERROR(((52+12)/(IF(CO14="S",CN14+(IF(Y14="S",X14,0))+(IF(AS14="S",AR14,0)),0)))/12,0)</f>
        <v>0</v>
      </c>
      <c r="CZ14" s="224">
        <v>22</v>
      </c>
      <c r="DA14" s="224">
        <v>22</v>
      </c>
      <c r="DB14" s="173" t="s">
        <v>69</v>
      </c>
      <c r="DC14" s="224"/>
      <c r="DD14" s="224"/>
      <c r="DE14" s="220">
        <v>0</v>
      </c>
      <c r="DF14" s="221" t="s">
        <v>69</v>
      </c>
      <c r="DG14" s="173" t="s">
        <v>28</v>
      </c>
      <c r="DH14" s="222">
        <v>1396.01</v>
      </c>
      <c r="DI14" s="248">
        <v>0.25</v>
      </c>
      <c r="DJ14" s="984" t="s">
        <v>199</v>
      </c>
      <c r="DK14" s="975"/>
      <c r="DL14" s="248">
        <v>0.2</v>
      </c>
      <c r="DM14" s="176" t="s">
        <v>201</v>
      </c>
      <c r="DN14" s="182">
        <v>44</v>
      </c>
      <c r="DO14" s="183">
        <f t="shared" si="7"/>
        <v>0</v>
      </c>
      <c r="DP14" s="183">
        <f t="shared" ref="DP14:DP21" si="32">IFERROR(((52+12)/(IF(DF14="S",DE14+(IF(Y14="S",X14,0))+(IF(AS14="S",AR14,0)),0)))/12,0)</f>
        <v>0</v>
      </c>
      <c r="DQ14" s="249">
        <v>22</v>
      </c>
      <c r="DR14" s="224">
        <v>22</v>
      </c>
      <c r="DS14" s="184" t="s">
        <v>69</v>
      </c>
      <c r="DT14" s="249"/>
      <c r="DU14" s="249"/>
      <c r="DV14" s="227">
        <v>0</v>
      </c>
      <c r="DW14" s="228" t="s">
        <v>129</v>
      </c>
      <c r="DX14" s="173" t="s">
        <v>19</v>
      </c>
      <c r="DY14" s="250">
        <v>4128.0200000000004</v>
      </c>
      <c r="DZ14" s="248">
        <v>0.25</v>
      </c>
      <c r="EA14" s="984" t="s">
        <v>199</v>
      </c>
      <c r="EB14" s="975"/>
      <c r="EC14" s="248">
        <v>0.2</v>
      </c>
      <c r="ED14" s="188" t="s">
        <v>200</v>
      </c>
      <c r="EE14" s="182">
        <v>44</v>
      </c>
      <c r="EF14" s="183">
        <f t="shared" si="8"/>
        <v>0</v>
      </c>
      <c r="EG14" s="183">
        <f t="shared" ref="EG14:EG21" si="33">IFERROR(((52+12)/(IF(DW14="S",DV14+(IF(Y14="S",X14,0))+(IF(AS14="S",AR14,0)),0)))/12,0)</f>
        <v>0</v>
      </c>
      <c r="EH14" s="249">
        <v>22</v>
      </c>
      <c r="EI14" s="249">
        <v>22</v>
      </c>
      <c r="EJ14" s="184" t="s">
        <v>69</v>
      </c>
      <c r="EK14" s="249"/>
      <c r="EL14" s="249"/>
      <c r="EM14" s="229">
        <v>0</v>
      </c>
      <c r="EN14" s="230" t="s">
        <v>129</v>
      </c>
      <c r="EO14" s="191" t="s">
        <v>19</v>
      </c>
      <c r="EP14" s="251">
        <v>4128.0200000000004</v>
      </c>
      <c r="EQ14" s="252">
        <v>0.25</v>
      </c>
      <c r="ER14" s="974" t="s">
        <v>199</v>
      </c>
      <c r="ES14" s="975"/>
      <c r="ET14" s="252">
        <v>0.2</v>
      </c>
      <c r="EU14" s="194" t="s">
        <v>200</v>
      </c>
      <c r="EV14" s="195">
        <v>44</v>
      </c>
      <c r="EW14" s="196">
        <f t="shared" si="9"/>
        <v>0</v>
      </c>
      <c r="EX14" s="196">
        <f t="shared" ref="EX14:EX21" si="34">IFERROR(((52+12)/(IF(EN14="S",EM14+(IF(Y14="S",X14,0))+(IF(AS14="S",AR14,0)),0)))/12,0)</f>
        <v>0</v>
      </c>
      <c r="EY14" s="253">
        <v>22</v>
      </c>
      <c r="EZ14" s="253">
        <v>22</v>
      </c>
      <c r="FA14" s="197" t="s">
        <v>69</v>
      </c>
      <c r="FB14" s="253"/>
      <c r="FC14" s="253"/>
      <c r="FD14" s="229">
        <v>0</v>
      </c>
      <c r="FE14" s="230" t="s">
        <v>129</v>
      </c>
      <c r="FF14" s="191" t="s">
        <v>19</v>
      </c>
      <c r="FG14" s="251">
        <v>1741.45</v>
      </c>
      <c r="FH14" s="252">
        <v>0.25</v>
      </c>
      <c r="FI14" s="974" t="s">
        <v>199</v>
      </c>
      <c r="FJ14" s="975"/>
      <c r="FK14" s="252">
        <v>0.2</v>
      </c>
      <c r="FL14" s="194" t="s">
        <v>203</v>
      </c>
      <c r="FM14" s="195">
        <v>44</v>
      </c>
      <c r="FN14" s="196">
        <f t="shared" si="10"/>
        <v>0</v>
      </c>
      <c r="FO14" s="196">
        <f t="shared" ref="FO14:FO21" si="35">IFERROR(((52+12)/(IF(FE14="S",FD14+(IF(Y14="S",X14,0))+(IF(AS14="S",AR14,0)),0)))/12,0)</f>
        <v>0</v>
      </c>
      <c r="FP14" s="253">
        <v>9</v>
      </c>
      <c r="FQ14" s="253"/>
      <c r="FR14" s="197" t="s">
        <v>69</v>
      </c>
      <c r="FS14" s="253"/>
      <c r="FT14" s="253"/>
      <c r="FU14" s="229">
        <v>0</v>
      </c>
      <c r="FV14" s="230" t="s">
        <v>129</v>
      </c>
      <c r="FW14" s="191" t="s">
        <v>19</v>
      </c>
      <c r="FX14" s="251">
        <v>0</v>
      </c>
      <c r="FY14" s="252">
        <v>0.25</v>
      </c>
      <c r="FZ14" s="974" t="s">
        <v>199</v>
      </c>
      <c r="GA14" s="975"/>
      <c r="GB14" s="252">
        <v>0.2</v>
      </c>
      <c r="GC14" s="194" t="s">
        <v>200</v>
      </c>
      <c r="GD14" s="195">
        <v>44</v>
      </c>
      <c r="GE14" s="196">
        <f t="shared" si="11"/>
        <v>0</v>
      </c>
      <c r="GF14" s="196">
        <f t="shared" ref="GF14:GF21" si="36">IFERROR(((52+12)/(IF(FV14="S",FU14+(IF(Y14="S",X14,0))+(IF(AS14="S",AR14,0)),0)))/12,0)</f>
        <v>0</v>
      </c>
      <c r="GG14" s="253">
        <v>0</v>
      </c>
      <c r="GH14" s="253"/>
      <c r="GI14" s="197" t="s">
        <v>69</v>
      </c>
      <c r="GJ14" s="253"/>
      <c r="GK14" s="253"/>
      <c r="GL14" s="229">
        <v>0</v>
      </c>
      <c r="GM14" s="230" t="s">
        <v>129</v>
      </c>
      <c r="GN14" s="191" t="s">
        <v>19</v>
      </c>
      <c r="GO14" s="251">
        <v>0</v>
      </c>
      <c r="GP14" s="252">
        <v>0.25</v>
      </c>
      <c r="GQ14" s="974" t="s">
        <v>199</v>
      </c>
      <c r="GR14" s="975"/>
      <c r="GS14" s="252">
        <v>0.2</v>
      </c>
      <c r="GT14" s="194" t="s">
        <v>200</v>
      </c>
      <c r="GU14" s="195">
        <v>44</v>
      </c>
      <c r="GV14" s="196">
        <f t="shared" si="22"/>
        <v>0</v>
      </c>
      <c r="GW14" s="196">
        <f t="shared" ref="GW14:GW21" si="37">IFERROR(((52+12)/(IF(GM14="S",GL14+(IF(Y14="S",X14,0))+(IF(AS14="S",AR14,0)),0)))/12,0)</f>
        <v>0</v>
      </c>
      <c r="GX14" s="253">
        <v>0</v>
      </c>
      <c r="GY14" s="253"/>
      <c r="GZ14" s="197" t="s">
        <v>69</v>
      </c>
      <c r="HA14" s="253"/>
      <c r="HB14" s="253"/>
      <c r="HC14" s="198">
        <f t="shared" si="13"/>
        <v>3</v>
      </c>
      <c r="HD14" s="199"/>
      <c r="HE14" s="199"/>
      <c r="HF14" s="199"/>
      <c r="HG14" s="199"/>
      <c r="HH14" s="199"/>
      <c r="HI14" s="199"/>
      <c r="HJ14" s="199"/>
      <c r="HK14" s="199"/>
      <c r="HL14" s="199"/>
      <c r="HM14" s="199"/>
      <c r="HN14" s="200">
        <f t="shared" si="14"/>
        <v>3</v>
      </c>
    </row>
    <row r="15" spans="1:222" ht="22.5" customHeight="1">
      <c r="A15" s="1"/>
      <c r="B15" s="201">
        <v>158127</v>
      </c>
      <c r="C15" s="201" t="s">
        <v>209</v>
      </c>
      <c r="D15" s="202" t="s">
        <v>55</v>
      </c>
      <c r="E15" s="203">
        <v>4.5</v>
      </c>
      <c r="F15" s="204">
        <v>4</v>
      </c>
      <c r="G15" s="205">
        <v>1</v>
      </c>
      <c r="H15" s="206" t="s">
        <v>129</v>
      </c>
      <c r="I15" s="207" t="s">
        <v>127</v>
      </c>
      <c r="J15" s="153">
        <v>4556.92</v>
      </c>
      <c r="K15" s="208">
        <v>0.25</v>
      </c>
      <c r="L15" s="987" t="s">
        <v>199</v>
      </c>
      <c r="M15" s="975"/>
      <c r="N15" s="208">
        <v>0.2</v>
      </c>
      <c r="O15" s="209" t="s">
        <v>200</v>
      </c>
      <c r="P15" s="210">
        <v>30</v>
      </c>
      <c r="Q15" s="211">
        <f t="shared" si="23"/>
        <v>0</v>
      </c>
      <c r="R15" s="211">
        <f t="shared" si="24"/>
        <v>0</v>
      </c>
      <c r="S15" s="212">
        <v>0</v>
      </c>
      <c r="T15" s="212">
        <v>0</v>
      </c>
      <c r="U15" s="207" t="s">
        <v>69</v>
      </c>
      <c r="V15" s="213">
        <v>0</v>
      </c>
      <c r="W15" s="214">
        <v>0</v>
      </c>
      <c r="X15" s="215">
        <v>1</v>
      </c>
      <c r="Y15" s="216" t="s">
        <v>129</v>
      </c>
      <c r="Z15" s="257" t="s">
        <v>127</v>
      </c>
      <c r="AA15" s="153">
        <v>4556.92</v>
      </c>
      <c r="AB15" s="217">
        <v>0.25</v>
      </c>
      <c r="AC15" s="985" t="s">
        <v>199</v>
      </c>
      <c r="AD15" s="975"/>
      <c r="AE15" s="217">
        <v>0.2</v>
      </c>
      <c r="AF15" s="218" t="s">
        <v>200</v>
      </c>
      <c r="AG15" s="167">
        <v>20</v>
      </c>
      <c r="AH15" s="168">
        <f t="shared" si="25"/>
        <v>0</v>
      </c>
      <c r="AI15" s="168">
        <f t="shared" si="26"/>
        <v>0</v>
      </c>
      <c r="AJ15" s="219">
        <v>0</v>
      </c>
      <c r="AK15" s="219">
        <v>0</v>
      </c>
      <c r="AL15" s="169" t="s">
        <v>69</v>
      </c>
      <c r="AM15" s="219">
        <v>0</v>
      </c>
      <c r="AN15" s="219">
        <v>0</v>
      </c>
      <c r="AO15" s="258">
        <v>0</v>
      </c>
      <c r="AP15" s="221" t="s">
        <v>129</v>
      </c>
      <c r="AQ15" s="173" t="s">
        <v>111</v>
      </c>
      <c r="AR15" s="222">
        <v>1314.09</v>
      </c>
      <c r="AS15" s="223">
        <v>0.25</v>
      </c>
      <c r="AT15" s="976" t="s">
        <v>199</v>
      </c>
      <c r="AU15" s="975"/>
      <c r="AV15" s="223">
        <v>0.2</v>
      </c>
      <c r="AW15" s="176" t="s">
        <v>201</v>
      </c>
      <c r="AX15" s="177">
        <v>40</v>
      </c>
      <c r="AY15" s="178">
        <f t="shared" si="27"/>
        <v>0</v>
      </c>
      <c r="AZ15" s="178">
        <f t="shared" si="28"/>
        <v>0</v>
      </c>
      <c r="BA15" s="224">
        <v>22</v>
      </c>
      <c r="BB15" s="224">
        <v>22</v>
      </c>
      <c r="BC15" s="173" t="s">
        <v>129</v>
      </c>
      <c r="BD15" s="225">
        <v>1</v>
      </c>
      <c r="BE15" s="225">
        <v>1</v>
      </c>
      <c r="BF15" s="220">
        <v>0</v>
      </c>
      <c r="BG15" s="221" t="s">
        <v>129</v>
      </c>
      <c r="BH15" s="173" t="s">
        <v>28</v>
      </c>
      <c r="BI15" s="174">
        <v>1929.4</v>
      </c>
      <c r="BJ15" s="223">
        <v>0.25</v>
      </c>
      <c r="BK15" s="976" t="s">
        <v>199</v>
      </c>
      <c r="BL15" s="975"/>
      <c r="BM15" s="223">
        <v>0.2</v>
      </c>
      <c r="BN15" s="176" t="s">
        <v>202</v>
      </c>
      <c r="BO15" s="177">
        <v>44</v>
      </c>
      <c r="BP15" s="178">
        <f t="shared" si="3"/>
        <v>0</v>
      </c>
      <c r="BQ15" s="178">
        <f t="shared" si="29"/>
        <v>0</v>
      </c>
      <c r="BR15" s="224">
        <v>22</v>
      </c>
      <c r="BS15" s="224">
        <v>22</v>
      </c>
      <c r="BT15" s="173" t="s">
        <v>69</v>
      </c>
      <c r="BU15" s="224"/>
      <c r="BV15" s="226"/>
      <c r="BW15" s="220">
        <v>0</v>
      </c>
      <c r="BX15" s="221" t="s">
        <v>69</v>
      </c>
      <c r="BY15" s="173" t="s">
        <v>28</v>
      </c>
      <c r="BZ15" s="174">
        <v>2461.8000000000002</v>
      </c>
      <c r="CA15" s="223">
        <v>0.25</v>
      </c>
      <c r="CB15" s="976" t="s">
        <v>199</v>
      </c>
      <c r="CC15" s="975"/>
      <c r="CD15" s="223">
        <v>0.2</v>
      </c>
      <c r="CE15" s="176" t="s">
        <v>202</v>
      </c>
      <c r="CF15" s="177">
        <v>44</v>
      </c>
      <c r="CG15" s="178">
        <f t="shared" si="5"/>
        <v>0</v>
      </c>
      <c r="CH15" s="178">
        <f t="shared" si="30"/>
        <v>0</v>
      </c>
      <c r="CI15" s="224">
        <v>22</v>
      </c>
      <c r="CJ15" s="224">
        <v>22</v>
      </c>
      <c r="CK15" s="173" t="s">
        <v>69</v>
      </c>
      <c r="CL15" s="224"/>
      <c r="CM15" s="224"/>
      <c r="CN15" s="220">
        <v>0</v>
      </c>
      <c r="CO15" s="221" t="s">
        <v>69</v>
      </c>
      <c r="CP15" s="173" t="s">
        <v>28</v>
      </c>
      <c r="CQ15" s="222">
        <v>1396.01</v>
      </c>
      <c r="CR15" s="223">
        <v>0.3</v>
      </c>
      <c r="CS15" s="976" t="s">
        <v>199</v>
      </c>
      <c r="CT15" s="975"/>
      <c r="CU15" s="223">
        <v>0.2</v>
      </c>
      <c r="CV15" s="176" t="s">
        <v>201</v>
      </c>
      <c r="CW15" s="177">
        <v>44</v>
      </c>
      <c r="CX15" s="178">
        <f t="shared" si="6"/>
        <v>0</v>
      </c>
      <c r="CY15" s="178">
        <f t="shared" si="31"/>
        <v>0</v>
      </c>
      <c r="CZ15" s="224">
        <v>22</v>
      </c>
      <c r="DA15" s="224">
        <v>22</v>
      </c>
      <c r="DB15" s="173" t="s">
        <v>69</v>
      </c>
      <c r="DC15" s="224"/>
      <c r="DD15" s="224"/>
      <c r="DE15" s="220">
        <v>0</v>
      </c>
      <c r="DF15" s="221" t="s">
        <v>69</v>
      </c>
      <c r="DG15" s="173" t="s">
        <v>28</v>
      </c>
      <c r="DH15" s="222">
        <v>1396.01</v>
      </c>
      <c r="DI15" s="223">
        <v>0.25</v>
      </c>
      <c r="DJ15" s="984" t="s">
        <v>199</v>
      </c>
      <c r="DK15" s="975"/>
      <c r="DL15" s="223">
        <v>0.2</v>
      </c>
      <c r="DM15" s="176" t="s">
        <v>201</v>
      </c>
      <c r="DN15" s="182">
        <v>44</v>
      </c>
      <c r="DO15" s="178">
        <f t="shared" si="7"/>
        <v>0</v>
      </c>
      <c r="DP15" s="178">
        <f t="shared" si="32"/>
        <v>0</v>
      </c>
      <c r="DQ15" s="224">
        <v>22</v>
      </c>
      <c r="DR15" s="224">
        <v>22</v>
      </c>
      <c r="DS15" s="173" t="s">
        <v>69</v>
      </c>
      <c r="DT15" s="224"/>
      <c r="DU15" s="224"/>
      <c r="DV15" s="227">
        <v>0</v>
      </c>
      <c r="DW15" s="228" t="s">
        <v>129</v>
      </c>
      <c r="DX15" s="173" t="s">
        <v>19</v>
      </c>
      <c r="DY15" s="222">
        <v>4128.0200000000004</v>
      </c>
      <c r="DZ15" s="223">
        <v>0.25</v>
      </c>
      <c r="EA15" s="984" t="s">
        <v>199</v>
      </c>
      <c r="EB15" s="975"/>
      <c r="EC15" s="223">
        <v>0.2</v>
      </c>
      <c r="ED15" s="176" t="s">
        <v>200</v>
      </c>
      <c r="EE15" s="182">
        <v>44</v>
      </c>
      <c r="EF15" s="178">
        <f t="shared" si="8"/>
        <v>0</v>
      </c>
      <c r="EG15" s="178">
        <f t="shared" si="33"/>
        <v>0</v>
      </c>
      <c r="EH15" s="224">
        <v>22</v>
      </c>
      <c r="EI15" s="224">
        <v>22</v>
      </c>
      <c r="EJ15" s="173" t="s">
        <v>69</v>
      </c>
      <c r="EK15" s="224"/>
      <c r="EL15" s="224"/>
      <c r="EM15" s="229">
        <v>0</v>
      </c>
      <c r="EN15" s="230" t="s">
        <v>129</v>
      </c>
      <c r="EO15" s="191" t="s">
        <v>19</v>
      </c>
      <c r="EP15" s="231">
        <v>4128.0200000000004</v>
      </c>
      <c r="EQ15" s="232">
        <v>0.25</v>
      </c>
      <c r="ER15" s="974" t="s">
        <v>199</v>
      </c>
      <c r="ES15" s="975"/>
      <c r="ET15" s="232">
        <v>0.2</v>
      </c>
      <c r="EU15" s="233" t="s">
        <v>200</v>
      </c>
      <c r="EV15" s="195">
        <v>44</v>
      </c>
      <c r="EW15" s="234">
        <f t="shared" si="9"/>
        <v>0</v>
      </c>
      <c r="EX15" s="234">
        <f t="shared" si="34"/>
        <v>0</v>
      </c>
      <c r="EY15" s="235">
        <v>22</v>
      </c>
      <c r="EZ15" s="235">
        <v>22</v>
      </c>
      <c r="FA15" s="191" t="s">
        <v>69</v>
      </c>
      <c r="FB15" s="235"/>
      <c r="FC15" s="235"/>
      <c r="FD15" s="229">
        <v>0</v>
      </c>
      <c r="FE15" s="230" t="s">
        <v>129</v>
      </c>
      <c r="FF15" s="191" t="s">
        <v>19</v>
      </c>
      <c r="FG15" s="231">
        <v>1741.45</v>
      </c>
      <c r="FH15" s="232">
        <v>0.25</v>
      </c>
      <c r="FI15" s="974" t="s">
        <v>199</v>
      </c>
      <c r="FJ15" s="975"/>
      <c r="FK15" s="232">
        <v>0.2</v>
      </c>
      <c r="FL15" s="233" t="s">
        <v>203</v>
      </c>
      <c r="FM15" s="195">
        <v>44</v>
      </c>
      <c r="FN15" s="234">
        <f t="shared" si="10"/>
        <v>0</v>
      </c>
      <c r="FO15" s="234">
        <f t="shared" si="35"/>
        <v>0</v>
      </c>
      <c r="FP15" s="235">
        <v>9</v>
      </c>
      <c r="FQ15" s="235"/>
      <c r="FR15" s="191" t="s">
        <v>69</v>
      </c>
      <c r="FS15" s="235"/>
      <c r="FT15" s="235"/>
      <c r="FU15" s="229">
        <v>0</v>
      </c>
      <c r="FV15" s="230" t="s">
        <v>129</v>
      </c>
      <c r="FW15" s="191" t="s">
        <v>19</v>
      </c>
      <c r="FX15" s="231">
        <v>0</v>
      </c>
      <c r="FY15" s="232">
        <v>0.25</v>
      </c>
      <c r="FZ15" s="974" t="s">
        <v>199</v>
      </c>
      <c r="GA15" s="975"/>
      <c r="GB15" s="232">
        <v>0.2</v>
      </c>
      <c r="GC15" s="233" t="s">
        <v>200</v>
      </c>
      <c r="GD15" s="195">
        <v>44</v>
      </c>
      <c r="GE15" s="234">
        <f t="shared" si="11"/>
        <v>0</v>
      </c>
      <c r="GF15" s="234">
        <f t="shared" si="36"/>
        <v>0</v>
      </c>
      <c r="GG15" s="235">
        <v>0</v>
      </c>
      <c r="GH15" s="235"/>
      <c r="GI15" s="191" t="s">
        <v>69</v>
      </c>
      <c r="GJ15" s="235"/>
      <c r="GK15" s="235"/>
      <c r="GL15" s="229">
        <v>0</v>
      </c>
      <c r="GM15" s="230" t="s">
        <v>129</v>
      </c>
      <c r="GN15" s="191" t="s">
        <v>19</v>
      </c>
      <c r="GO15" s="231">
        <v>0</v>
      </c>
      <c r="GP15" s="232">
        <v>0.25</v>
      </c>
      <c r="GQ15" s="974" t="s">
        <v>199</v>
      </c>
      <c r="GR15" s="975"/>
      <c r="GS15" s="232">
        <v>0.2</v>
      </c>
      <c r="GT15" s="233" t="s">
        <v>200</v>
      </c>
      <c r="GU15" s="195">
        <v>44</v>
      </c>
      <c r="GV15" s="234">
        <f t="shared" si="22"/>
        <v>0</v>
      </c>
      <c r="GW15" s="234">
        <f t="shared" si="37"/>
        <v>0</v>
      </c>
      <c r="GX15" s="235">
        <v>0</v>
      </c>
      <c r="GY15" s="235"/>
      <c r="GZ15" s="191" t="s">
        <v>69</v>
      </c>
      <c r="HA15" s="235"/>
      <c r="HB15" s="235"/>
      <c r="HC15" s="198">
        <f t="shared" si="13"/>
        <v>2</v>
      </c>
      <c r="HD15" s="86"/>
      <c r="HE15" s="86"/>
      <c r="HF15" s="86"/>
      <c r="HG15" s="86"/>
      <c r="HH15" s="86"/>
      <c r="HI15" s="86"/>
      <c r="HJ15" s="86"/>
      <c r="HK15" s="86"/>
      <c r="HL15" s="86"/>
      <c r="HM15" s="86"/>
      <c r="HN15" s="200">
        <f t="shared" si="14"/>
        <v>2</v>
      </c>
    </row>
    <row r="16" spans="1:222" ht="22.5" customHeight="1">
      <c r="A16" s="1"/>
      <c r="B16" s="201">
        <v>158504</v>
      </c>
      <c r="C16" s="201" t="s">
        <v>210</v>
      </c>
      <c r="D16" s="202" t="s">
        <v>61</v>
      </c>
      <c r="E16" s="203">
        <v>4.75</v>
      </c>
      <c r="F16" s="204">
        <v>3</v>
      </c>
      <c r="G16" s="205">
        <v>0</v>
      </c>
      <c r="H16" s="206" t="s">
        <v>129</v>
      </c>
      <c r="I16" s="207" t="s">
        <v>127</v>
      </c>
      <c r="J16" s="153">
        <v>4556.92</v>
      </c>
      <c r="K16" s="208">
        <v>0.25</v>
      </c>
      <c r="L16" s="987" t="s">
        <v>199</v>
      </c>
      <c r="M16" s="975"/>
      <c r="N16" s="208">
        <v>0.2</v>
      </c>
      <c r="O16" s="209" t="s">
        <v>200</v>
      </c>
      <c r="P16" s="210">
        <v>30</v>
      </c>
      <c r="Q16" s="211">
        <f t="shared" si="23"/>
        <v>0</v>
      </c>
      <c r="R16" s="211">
        <f t="shared" si="24"/>
        <v>0</v>
      </c>
      <c r="S16" s="212">
        <v>0</v>
      </c>
      <c r="T16" s="212">
        <v>0</v>
      </c>
      <c r="U16" s="207" t="s">
        <v>69</v>
      </c>
      <c r="V16" s="213">
        <v>0</v>
      </c>
      <c r="W16" s="214">
        <v>0</v>
      </c>
      <c r="X16" s="215">
        <v>10</v>
      </c>
      <c r="Y16" s="216" t="s">
        <v>129</v>
      </c>
      <c r="Z16" s="169" t="s">
        <v>127</v>
      </c>
      <c r="AA16" s="153">
        <v>4556.92</v>
      </c>
      <c r="AB16" s="217">
        <v>0.25</v>
      </c>
      <c r="AC16" s="985" t="s">
        <v>199</v>
      </c>
      <c r="AD16" s="975"/>
      <c r="AE16" s="217">
        <v>0.2</v>
      </c>
      <c r="AF16" s="218" t="s">
        <v>200</v>
      </c>
      <c r="AG16" s="167">
        <v>20</v>
      </c>
      <c r="AH16" s="168">
        <f t="shared" si="25"/>
        <v>0</v>
      </c>
      <c r="AI16" s="168">
        <f t="shared" si="26"/>
        <v>0</v>
      </c>
      <c r="AJ16" s="219">
        <v>0</v>
      </c>
      <c r="AK16" s="219">
        <v>0</v>
      </c>
      <c r="AL16" s="169" t="s">
        <v>69</v>
      </c>
      <c r="AM16" s="219">
        <v>0</v>
      </c>
      <c r="AN16" s="219">
        <v>0</v>
      </c>
      <c r="AO16" s="220">
        <v>0</v>
      </c>
      <c r="AP16" s="221" t="s">
        <v>69</v>
      </c>
      <c r="AQ16" s="173" t="s">
        <v>83</v>
      </c>
      <c r="AR16" s="222">
        <v>1741.45</v>
      </c>
      <c r="AS16" s="223">
        <v>0.25</v>
      </c>
      <c r="AT16" s="976" t="s">
        <v>199</v>
      </c>
      <c r="AU16" s="975"/>
      <c r="AV16" s="223">
        <v>0.2</v>
      </c>
      <c r="AW16" s="176" t="s">
        <v>201</v>
      </c>
      <c r="AX16" s="177">
        <v>40</v>
      </c>
      <c r="AY16" s="178">
        <f t="shared" si="27"/>
        <v>0</v>
      </c>
      <c r="AZ16" s="178">
        <f t="shared" si="28"/>
        <v>0</v>
      </c>
      <c r="BA16" s="224">
        <v>25</v>
      </c>
      <c r="BB16" s="224">
        <v>25</v>
      </c>
      <c r="BC16" s="173" t="s">
        <v>129</v>
      </c>
      <c r="BD16" s="225">
        <v>1</v>
      </c>
      <c r="BE16" s="225">
        <v>1</v>
      </c>
      <c r="BF16" s="220">
        <v>0</v>
      </c>
      <c r="BG16" s="221" t="s">
        <v>129</v>
      </c>
      <c r="BH16" s="173" t="s">
        <v>28</v>
      </c>
      <c r="BI16" s="174">
        <v>1929.4</v>
      </c>
      <c r="BJ16" s="223">
        <v>0.25</v>
      </c>
      <c r="BK16" s="976" t="s">
        <v>199</v>
      </c>
      <c r="BL16" s="975"/>
      <c r="BM16" s="223">
        <v>0.2</v>
      </c>
      <c r="BN16" s="176" t="s">
        <v>202</v>
      </c>
      <c r="BO16" s="177">
        <v>44</v>
      </c>
      <c r="BP16" s="178">
        <f t="shared" si="3"/>
        <v>0</v>
      </c>
      <c r="BQ16" s="178">
        <f t="shared" si="29"/>
        <v>0</v>
      </c>
      <c r="BR16" s="224">
        <v>22</v>
      </c>
      <c r="BS16" s="224">
        <v>22</v>
      </c>
      <c r="BT16" s="173" t="s">
        <v>69</v>
      </c>
      <c r="BU16" s="224"/>
      <c r="BV16" s="226"/>
      <c r="BW16" s="220">
        <v>0</v>
      </c>
      <c r="BX16" s="221" t="s">
        <v>69</v>
      </c>
      <c r="BY16" s="173" t="s">
        <v>28</v>
      </c>
      <c r="BZ16" s="174">
        <v>2461.8000000000002</v>
      </c>
      <c r="CA16" s="223">
        <v>0.25</v>
      </c>
      <c r="CB16" s="976" t="s">
        <v>199</v>
      </c>
      <c r="CC16" s="975"/>
      <c r="CD16" s="223">
        <v>0.2</v>
      </c>
      <c r="CE16" s="176" t="s">
        <v>202</v>
      </c>
      <c r="CF16" s="177">
        <v>44</v>
      </c>
      <c r="CG16" s="178">
        <f t="shared" si="5"/>
        <v>0</v>
      </c>
      <c r="CH16" s="178">
        <f t="shared" si="30"/>
        <v>0</v>
      </c>
      <c r="CI16" s="224">
        <v>22</v>
      </c>
      <c r="CJ16" s="224">
        <v>22</v>
      </c>
      <c r="CK16" s="173" t="s">
        <v>69</v>
      </c>
      <c r="CL16" s="224"/>
      <c r="CM16" s="224"/>
      <c r="CN16" s="220">
        <v>0</v>
      </c>
      <c r="CO16" s="221" t="s">
        <v>69</v>
      </c>
      <c r="CP16" s="173" t="s">
        <v>28</v>
      </c>
      <c r="CQ16" s="222">
        <v>1396.01</v>
      </c>
      <c r="CR16" s="223">
        <v>0.3</v>
      </c>
      <c r="CS16" s="976" t="s">
        <v>199</v>
      </c>
      <c r="CT16" s="975"/>
      <c r="CU16" s="223">
        <v>0.2</v>
      </c>
      <c r="CV16" s="176" t="s">
        <v>201</v>
      </c>
      <c r="CW16" s="177">
        <v>44</v>
      </c>
      <c r="CX16" s="178">
        <f t="shared" si="6"/>
        <v>0</v>
      </c>
      <c r="CY16" s="178">
        <f t="shared" si="31"/>
        <v>0</v>
      </c>
      <c r="CZ16" s="224">
        <v>22</v>
      </c>
      <c r="DA16" s="224">
        <v>22</v>
      </c>
      <c r="DB16" s="173" t="s">
        <v>69</v>
      </c>
      <c r="DC16" s="224"/>
      <c r="DD16" s="224"/>
      <c r="DE16" s="220">
        <v>0</v>
      </c>
      <c r="DF16" s="221" t="s">
        <v>69</v>
      </c>
      <c r="DG16" s="173" t="s">
        <v>28</v>
      </c>
      <c r="DH16" s="222">
        <v>1396.01</v>
      </c>
      <c r="DI16" s="223">
        <v>0.25</v>
      </c>
      <c r="DJ16" s="984" t="s">
        <v>199</v>
      </c>
      <c r="DK16" s="975"/>
      <c r="DL16" s="223">
        <v>0.2</v>
      </c>
      <c r="DM16" s="176" t="s">
        <v>201</v>
      </c>
      <c r="DN16" s="182">
        <v>44</v>
      </c>
      <c r="DO16" s="178">
        <f t="shared" si="7"/>
        <v>0</v>
      </c>
      <c r="DP16" s="178">
        <f t="shared" si="32"/>
        <v>0</v>
      </c>
      <c r="DQ16" s="224">
        <v>22</v>
      </c>
      <c r="DR16" s="224">
        <v>22</v>
      </c>
      <c r="DS16" s="173" t="s">
        <v>69</v>
      </c>
      <c r="DT16" s="224"/>
      <c r="DU16" s="224"/>
      <c r="DV16" s="227">
        <v>0</v>
      </c>
      <c r="DW16" s="228" t="s">
        <v>129</v>
      </c>
      <c r="DX16" s="173" t="s">
        <v>19</v>
      </c>
      <c r="DY16" s="222">
        <v>4128.0200000000004</v>
      </c>
      <c r="DZ16" s="223">
        <v>0.25</v>
      </c>
      <c r="EA16" s="984" t="s">
        <v>199</v>
      </c>
      <c r="EB16" s="975"/>
      <c r="EC16" s="223">
        <v>0.2</v>
      </c>
      <c r="ED16" s="176" t="s">
        <v>200</v>
      </c>
      <c r="EE16" s="182">
        <v>44</v>
      </c>
      <c r="EF16" s="178">
        <f t="shared" si="8"/>
        <v>0</v>
      </c>
      <c r="EG16" s="178">
        <f t="shared" si="33"/>
        <v>0</v>
      </c>
      <c r="EH16" s="224">
        <v>22</v>
      </c>
      <c r="EI16" s="224">
        <v>22</v>
      </c>
      <c r="EJ16" s="173" t="s">
        <v>69</v>
      </c>
      <c r="EK16" s="224"/>
      <c r="EL16" s="224"/>
      <c r="EM16" s="229">
        <v>0</v>
      </c>
      <c r="EN16" s="230" t="s">
        <v>129</v>
      </c>
      <c r="EO16" s="191" t="s">
        <v>19</v>
      </c>
      <c r="EP16" s="231">
        <v>4128.0200000000004</v>
      </c>
      <c r="EQ16" s="232">
        <v>0.25</v>
      </c>
      <c r="ER16" s="974" t="s">
        <v>199</v>
      </c>
      <c r="ES16" s="975"/>
      <c r="ET16" s="232">
        <v>0.2</v>
      </c>
      <c r="EU16" s="233" t="s">
        <v>200</v>
      </c>
      <c r="EV16" s="195">
        <v>44</v>
      </c>
      <c r="EW16" s="234">
        <f t="shared" si="9"/>
        <v>0</v>
      </c>
      <c r="EX16" s="234">
        <f t="shared" si="34"/>
        <v>0</v>
      </c>
      <c r="EY16" s="235">
        <v>22</v>
      </c>
      <c r="EZ16" s="235">
        <v>22</v>
      </c>
      <c r="FA16" s="191" t="s">
        <v>69</v>
      </c>
      <c r="FB16" s="235"/>
      <c r="FC16" s="235"/>
      <c r="FD16" s="229">
        <v>0</v>
      </c>
      <c r="FE16" s="230" t="s">
        <v>129</v>
      </c>
      <c r="FF16" s="191" t="s">
        <v>19</v>
      </c>
      <c r="FG16" s="231">
        <v>1741.45</v>
      </c>
      <c r="FH16" s="232">
        <v>0.25</v>
      </c>
      <c r="FI16" s="974" t="s">
        <v>199</v>
      </c>
      <c r="FJ16" s="975"/>
      <c r="FK16" s="232">
        <v>0.2</v>
      </c>
      <c r="FL16" s="233" t="s">
        <v>203</v>
      </c>
      <c r="FM16" s="195">
        <v>44</v>
      </c>
      <c r="FN16" s="234">
        <f t="shared" si="10"/>
        <v>0</v>
      </c>
      <c r="FO16" s="234">
        <f t="shared" si="35"/>
        <v>0</v>
      </c>
      <c r="FP16" s="235">
        <v>9</v>
      </c>
      <c r="FQ16" s="235"/>
      <c r="FR16" s="191" t="s">
        <v>69</v>
      </c>
      <c r="FS16" s="235"/>
      <c r="FT16" s="235"/>
      <c r="FU16" s="229">
        <v>0</v>
      </c>
      <c r="FV16" s="230" t="s">
        <v>129</v>
      </c>
      <c r="FW16" s="191" t="s">
        <v>19</v>
      </c>
      <c r="FX16" s="231">
        <v>0</v>
      </c>
      <c r="FY16" s="232">
        <v>0.25</v>
      </c>
      <c r="FZ16" s="974" t="s">
        <v>199</v>
      </c>
      <c r="GA16" s="975"/>
      <c r="GB16" s="232">
        <v>0.2</v>
      </c>
      <c r="GC16" s="233" t="s">
        <v>200</v>
      </c>
      <c r="GD16" s="195">
        <v>44</v>
      </c>
      <c r="GE16" s="234">
        <f t="shared" si="11"/>
        <v>0</v>
      </c>
      <c r="GF16" s="234">
        <f t="shared" si="36"/>
        <v>0</v>
      </c>
      <c r="GG16" s="235">
        <v>0</v>
      </c>
      <c r="GH16" s="235"/>
      <c r="GI16" s="191" t="s">
        <v>69</v>
      </c>
      <c r="GJ16" s="235"/>
      <c r="GK16" s="235"/>
      <c r="GL16" s="229">
        <v>0</v>
      </c>
      <c r="GM16" s="230" t="s">
        <v>129</v>
      </c>
      <c r="GN16" s="191" t="s">
        <v>19</v>
      </c>
      <c r="GO16" s="231">
        <v>0</v>
      </c>
      <c r="GP16" s="232">
        <v>0.25</v>
      </c>
      <c r="GQ16" s="974" t="s">
        <v>199</v>
      </c>
      <c r="GR16" s="975"/>
      <c r="GS16" s="232">
        <v>0.2</v>
      </c>
      <c r="GT16" s="233" t="s">
        <v>200</v>
      </c>
      <c r="GU16" s="195">
        <v>44</v>
      </c>
      <c r="GV16" s="234">
        <f t="shared" si="22"/>
        <v>0</v>
      </c>
      <c r="GW16" s="234">
        <f t="shared" si="37"/>
        <v>0</v>
      </c>
      <c r="GX16" s="235">
        <v>0</v>
      </c>
      <c r="GY16" s="235"/>
      <c r="GZ16" s="191" t="s">
        <v>69</v>
      </c>
      <c r="HA16" s="235"/>
      <c r="HB16" s="235"/>
      <c r="HC16" s="198">
        <f t="shared" si="13"/>
        <v>10</v>
      </c>
      <c r="HD16" s="86"/>
      <c r="HE16" s="86"/>
      <c r="HF16" s="86"/>
      <c r="HG16" s="86"/>
      <c r="HH16" s="86"/>
      <c r="HI16" s="86"/>
      <c r="HJ16" s="86"/>
      <c r="HK16" s="86"/>
      <c r="HL16" s="86"/>
      <c r="HM16" s="86"/>
      <c r="HN16" s="200">
        <f t="shared" si="14"/>
        <v>10</v>
      </c>
    </row>
    <row r="17" spans="1:222" ht="22.5" customHeight="1">
      <c r="A17" s="1"/>
      <c r="B17" s="201">
        <v>155081</v>
      </c>
      <c r="C17" s="201" t="s">
        <v>211</v>
      </c>
      <c r="D17" s="202" t="s">
        <v>66</v>
      </c>
      <c r="E17" s="203">
        <v>4.5</v>
      </c>
      <c r="F17" s="204">
        <v>3</v>
      </c>
      <c r="G17" s="205">
        <v>2</v>
      </c>
      <c r="H17" s="256" t="s">
        <v>129</v>
      </c>
      <c r="I17" s="207" t="s">
        <v>127</v>
      </c>
      <c r="J17" s="153">
        <v>4556.92</v>
      </c>
      <c r="K17" s="208">
        <v>0.25</v>
      </c>
      <c r="L17" s="987" t="s">
        <v>199</v>
      </c>
      <c r="M17" s="975"/>
      <c r="N17" s="208">
        <v>0.2</v>
      </c>
      <c r="O17" s="209" t="s">
        <v>200</v>
      </c>
      <c r="P17" s="210">
        <v>30</v>
      </c>
      <c r="Q17" s="211">
        <f t="shared" si="23"/>
        <v>0</v>
      </c>
      <c r="R17" s="211">
        <f t="shared" si="24"/>
        <v>0</v>
      </c>
      <c r="S17" s="212">
        <v>0</v>
      </c>
      <c r="T17" s="212">
        <v>0</v>
      </c>
      <c r="U17" s="207" t="s">
        <v>69</v>
      </c>
      <c r="V17" s="213">
        <v>0</v>
      </c>
      <c r="W17" s="214">
        <v>0</v>
      </c>
      <c r="X17" s="240">
        <v>3</v>
      </c>
      <c r="Y17" s="241" t="s">
        <v>129</v>
      </c>
      <c r="Z17" s="169" t="s">
        <v>127</v>
      </c>
      <c r="AA17" s="153">
        <v>4556.92</v>
      </c>
      <c r="AB17" s="242">
        <v>0.25</v>
      </c>
      <c r="AC17" s="985" t="s">
        <v>199</v>
      </c>
      <c r="AD17" s="975"/>
      <c r="AE17" s="242">
        <v>0.2</v>
      </c>
      <c r="AF17" s="218" t="s">
        <v>200</v>
      </c>
      <c r="AG17" s="259">
        <v>20</v>
      </c>
      <c r="AH17" s="244">
        <f t="shared" si="25"/>
        <v>0</v>
      </c>
      <c r="AI17" s="244">
        <f t="shared" si="26"/>
        <v>0</v>
      </c>
      <c r="AJ17" s="245">
        <v>0</v>
      </c>
      <c r="AK17" s="245">
        <v>0</v>
      </c>
      <c r="AL17" s="246" t="s">
        <v>69</v>
      </c>
      <c r="AM17" s="245">
        <v>0</v>
      </c>
      <c r="AN17" s="245">
        <v>0</v>
      </c>
      <c r="AO17" s="220">
        <v>0</v>
      </c>
      <c r="AP17" s="221" t="s">
        <v>129</v>
      </c>
      <c r="AQ17" s="173" t="s">
        <v>83</v>
      </c>
      <c r="AR17" s="222">
        <v>1305.56</v>
      </c>
      <c r="AS17" s="223">
        <v>0.25</v>
      </c>
      <c r="AT17" s="976" t="s">
        <v>199</v>
      </c>
      <c r="AU17" s="975"/>
      <c r="AV17" s="223">
        <v>0.2</v>
      </c>
      <c r="AW17" s="176" t="s">
        <v>201</v>
      </c>
      <c r="AX17" s="177">
        <v>40</v>
      </c>
      <c r="AY17" s="178">
        <f t="shared" si="27"/>
        <v>0</v>
      </c>
      <c r="AZ17" s="178">
        <f t="shared" si="28"/>
        <v>0</v>
      </c>
      <c r="BA17" s="224">
        <v>25</v>
      </c>
      <c r="BB17" s="224">
        <v>25</v>
      </c>
      <c r="BC17" s="173" t="s">
        <v>129</v>
      </c>
      <c r="BD17" s="225">
        <v>1</v>
      </c>
      <c r="BE17" s="225">
        <v>1</v>
      </c>
      <c r="BF17" s="220">
        <v>0</v>
      </c>
      <c r="BG17" s="221" t="s">
        <v>129</v>
      </c>
      <c r="BH17" s="173" t="s">
        <v>28</v>
      </c>
      <c r="BI17" s="174">
        <v>1929.4</v>
      </c>
      <c r="BJ17" s="223">
        <v>0.25</v>
      </c>
      <c r="BK17" s="976" t="s">
        <v>199</v>
      </c>
      <c r="BL17" s="975"/>
      <c r="BM17" s="223">
        <v>0.2</v>
      </c>
      <c r="BN17" s="176" t="s">
        <v>202</v>
      </c>
      <c r="BO17" s="177">
        <v>44</v>
      </c>
      <c r="BP17" s="178">
        <f t="shared" si="3"/>
        <v>0</v>
      </c>
      <c r="BQ17" s="178">
        <f t="shared" si="29"/>
        <v>0</v>
      </c>
      <c r="BR17" s="224">
        <v>22</v>
      </c>
      <c r="BS17" s="224">
        <v>22</v>
      </c>
      <c r="BT17" s="173" t="s">
        <v>69</v>
      </c>
      <c r="BU17" s="224"/>
      <c r="BV17" s="226"/>
      <c r="BW17" s="220">
        <v>0</v>
      </c>
      <c r="BX17" s="221" t="s">
        <v>69</v>
      </c>
      <c r="BY17" s="173" t="s">
        <v>28</v>
      </c>
      <c r="BZ17" s="174">
        <v>2461.8000000000002</v>
      </c>
      <c r="CA17" s="223">
        <v>0.25</v>
      </c>
      <c r="CB17" s="976" t="s">
        <v>199</v>
      </c>
      <c r="CC17" s="975"/>
      <c r="CD17" s="223">
        <v>0.2</v>
      </c>
      <c r="CE17" s="176" t="s">
        <v>202</v>
      </c>
      <c r="CF17" s="177">
        <v>44</v>
      </c>
      <c r="CG17" s="178">
        <f t="shared" si="5"/>
        <v>0</v>
      </c>
      <c r="CH17" s="178">
        <f t="shared" si="30"/>
        <v>0</v>
      </c>
      <c r="CI17" s="224">
        <v>22</v>
      </c>
      <c r="CJ17" s="224">
        <v>22</v>
      </c>
      <c r="CK17" s="173" t="s">
        <v>69</v>
      </c>
      <c r="CL17" s="224"/>
      <c r="CM17" s="224"/>
      <c r="CN17" s="220">
        <v>0</v>
      </c>
      <c r="CO17" s="221" t="s">
        <v>69</v>
      </c>
      <c r="CP17" s="173" t="s">
        <v>28</v>
      </c>
      <c r="CQ17" s="222">
        <v>1396.01</v>
      </c>
      <c r="CR17" s="223">
        <v>0.3</v>
      </c>
      <c r="CS17" s="976" t="s">
        <v>199</v>
      </c>
      <c r="CT17" s="975"/>
      <c r="CU17" s="223">
        <v>0.2</v>
      </c>
      <c r="CV17" s="176" t="s">
        <v>201</v>
      </c>
      <c r="CW17" s="177">
        <v>44</v>
      </c>
      <c r="CX17" s="178">
        <f t="shared" si="6"/>
        <v>0</v>
      </c>
      <c r="CY17" s="178">
        <f t="shared" si="31"/>
        <v>0</v>
      </c>
      <c r="CZ17" s="224">
        <v>22</v>
      </c>
      <c r="DA17" s="224">
        <v>22</v>
      </c>
      <c r="DB17" s="173" t="s">
        <v>69</v>
      </c>
      <c r="DC17" s="224"/>
      <c r="DD17" s="224"/>
      <c r="DE17" s="220">
        <v>0</v>
      </c>
      <c r="DF17" s="221" t="s">
        <v>69</v>
      </c>
      <c r="DG17" s="173" t="s">
        <v>28</v>
      </c>
      <c r="DH17" s="222">
        <v>1396.01</v>
      </c>
      <c r="DI17" s="223">
        <v>0.25</v>
      </c>
      <c r="DJ17" s="984" t="s">
        <v>199</v>
      </c>
      <c r="DK17" s="975"/>
      <c r="DL17" s="223">
        <v>0.2</v>
      </c>
      <c r="DM17" s="176" t="s">
        <v>201</v>
      </c>
      <c r="DN17" s="182">
        <v>44</v>
      </c>
      <c r="DO17" s="178">
        <f t="shared" si="7"/>
        <v>0</v>
      </c>
      <c r="DP17" s="178">
        <f t="shared" si="32"/>
        <v>0</v>
      </c>
      <c r="DQ17" s="224">
        <v>22</v>
      </c>
      <c r="DR17" s="224">
        <v>22</v>
      </c>
      <c r="DS17" s="173" t="s">
        <v>69</v>
      </c>
      <c r="DT17" s="224"/>
      <c r="DU17" s="224"/>
      <c r="DV17" s="227">
        <v>0</v>
      </c>
      <c r="DW17" s="228" t="s">
        <v>129</v>
      </c>
      <c r="DX17" s="173" t="s">
        <v>19</v>
      </c>
      <c r="DY17" s="222">
        <v>4128.0200000000004</v>
      </c>
      <c r="DZ17" s="223">
        <v>0.25</v>
      </c>
      <c r="EA17" s="984" t="s">
        <v>199</v>
      </c>
      <c r="EB17" s="975"/>
      <c r="EC17" s="223">
        <v>0.2</v>
      </c>
      <c r="ED17" s="176" t="s">
        <v>200</v>
      </c>
      <c r="EE17" s="182">
        <v>44</v>
      </c>
      <c r="EF17" s="178">
        <f t="shared" si="8"/>
        <v>0</v>
      </c>
      <c r="EG17" s="178">
        <f t="shared" si="33"/>
        <v>0</v>
      </c>
      <c r="EH17" s="224">
        <v>22</v>
      </c>
      <c r="EI17" s="224">
        <v>22</v>
      </c>
      <c r="EJ17" s="173" t="s">
        <v>69</v>
      </c>
      <c r="EK17" s="224"/>
      <c r="EL17" s="224"/>
      <c r="EM17" s="229">
        <v>0</v>
      </c>
      <c r="EN17" s="230" t="s">
        <v>129</v>
      </c>
      <c r="EO17" s="191" t="s">
        <v>19</v>
      </c>
      <c r="EP17" s="231">
        <v>4128.0200000000004</v>
      </c>
      <c r="EQ17" s="232">
        <v>0.25</v>
      </c>
      <c r="ER17" s="974" t="s">
        <v>199</v>
      </c>
      <c r="ES17" s="975"/>
      <c r="ET17" s="232">
        <v>0.2</v>
      </c>
      <c r="EU17" s="233" t="s">
        <v>200</v>
      </c>
      <c r="EV17" s="195">
        <v>44</v>
      </c>
      <c r="EW17" s="234">
        <f t="shared" si="9"/>
        <v>0</v>
      </c>
      <c r="EX17" s="234">
        <f t="shared" si="34"/>
        <v>0</v>
      </c>
      <c r="EY17" s="235">
        <v>22</v>
      </c>
      <c r="EZ17" s="235">
        <v>22</v>
      </c>
      <c r="FA17" s="191" t="s">
        <v>69</v>
      </c>
      <c r="FB17" s="235"/>
      <c r="FC17" s="235"/>
      <c r="FD17" s="229">
        <v>0</v>
      </c>
      <c r="FE17" s="230" t="s">
        <v>129</v>
      </c>
      <c r="FF17" s="191" t="s">
        <v>19</v>
      </c>
      <c r="FG17" s="231">
        <v>1741.45</v>
      </c>
      <c r="FH17" s="232">
        <v>0.25</v>
      </c>
      <c r="FI17" s="974" t="s">
        <v>199</v>
      </c>
      <c r="FJ17" s="975"/>
      <c r="FK17" s="232">
        <v>0.2</v>
      </c>
      <c r="FL17" s="233" t="s">
        <v>203</v>
      </c>
      <c r="FM17" s="195">
        <v>44</v>
      </c>
      <c r="FN17" s="234">
        <f t="shared" si="10"/>
        <v>0</v>
      </c>
      <c r="FO17" s="234">
        <f t="shared" si="35"/>
        <v>0</v>
      </c>
      <c r="FP17" s="235">
        <v>9</v>
      </c>
      <c r="FQ17" s="235"/>
      <c r="FR17" s="191" t="s">
        <v>69</v>
      </c>
      <c r="FS17" s="235"/>
      <c r="FT17" s="235"/>
      <c r="FU17" s="229">
        <v>0</v>
      </c>
      <c r="FV17" s="230" t="s">
        <v>129</v>
      </c>
      <c r="FW17" s="191" t="s">
        <v>19</v>
      </c>
      <c r="FX17" s="231">
        <v>0</v>
      </c>
      <c r="FY17" s="232">
        <v>0.25</v>
      </c>
      <c r="FZ17" s="974" t="s">
        <v>199</v>
      </c>
      <c r="GA17" s="975"/>
      <c r="GB17" s="232">
        <v>0.2</v>
      </c>
      <c r="GC17" s="233" t="s">
        <v>200</v>
      </c>
      <c r="GD17" s="195">
        <v>44</v>
      </c>
      <c r="GE17" s="234">
        <f t="shared" si="11"/>
        <v>0</v>
      </c>
      <c r="GF17" s="234">
        <f t="shared" si="36"/>
        <v>0</v>
      </c>
      <c r="GG17" s="235">
        <v>0</v>
      </c>
      <c r="GH17" s="235"/>
      <c r="GI17" s="191" t="s">
        <v>69</v>
      </c>
      <c r="GJ17" s="235"/>
      <c r="GK17" s="235"/>
      <c r="GL17" s="229">
        <v>0</v>
      </c>
      <c r="GM17" s="230" t="s">
        <v>129</v>
      </c>
      <c r="GN17" s="191" t="s">
        <v>19</v>
      </c>
      <c r="GO17" s="231">
        <v>0</v>
      </c>
      <c r="GP17" s="232">
        <v>0.25</v>
      </c>
      <c r="GQ17" s="974" t="s">
        <v>199</v>
      </c>
      <c r="GR17" s="975"/>
      <c r="GS17" s="232">
        <v>0.2</v>
      </c>
      <c r="GT17" s="233" t="s">
        <v>200</v>
      </c>
      <c r="GU17" s="195">
        <v>44</v>
      </c>
      <c r="GV17" s="234">
        <f t="shared" si="22"/>
        <v>0</v>
      </c>
      <c r="GW17" s="234">
        <f t="shared" si="37"/>
        <v>0</v>
      </c>
      <c r="GX17" s="235">
        <v>0</v>
      </c>
      <c r="GY17" s="235"/>
      <c r="GZ17" s="191" t="s">
        <v>69</v>
      </c>
      <c r="HA17" s="235"/>
      <c r="HB17" s="235"/>
      <c r="HC17" s="198">
        <f t="shared" si="13"/>
        <v>5</v>
      </c>
      <c r="HD17" s="86"/>
      <c r="HE17" s="86"/>
      <c r="HF17" s="86"/>
      <c r="HG17" s="86"/>
      <c r="HH17" s="86"/>
      <c r="HI17" s="86"/>
      <c r="HJ17" s="86"/>
      <c r="HK17" s="86"/>
      <c r="HL17" s="86"/>
      <c r="HM17" s="86"/>
      <c r="HN17" s="200">
        <f t="shared" si="14"/>
        <v>5</v>
      </c>
    </row>
    <row r="18" spans="1:222" ht="22.5" customHeight="1">
      <c r="A18" s="1"/>
      <c r="B18" s="201">
        <v>158266</v>
      </c>
      <c r="C18" s="201" t="s">
        <v>212</v>
      </c>
      <c r="D18" s="202" t="s">
        <v>72</v>
      </c>
      <c r="E18" s="203">
        <v>0</v>
      </c>
      <c r="F18" s="204">
        <v>3</v>
      </c>
      <c r="G18" s="205">
        <v>2</v>
      </c>
      <c r="H18" s="256" t="s">
        <v>129</v>
      </c>
      <c r="I18" s="207" t="s">
        <v>127</v>
      </c>
      <c r="J18" s="153">
        <v>4556.92</v>
      </c>
      <c r="K18" s="208">
        <v>0.25</v>
      </c>
      <c r="L18" s="987" t="s">
        <v>199</v>
      </c>
      <c r="M18" s="975"/>
      <c r="N18" s="208">
        <v>0.2</v>
      </c>
      <c r="O18" s="209" t="s">
        <v>200</v>
      </c>
      <c r="P18" s="210">
        <v>30</v>
      </c>
      <c r="Q18" s="211">
        <f t="shared" si="23"/>
        <v>0</v>
      </c>
      <c r="R18" s="211">
        <f t="shared" si="24"/>
        <v>0</v>
      </c>
      <c r="S18" s="212">
        <v>0</v>
      </c>
      <c r="T18" s="212">
        <v>0</v>
      </c>
      <c r="U18" s="207" t="s">
        <v>69</v>
      </c>
      <c r="V18" s="213">
        <v>0</v>
      </c>
      <c r="W18" s="214">
        <v>0</v>
      </c>
      <c r="X18" s="215">
        <v>0</v>
      </c>
      <c r="Y18" s="260" t="s">
        <v>129</v>
      </c>
      <c r="Z18" s="169" t="s">
        <v>127</v>
      </c>
      <c r="AA18" s="153">
        <v>4556.92</v>
      </c>
      <c r="AB18" s="217">
        <v>0.25</v>
      </c>
      <c r="AC18" s="985" t="s">
        <v>199</v>
      </c>
      <c r="AD18" s="975"/>
      <c r="AE18" s="217">
        <v>0.2</v>
      </c>
      <c r="AF18" s="218" t="s">
        <v>200</v>
      </c>
      <c r="AG18" s="167">
        <v>20</v>
      </c>
      <c r="AH18" s="168">
        <f t="shared" si="25"/>
        <v>0</v>
      </c>
      <c r="AI18" s="168">
        <f t="shared" si="26"/>
        <v>0</v>
      </c>
      <c r="AJ18" s="219">
        <v>0</v>
      </c>
      <c r="AK18" s="219">
        <v>0</v>
      </c>
      <c r="AL18" s="169" t="s">
        <v>69</v>
      </c>
      <c r="AM18" s="219">
        <v>0</v>
      </c>
      <c r="AN18" s="219">
        <v>0</v>
      </c>
      <c r="AO18" s="220">
        <v>0</v>
      </c>
      <c r="AP18" s="221" t="s">
        <v>129</v>
      </c>
      <c r="AQ18" s="173" t="s">
        <v>83</v>
      </c>
      <c r="AR18" s="222">
        <v>1305.56</v>
      </c>
      <c r="AS18" s="223">
        <v>0.25</v>
      </c>
      <c r="AT18" s="976" t="s">
        <v>199</v>
      </c>
      <c r="AU18" s="975"/>
      <c r="AV18" s="223">
        <v>0.2</v>
      </c>
      <c r="AW18" s="176" t="s">
        <v>201</v>
      </c>
      <c r="AX18" s="177">
        <v>40</v>
      </c>
      <c r="AY18" s="178">
        <f t="shared" si="27"/>
        <v>0</v>
      </c>
      <c r="AZ18" s="178">
        <f t="shared" si="28"/>
        <v>0</v>
      </c>
      <c r="BA18" s="224">
        <v>25</v>
      </c>
      <c r="BB18" s="224">
        <v>25</v>
      </c>
      <c r="BC18" s="173" t="s">
        <v>129</v>
      </c>
      <c r="BD18" s="225">
        <v>1</v>
      </c>
      <c r="BE18" s="225">
        <v>1</v>
      </c>
      <c r="BF18" s="220">
        <v>0</v>
      </c>
      <c r="BG18" s="221" t="s">
        <v>129</v>
      </c>
      <c r="BH18" s="173" t="s">
        <v>28</v>
      </c>
      <c r="BI18" s="174">
        <v>1929.4</v>
      </c>
      <c r="BJ18" s="223">
        <v>0.25</v>
      </c>
      <c r="BK18" s="976" t="s">
        <v>199</v>
      </c>
      <c r="BL18" s="975"/>
      <c r="BM18" s="223">
        <v>0.2</v>
      </c>
      <c r="BN18" s="176" t="s">
        <v>202</v>
      </c>
      <c r="BO18" s="177">
        <v>44</v>
      </c>
      <c r="BP18" s="178">
        <f t="shared" si="3"/>
        <v>0</v>
      </c>
      <c r="BQ18" s="178">
        <f t="shared" si="29"/>
        <v>0</v>
      </c>
      <c r="BR18" s="224">
        <v>22</v>
      </c>
      <c r="BS18" s="224">
        <v>22</v>
      </c>
      <c r="BT18" s="173" t="s">
        <v>69</v>
      </c>
      <c r="BU18" s="224"/>
      <c r="BV18" s="226"/>
      <c r="BW18" s="220">
        <v>0</v>
      </c>
      <c r="BX18" s="221" t="s">
        <v>69</v>
      </c>
      <c r="BY18" s="173" t="s">
        <v>28</v>
      </c>
      <c r="BZ18" s="174">
        <v>2461.8000000000002</v>
      </c>
      <c r="CA18" s="223">
        <v>0.25</v>
      </c>
      <c r="CB18" s="976" t="s">
        <v>199</v>
      </c>
      <c r="CC18" s="975"/>
      <c r="CD18" s="223">
        <v>0.2</v>
      </c>
      <c r="CE18" s="176" t="s">
        <v>202</v>
      </c>
      <c r="CF18" s="177">
        <v>44</v>
      </c>
      <c r="CG18" s="178">
        <f t="shared" si="5"/>
        <v>0</v>
      </c>
      <c r="CH18" s="178">
        <f t="shared" si="30"/>
        <v>0</v>
      </c>
      <c r="CI18" s="224">
        <v>22</v>
      </c>
      <c r="CJ18" s="224">
        <v>22</v>
      </c>
      <c r="CK18" s="173" t="s">
        <v>69</v>
      </c>
      <c r="CL18" s="224"/>
      <c r="CM18" s="224"/>
      <c r="CN18" s="220">
        <v>0</v>
      </c>
      <c r="CO18" s="221" t="s">
        <v>69</v>
      </c>
      <c r="CP18" s="173" t="s">
        <v>28</v>
      </c>
      <c r="CQ18" s="222">
        <v>1396.01</v>
      </c>
      <c r="CR18" s="223">
        <v>0.3</v>
      </c>
      <c r="CS18" s="976" t="s">
        <v>199</v>
      </c>
      <c r="CT18" s="975"/>
      <c r="CU18" s="223">
        <v>0.2</v>
      </c>
      <c r="CV18" s="176" t="s">
        <v>201</v>
      </c>
      <c r="CW18" s="177">
        <v>44</v>
      </c>
      <c r="CX18" s="178">
        <f t="shared" si="6"/>
        <v>0</v>
      </c>
      <c r="CY18" s="178">
        <f t="shared" si="31"/>
        <v>0</v>
      </c>
      <c r="CZ18" s="224">
        <v>22</v>
      </c>
      <c r="DA18" s="224">
        <v>22</v>
      </c>
      <c r="DB18" s="173" t="s">
        <v>69</v>
      </c>
      <c r="DC18" s="224"/>
      <c r="DD18" s="224"/>
      <c r="DE18" s="220">
        <v>0</v>
      </c>
      <c r="DF18" s="221" t="s">
        <v>69</v>
      </c>
      <c r="DG18" s="173" t="s">
        <v>28</v>
      </c>
      <c r="DH18" s="222">
        <v>1396.01</v>
      </c>
      <c r="DI18" s="223">
        <v>0.25</v>
      </c>
      <c r="DJ18" s="984" t="s">
        <v>199</v>
      </c>
      <c r="DK18" s="975"/>
      <c r="DL18" s="223">
        <v>0.2</v>
      </c>
      <c r="DM18" s="176" t="s">
        <v>201</v>
      </c>
      <c r="DN18" s="182">
        <v>44</v>
      </c>
      <c r="DO18" s="178">
        <f t="shared" si="7"/>
        <v>0</v>
      </c>
      <c r="DP18" s="178">
        <f t="shared" si="32"/>
        <v>0</v>
      </c>
      <c r="DQ18" s="224">
        <v>22</v>
      </c>
      <c r="DR18" s="224">
        <v>22</v>
      </c>
      <c r="DS18" s="173" t="s">
        <v>69</v>
      </c>
      <c r="DT18" s="224"/>
      <c r="DU18" s="224"/>
      <c r="DV18" s="227">
        <v>0</v>
      </c>
      <c r="DW18" s="228" t="s">
        <v>129</v>
      </c>
      <c r="DX18" s="173" t="s">
        <v>19</v>
      </c>
      <c r="DY18" s="222">
        <v>4128.0200000000004</v>
      </c>
      <c r="DZ18" s="223">
        <v>0.25</v>
      </c>
      <c r="EA18" s="984" t="s">
        <v>199</v>
      </c>
      <c r="EB18" s="975"/>
      <c r="EC18" s="223">
        <v>0.2</v>
      </c>
      <c r="ED18" s="176" t="s">
        <v>200</v>
      </c>
      <c r="EE18" s="182">
        <v>44</v>
      </c>
      <c r="EF18" s="178">
        <f t="shared" si="8"/>
        <v>0</v>
      </c>
      <c r="EG18" s="178">
        <f t="shared" si="33"/>
        <v>0</v>
      </c>
      <c r="EH18" s="224">
        <v>22</v>
      </c>
      <c r="EI18" s="224">
        <v>22</v>
      </c>
      <c r="EJ18" s="173" t="s">
        <v>69</v>
      </c>
      <c r="EK18" s="224"/>
      <c r="EL18" s="224"/>
      <c r="EM18" s="229">
        <v>0</v>
      </c>
      <c r="EN18" s="230" t="s">
        <v>129</v>
      </c>
      <c r="EO18" s="191" t="s">
        <v>19</v>
      </c>
      <c r="EP18" s="231">
        <v>4128.0200000000004</v>
      </c>
      <c r="EQ18" s="232">
        <v>0.25</v>
      </c>
      <c r="ER18" s="974" t="s">
        <v>199</v>
      </c>
      <c r="ES18" s="975"/>
      <c r="ET18" s="232">
        <v>0.2</v>
      </c>
      <c r="EU18" s="233" t="s">
        <v>200</v>
      </c>
      <c r="EV18" s="195">
        <v>44</v>
      </c>
      <c r="EW18" s="234">
        <f t="shared" si="9"/>
        <v>0</v>
      </c>
      <c r="EX18" s="234">
        <f t="shared" si="34"/>
        <v>0</v>
      </c>
      <c r="EY18" s="235">
        <v>22</v>
      </c>
      <c r="EZ18" s="235">
        <v>22</v>
      </c>
      <c r="FA18" s="191" t="s">
        <v>69</v>
      </c>
      <c r="FB18" s="235"/>
      <c r="FC18" s="235"/>
      <c r="FD18" s="229">
        <v>0</v>
      </c>
      <c r="FE18" s="230" t="s">
        <v>129</v>
      </c>
      <c r="FF18" s="191" t="s">
        <v>19</v>
      </c>
      <c r="FG18" s="231">
        <v>1741.45</v>
      </c>
      <c r="FH18" s="232">
        <v>0.25</v>
      </c>
      <c r="FI18" s="974" t="s">
        <v>199</v>
      </c>
      <c r="FJ18" s="975"/>
      <c r="FK18" s="232">
        <v>0.2</v>
      </c>
      <c r="FL18" s="233" t="s">
        <v>203</v>
      </c>
      <c r="FM18" s="195">
        <v>44</v>
      </c>
      <c r="FN18" s="234">
        <f t="shared" si="10"/>
        <v>0</v>
      </c>
      <c r="FO18" s="234">
        <f t="shared" si="35"/>
        <v>0</v>
      </c>
      <c r="FP18" s="235">
        <v>9</v>
      </c>
      <c r="FQ18" s="235"/>
      <c r="FR18" s="191" t="s">
        <v>69</v>
      </c>
      <c r="FS18" s="235"/>
      <c r="FT18" s="235"/>
      <c r="FU18" s="229">
        <v>0</v>
      </c>
      <c r="FV18" s="230" t="s">
        <v>129</v>
      </c>
      <c r="FW18" s="191" t="s">
        <v>19</v>
      </c>
      <c r="FX18" s="231">
        <v>0</v>
      </c>
      <c r="FY18" s="232">
        <v>0.25</v>
      </c>
      <c r="FZ18" s="974" t="s">
        <v>199</v>
      </c>
      <c r="GA18" s="975"/>
      <c r="GB18" s="232">
        <v>0.2</v>
      </c>
      <c r="GC18" s="233" t="s">
        <v>200</v>
      </c>
      <c r="GD18" s="195">
        <v>44</v>
      </c>
      <c r="GE18" s="234">
        <f t="shared" si="11"/>
        <v>0</v>
      </c>
      <c r="GF18" s="234">
        <f t="shared" si="36"/>
        <v>0</v>
      </c>
      <c r="GG18" s="235">
        <v>0</v>
      </c>
      <c r="GH18" s="235"/>
      <c r="GI18" s="191" t="s">
        <v>69</v>
      </c>
      <c r="GJ18" s="235"/>
      <c r="GK18" s="235"/>
      <c r="GL18" s="229">
        <v>0</v>
      </c>
      <c r="GM18" s="230" t="s">
        <v>129</v>
      </c>
      <c r="GN18" s="191" t="s">
        <v>19</v>
      </c>
      <c r="GO18" s="231">
        <v>0</v>
      </c>
      <c r="GP18" s="232">
        <v>0.25</v>
      </c>
      <c r="GQ18" s="974" t="s">
        <v>199</v>
      </c>
      <c r="GR18" s="975"/>
      <c r="GS18" s="232">
        <v>0.2</v>
      </c>
      <c r="GT18" s="233" t="s">
        <v>200</v>
      </c>
      <c r="GU18" s="195">
        <v>44</v>
      </c>
      <c r="GV18" s="234">
        <f t="shared" si="22"/>
        <v>0</v>
      </c>
      <c r="GW18" s="234">
        <f t="shared" si="37"/>
        <v>0</v>
      </c>
      <c r="GX18" s="235">
        <v>0</v>
      </c>
      <c r="GY18" s="235"/>
      <c r="GZ18" s="191" t="s">
        <v>69</v>
      </c>
      <c r="HA18" s="235"/>
      <c r="HB18" s="235"/>
      <c r="HC18" s="198">
        <f t="shared" si="13"/>
        <v>2</v>
      </c>
      <c r="HD18" s="86"/>
      <c r="HE18" s="86"/>
      <c r="HF18" s="86"/>
      <c r="HG18" s="86"/>
      <c r="HH18" s="86"/>
      <c r="HI18" s="86"/>
      <c r="HJ18" s="86"/>
      <c r="HK18" s="86"/>
      <c r="HL18" s="86"/>
      <c r="HM18" s="86"/>
      <c r="HN18" s="200">
        <f t="shared" si="14"/>
        <v>2</v>
      </c>
    </row>
    <row r="19" spans="1:222" ht="22.5" customHeight="1">
      <c r="A19" s="1"/>
      <c r="B19" s="201">
        <v>158503</v>
      </c>
      <c r="C19" s="201" t="s">
        <v>213</v>
      </c>
      <c r="D19" s="202" t="s">
        <v>77</v>
      </c>
      <c r="E19" s="203">
        <v>4.8</v>
      </c>
      <c r="F19" s="204">
        <v>3</v>
      </c>
      <c r="G19" s="205">
        <v>6</v>
      </c>
      <c r="H19" s="256" t="s">
        <v>129</v>
      </c>
      <c r="I19" s="207" t="s">
        <v>127</v>
      </c>
      <c r="J19" s="153">
        <v>4556.92</v>
      </c>
      <c r="K19" s="208">
        <v>0.25</v>
      </c>
      <c r="L19" s="987" t="s">
        <v>199</v>
      </c>
      <c r="M19" s="975"/>
      <c r="N19" s="208">
        <v>0.2</v>
      </c>
      <c r="O19" s="209" t="s">
        <v>200</v>
      </c>
      <c r="P19" s="210">
        <v>30</v>
      </c>
      <c r="Q19" s="211">
        <f t="shared" si="23"/>
        <v>0</v>
      </c>
      <c r="R19" s="211">
        <f t="shared" si="24"/>
        <v>0</v>
      </c>
      <c r="S19" s="212">
        <v>0</v>
      </c>
      <c r="T19" s="212">
        <v>0</v>
      </c>
      <c r="U19" s="207" t="s">
        <v>69</v>
      </c>
      <c r="V19" s="213">
        <v>0</v>
      </c>
      <c r="W19" s="214">
        <v>0</v>
      </c>
      <c r="X19" s="215">
        <v>2</v>
      </c>
      <c r="Y19" s="260" t="s">
        <v>129</v>
      </c>
      <c r="Z19" s="169" t="s">
        <v>127</v>
      </c>
      <c r="AA19" s="153">
        <v>4556.92</v>
      </c>
      <c r="AB19" s="217">
        <v>0.25</v>
      </c>
      <c r="AC19" s="985" t="s">
        <v>199</v>
      </c>
      <c r="AD19" s="975"/>
      <c r="AE19" s="217">
        <v>0.2</v>
      </c>
      <c r="AF19" s="218" t="s">
        <v>200</v>
      </c>
      <c r="AG19" s="167">
        <v>20</v>
      </c>
      <c r="AH19" s="168">
        <f t="shared" si="25"/>
        <v>0</v>
      </c>
      <c r="AI19" s="168">
        <f t="shared" si="26"/>
        <v>0</v>
      </c>
      <c r="AJ19" s="219">
        <v>0</v>
      </c>
      <c r="AK19" s="219">
        <v>0</v>
      </c>
      <c r="AL19" s="169" t="s">
        <v>69</v>
      </c>
      <c r="AM19" s="219">
        <v>0</v>
      </c>
      <c r="AN19" s="219">
        <v>0</v>
      </c>
      <c r="AO19" s="220">
        <v>0</v>
      </c>
      <c r="AP19" s="221" t="s">
        <v>69</v>
      </c>
      <c r="AQ19" s="173" t="s">
        <v>83</v>
      </c>
      <c r="AR19" s="222">
        <v>1741.45</v>
      </c>
      <c r="AS19" s="223">
        <v>0.25</v>
      </c>
      <c r="AT19" s="976" t="s">
        <v>199</v>
      </c>
      <c r="AU19" s="975"/>
      <c r="AV19" s="223">
        <v>0.2</v>
      </c>
      <c r="AW19" s="176" t="s">
        <v>201</v>
      </c>
      <c r="AX19" s="177">
        <v>40</v>
      </c>
      <c r="AY19" s="178">
        <f t="shared" si="27"/>
        <v>0</v>
      </c>
      <c r="AZ19" s="178">
        <f t="shared" si="28"/>
        <v>0</v>
      </c>
      <c r="BA19" s="224">
        <v>22</v>
      </c>
      <c r="BB19" s="224">
        <v>22</v>
      </c>
      <c r="BC19" s="173" t="s">
        <v>129</v>
      </c>
      <c r="BD19" s="225">
        <v>1</v>
      </c>
      <c r="BE19" s="225">
        <v>1</v>
      </c>
      <c r="BF19" s="220">
        <v>0</v>
      </c>
      <c r="BG19" s="221" t="s">
        <v>129</v>
      </c>
      <c r="BH19" s="173" t="s">
        <v>28</v>
      </c>
      <c r="BI19" s="174">
        <v>1929.4</v>
      </c>
      <c r="BJ19" s="223">
        <v>0.25</v>
      </c>
      <c r="BK19" s="976" t="s">
        <v>199</v>
      </c>
      <c r="BL19" s="975"/>
      <c r="BM19" s="223">
        <v>0.2</v>
      </c>
      <c r="BN19" s="176" t="s">
        <v>202</v>
      </c>
      <c r="BO19" s="177">
        <v>44</v>
      </c>
      <c r="BP19" s="178">
        <f t="shared" si="3"/>
        <v>0</v>
      </c>
      <c r="BQ19" s="178">
        <f t="shared" si="29"/>
        <v>0</v>
      </c>
      <c r="BR19" s="224">
        <v>22</v>
      </c>
      <c r="BS19" s="224">
        <v>22</v>
      </c>
      <c r="BT19" s="173" t="s">
        <v>69</v>
      </c>
      <c r="BU19" s="224"/>
      <c r="BV19" s="226"/>
      <c r="BW19" s="220">
        <v>0</v>
      </c>
      <c r="BX19" s="221" t="s">
        <v>69</v>
      </c>
      <c r="BY19" s="173" t="s">
        <v>28</v>
      </c>
      <c r="BZ19" s="174">
        <v>2461.8000000000002</v>
      </c>
      <c r="CA19" s="223">
        <v>0.25</v>
      </c>
      <c r="CB19" s="976" t="s">
        <v>199</v>
      </c>
      <c r="CC19" s="975"/>
      <c r="CD19" s="223">
        <v>0.2</v>
      </c>
      <c r="CE19" s="176" t="s">
        <v>202</v>
      </c>
      <c r="CF19" s="177">
        <v>44</v>
      </c>
      <c r="CG19" s="178">
        <f t="shared" si="5"/>
        <v>0</v>
      </c>
      <c r="CH19" s="178">
        <f t="shared" si="30"/>
        <v>0</v>
      </c>
      <c r="CI19" s="224">
        <v>22</v>
      </c>
      <c r="CJ19" s="224">
        <v>22</v>
      </c>
      <c r="CK19" s="173" t="s">
        <v>69</v>
      </c>
      <c r="CL19" s="224"/>
      <c r="CM19" s="224"/>
      <c r="CN19" s="220">
        <v>0</v>
      </c>
      <c r="CO19" s="221" t="s">
        <v>69</v>
      </c>
      <c r="CP19" s="173" t="s">
        <v>28</v>
      </c>
      <c r="CQ19" s="222">
        <v>1396.01</v>
      </c>
      <c r="CR19" s="223">
        <v>0.3</v>
      </c>
      <c r="CS19" s="976" t="s">
        <v>199</v>
      </c>
      <c r="CT19" s="975"/>
      <c r="CU19" s="223">
        <v>0.2</v>
      </c>
      <c r="CV19" s="176" t="s">
        <v>201</v>
      </c>
      <c r="CW19" s="177">
        <v>44</v>
      </c>
      <c r="CX19" s="178">
        <f t="shared" si="6"/>
        <v>0</v>
      </c>
      <c r="CY19" s="178">
        <f t="shared" si="31"/>
        <v>0</v>
      </c>
      <c r="CZ19" s="224">
        <v>22</v>
      </c>
      <c r="DA19" s="224">
        <v>22</v>
      </c>
      <c r="DB19" s="173" t="s">
        <v>69</v>
      </c>
      <c r="DC19" s="224"/>
      <c r="DD19" s="224"/>
      <c r="DE19" s="220">
        <v>0</v>
      </c>
      <c r="DF19" s="221" t="s">
        <v>69</v>
      </c>
      <c r="DG19" s="173" t="s">
        <v>28</v>
      </c>
      <c r="DH19" s="222">
        <v>1396.01</v>
      </c>
      <c r="DI19" s="223">
        <v>0.25</v>
      </c>
      <c r="DJ19" s="984" t="s">
        <v>199</v>
      </c>
      <c r="DK19" s="975"/>
      <c r="DL19" s="223">
        <v>0.2</v>
      </c>
      <c r="DM19" s="176" t="s">
        <v>201</v>
      </c>
      <c r="DN19" s="182">
        <v>44</v>
      </c>
      <c r="DO19" s="178">
        <f t="shared" si="7"/>
        <v>0</v>
      </c>
      <c r="DP19" s="178">
        <f t="shared" si="32"/>
        <v>0</v>
      </c>
      <c r="DQ19" s="224">
        <v>22</v>
      </c>
      <c r="DR19" s="224">
        <v>22</v>
      </c>
      <c r="DS19" s="173" t="s">
        <v>69</v>
      </c>
      <c r="DT19" s="224"/>
      <c r="DU19" s="224"/>
      <c r="DV19" s="227">
        <v>0</v>
      </c>
      <c r="DW19" s="228" t="s">
        <v>129</v>
      </c>
      <c r="DX19" s="173" t="s">
        <v>19</v>
      </c>
      <c r="DY19" s="222">
        <v>4128.0200000000004</v>
      </c>
      <c r="DZ19" s="223">
        <v>0.25</v>
      </c>
      <c r="EA19" s="984" t="s">
        <v>199</v>
      </c>
      <c r="EB19" s="975"/>
      <c r="EC19" s="223">
        <v>0.2</v>
      </c>
      <c r="ED19" s="176" t="s">
        <v>200</v>
      </c>
      <c r="EE19" s="182">
        <v>44</v>
      </c>
      <c r="EF19" s="178">
        <f t="shared" si="8"/>
        <v>0</v>
      </c>
      <c r="EG19" s="178">
        <f t="shared" si="33"/>
        <v>0</v>
      </c>
      <c r="EH19" s="224">
        <v>22</v>
      </c>
      <c r="EI19" s="224">
        <v>22</v>
      </c>
      <c r="EJ19" s="173" t="s">
        <v>69</v>
      </c>
      <c r="EK19" s="224"/>
      <c r="EL19" s="224"/>
      <c r="EM19" s="229">
        <v>0</v>
      </c>
      <c r="EN19" s="230" t="s">
        <v>129</v>
      </c>
      <c r="EO19" s="191" t="s">
        <v>19</v>
      </c>
      <c r="EP19" s="231">
        <v>4128.0200000000004</v>
      </c>
      <c r="EQ19" s="232">
        <v>0.25</v>
      </c>
      <c r="ER19" s="974" t="s">
        <v>199</v>
      </c>
      <c r="ES19" s="975"/>
      <c r="ET19" s="232">
        <v>0.2</v>
      </c>
      <c r="EU19" s="233" t="s">
        <v>200</v>
      </c>
      <c r="EV19" s="195">
        <v>44</v>
      </c>
      <c r="EW19" s="234">
        <f t="shared" si="9"/>
        <v>0</v>
      </c>
      <c r="EX19" s="234">
        <f t="shared" si="34"/>
        <v>0</v>
      </c>
      <c r="EY19" s="235">
        <v>22</v>
      </c>
      <c r="EZ19" s="235">
        <v>22</v>
      </c>
      <c r="FA19" s="191" t="s">
        <v>69</v>
      </c>
      <c r="FB19" s="235"/>
      <c r="FC19" s="235"/>
      <c r="FD19" s="229">
        <v>0</v>
      </c>
      <c r="FE19" s="230" t="s">
        <v>129</v>
      </c>
      <c r="FF19" s="191" t="s">
        <v>19</v>
      </c>
      <c r="FG19" s="231">
        <v>1741.45</v>
      </c>
      <c r="FH19" s="232">
        <v>0.25</v>
      </c>
      <c r="FI19" s="974" t="s">
        <v>199</v>
      </c>
      <c r="FJ19" s="975"/>
      <c r="FK19" s="232">
        <v>0.2</v>
      </c>
      <c r="FL19" s="233" t="s">
        <v>203</v>
      </c>
      <c r="FM19" s="195">
        <v>44</v>
      </c>
      <c r="FN19" s="234">
        <f t="shared" si="10"/>
        <v>0</v>
      </c>
      <c r="FO19" s="234">
        <f t="shared" si="35"/>
        <v>0</v>
      </c>
      <c r="FP19" s="235">
        <v>9</v>
      </c>
      <c r="FQ19" s="235"/>
      <c r="FR19" s="191" t="s">
        <v>69</v>
      </c>
      <c r="FS19" s="235"/>
      <c r="FT19" s="235"/>
      <c r="FU19" s="229">
        <v>0</v>
      </c>
      <c r="FV19" s="230" t="s">
        <v>129</v>
      </c>
      <c r="FW19" s="191" t="s">
        <v>19</v>
      </c>
      <c r="FX19" s="231">
        <v>0</v>
      </c>
      <c r="FY19" s="232">
        <v>0.25</v>
      </c>
      <c r="FZ19" s="974" t="s">
        <v>199</v>
      </c>
      <c r="GA19" s="975"/>
      <c r="GB19" s="232">
        <v>0.2</v>
      </c>
      <c r="GC19" s="233" t="s">
        <v>200</v>
      </c>
      <c r="GD19" s="195">
        <v>44</v>
      </c>
      <c r="GE19" s="234">
        <f t="shared" si="11"/>
        <v>0</v>
      </c>
      <c r="GF19" s="234">
        <f t="shared" si="36"/>
        <v>0</v>
      </c>
      <c r="GG19" s="235">
        <v>0</v>
      </c>
      <c r="GH19" s="235"/>
      <c r="GI19" s="191" t="s">
        <v>69</v>
      </c>
      <c r="GJ19" s="235"/>
      <c r="GK19" s="235"/>
      <c r="GL19" s="229">
        <v>0</v>
      </c>
      <c r="GM19" s="230" t="s">
        <v>129</v>
      </c>
      <c r="GN19" s="191" t="s">
        <v>19</v>
      </c>
      <c r="GO19" s="231">
        <v>0</v>
      </c>
      <c r="GP19" s="232">
        <v>0.25</v>
      </c>
      <c r="GQ19" s="974" t="s">
        <v>199</v>
      </c>
      <c r="GR19" s="975"/>
      <c r="GS19" s="232">
        <v>0.2</v>
      </c>
      <c r="GT19" s="233" t="s">
        <v>200</v>
      </c>
      <c r="GU19" s="195">
        <v>44</v>
      </c>
      <c r="GV19" s="234">
        <f t="shared" si="22"/>
        <v>0</v>
      </c>
      <c r="GW19" s="234">
        <f t="shared" si="37"/>
        <v>0</v>
      </c>
      <c r="GX19" s="235">
        <v>0</v>
      </c>
      <c r="GY19" s="235"/>
      <c r="GZ19" s="191" t="s">
        <v>69</v>
      </c>
      <c r="HA19" s="235"/>
      <c r="HB19" s="235"/>
      <c r="HC19" s="198">
        <f t="shared" si="13"/>
        <v>8</v>
      </c>
      <c r="HD19" s="86"/>
      <c r="HE19" s="86"/>
      <c r="HF19" s="86"/>
      <c r="HG19" s="86"/>
      <c r="HH19" s="86"/>
      <c r="HI19" s="86"/>
      <c r="HJ19" s="86"/>
      <c r="HK19" s="86"/>
      <c r="HL19" s="86"/>
      <c r="HM19" s="86"/>
      <c r="HN19" s="200">
        <f t="shared" si="14"/>
        <v>8</v>
      </c>
    </row>
    <row r="20" spans="1:222" ht="22.5" customHeight="1">
      <c r="A20" s="145"/>
      <c r="B20" s="201">
        <v>158268</v>
      </c>
      <c r="C20" s="201" t="s">
        <v>214</v>
      </c>
      <c r="D20" s="202" t="s">
        <v>82</v>
      </c>
      <c r="E20" s="203">
        <v>0</v>
      </c>
      <c r="F20" s="204">
        <v>5</v>
      </c>
      <c r="G20" s="205">
        <v>2</v>
      </c>
      <c r="H20" s="261" t="s">
        <v>129</v>
      </c>
      <c r="I20" s="262" t="s">
        <v>127</v>
      </c>
      <c r="J20" s="153">
        <v>4556.92</v>
      </c>
      <c r="K20" s="263">
        <v>0.25</v>
      </c>
      <c r="L20" s="998" t="s">
        <v>199</v>
      </c>
      <c r="M20" s="975"/>
      <c r="N20" s="264">
        <v>0.4</v>
      </c>
      <c r="O20" s="265" t="s">
        <v>200</v>
      </c>
      <c r="P20" s="156">
        <v>30</v>
      </c>
      <c r="Q20" s="266">
        <f t="shared" si="23"/>
        <v>0</v>
      </c>
      <c r="R20" s="266">
        <f t="shared" si="24"/>
        <v>0</v>
      </c>
      <c r="S20" s="267">
        <v>0</v>
      </c>
      <c r="T20" s="268">
        <v>0</v>
      </c>
      <c r="U20" s="262" t="s">
        <v>69</v>
      </c>
      <c r="V20" s="239">
        <v>0</v>
      </c>
      <c r="W20" s="214">
        <v>0</v>
      </c>
      <c r="X20" s="215">
        <v>2</v>
      </c>
      <c r="Y20" s="216" t="s">
        <v>129</v>
      </c>
      <c r="Z20" s="269" t="s">
        <v>127</v>
      </c>
      <c r="AA20" s="153">
        <v>4556.92</v>
      </c>
      <c r="AB20" s="217">
        <v>0.25</v>
      </c>
      <c r="AC20" s="999" t="s">
        <v>199</v>
      </c>
      <c r="AD20" s="975"/>
      <c r="AE20" s="217">
        <v>0.2</v>
      </c>
      <c r="AF20" s="270" t="s">
        <v>200</v>
      </c>
      <c r="AG20" s="167">
        <v>20</v>
      </c>
      <c r="AH20" s="168">
        <f>IFERROR((52/(IF(Y20="S",(X20-1)+(IF(H20="S",G20,0))+(IF(AP20="S",AO20,0)),0)))/12,0)</f>
        <v>0</v>
      </c>
      <c r="AI20" s="168">
        <f t="shared" si="26"/>
        <v>0</v>
      </c>
      <c r="AJ20" s="219">
        <v>0</v>
      </c>
      <c r="AK20" s="219">
        <v>0</v>
      </c>
      <c r="AL20" s="169" t="s">
        <v>69</v>
      </c>
      <c r="AM20" s="219">
        <v>0</v>
      </c>
      <c r="AN20" s="219">
        <v>0</v>
      </c>
      <c r="AO20" s="220">
        <v>0</v>
      </c>
      <c r="AP20" s="221" t="s">
        <v>69</v>
      </c>
      <c r="AQ20" s="173" t="s">
        <v>83</v>
      </c>
      <c r="AR20" s="222">
        <v>1590</v>
      </c>
      <c r="AS20" s="223">
        <v>0.1</v>
      </c>
      <c r="AT20" s="976" t="s">
        <v>199</v>
      </c>
      <c r="AU20" s="975"/>
      <c r="AV20" s="223">
        <v>0.2</v>
      </c>
      <c r="AW20" s="176" t="s">
        <v>201</v>
      </c>
      <c r="AX20" s="177">
        <v>40</v>
      </c>
      <c r="AY20" s="178">
        <f t="shared" si="27"/>
        <v>0</v>
      </c>
      <c r="AZ20" s="178">
        <f t="shared" si="28"/>
        <v>0</v>
      </c>
      <c r="BA20" s="224">
        <v>25</v>
      </c>
      <c r="BB20" s="224">
        <v>25</v>
      </c>
      <c r="BC20" s="173" t="s">
        <v>129</v>
      </c>
      <c r="BD20" s="225">
        <v>3</v>
      </c>
      <c r="BE20" s="225">
        <v>3</v>
      </c>
      <c r="BF20" s="258">
        <v>0</v>
      </c>
      <c r="BG20" s="221" t="s">
        <v>129</v>
      </c>
      <c r="BH20" s="173" t="s">
        <v>108</v>
      </c>
      <c r="BI20" s="174">
        <v>1929.4</v>
      </c>
      <c r="BJ20" s="223">
        <v>0.25</v>
      </c>
      <c r="BK20" s="976" t="s">
        <v>199</v>
      </c>
      <c r="BL20" s="975"/>
      <c r="BM20" s="223">
        <v>0.2</v>
      </c>
      <c r="BN20" s="271" t="s">
        <v>202</v>
      </c>
      <c r="BO20" s="177">
        <v>40</v>
      </c>
      <c r="BP20" s="178">
        <f t="shared" si="3"/>
        <v>0</v>
      </c>
      <c r="BQ20" s="178">
        <f t="shared" si="29"/>
        <v>0</v>
      </c>
      <c r="BR20" s="224">
        <v>22</v>
      </c>
      <c r="BS20" s="224">
        <v>1</v>
      </c>
      <c r="BT20" s="173" t="s">
        <v>129</v>
      </c>
      <c r="BU20" s="224"/>
      <c r="BV20" s="226"/>
      <c r="BW20" s="258">
        <v>0</v>
      </c>
      <c r="BX20" s="221" t="s">
        <v>129</v>
      </c>
      <c r="BY20" s="173" t="s">
        <v>114</v>
      </c>
      <c r="BZ20" s="222">
        <v>2461.8000000000002</v>
      </c>
      <c r="CA20" s="223">
        <v>0.25</v>
      </c>
      <c r="CB20" s="976" t="s">
        <v>199</v>
      </c>
      <c r="CC20" s="975"/>
      <c r="CD20" s="223">
        <v>0.2</v>
      </c>
      <c r="CE20" s="176" t="s">
        <v>202</v>
      </c>
      <c r="CF20" s="177">
        <v>40</v>
      </c>
      <c r="CG20" s="178">
        <f t="shared" si="5"/>
        <v>0</v>
      </c>
      <c r="CH20" s="178">
        <f t="shared" si="30"/>
        <v>0</v>
      </c>
      <c r="CI20" s="224">
        <v>22</v>
      </c>
      <c r="CJ20" s="224">
        <v>22</v>
      </c>
      <c r="CK20" s="173" t="s">
        <v>129</v>
      </c>
      <c r="CL20" s="224"/>
      <c r="CM20" s="224"/>
      <c r="CN20" s="258">
        <v>0</v>
      </c>
      <c r="CO20" s="221" t="s">
        <v>129</v>
      </c>
      <c r="CP20" s="173" t="s">
        <v>117</v>
      </c>
      <c r="CQ20" s="222">
        <v>1886.79</v>
      </c>
      <c r="CR20" s="223">
        <v>0.3</v>
      </c>
      <c r="CS20" s="976" t="s">
        <v>215</v>
      </c>
      <c r="CT20" s="975"/>
      <c r="CU20" s="223">
        <v>0.2</v>
      </c>
      <c r="CV20" s="176" t="s">
        <v>201</v>
      </c>
      <c r="CW20" s="177">
        <v>40</v>
      </c>
      <c r="CX20" s="178">
        <f t="shared" si="6"/>
        <v>0</v>
      </c>
      <c r="CY20" s="178">
        <f t="shared" si="31"/>
        <v>0</v>
      </c>
      <c r="CZ20" s="224">
        <v>22</v>
      </c>
      <c r="DA20" s="272">
        <v>1</v>
      </c>
      <c r="DB20" s="173" t="s">
        <v>129</v>
      </c>
      <c r="DC20" s="224"/>
      <c r="DD20" s="224"/>
      <c r="DE20" s="258">
        <v>0</v>
      </c>
      <c r="DF20" s="221" t="s">
        <v>129</v>
      </c>
      <c r="DG20" s="173" t="s">
        <v>117</v>
      </c>
      <c r="DH20" s="250">
        <v>1566.78</v>
      </c>
      <c r="DI20" s="248">
        <v>0.25</v>
      </c>
      <c r="DJ20" s="984" t="s">
        <v>199</v>
      </c>
      <c r="DK20" s="975"/>
      <c r="DL20" s="248">
        <v>0.2</v>
      </c>
      <c r="DM20" s="188" t="s">
        <v>201</v>
      </c>
      <c r="DN20" s="182">
        <v>40</v>
      </c>
      <c r="DO20" s="183">
        <f t="shared" si="7"/>
        <v>0</v>
      </c>
      <c r="DP20" s="183">
        <f t="shared" si="32"/>
        <v>0</v>
      </c>
      <c r="DQ20" s="249">
        <v>22</v>
      </c>
      <c r="DR20" s="273">
        <v>1</v>
      </c>
      <c r="DS20" s="184" t="s">
        <v>129</v>
      </c>
      <c r="DT20" s="249"/>
      <c r="DU20" s="249"/>
      <c r="DV20" s="227">
        <v>0</v>
      </c>
      <c r="DW20" s="228" t="s">
        <v>129</v>
      </c>
      <c r="DX20" s="173" t="s">
        <v>19</v>
      </c>
      <c r="DY20" s="250">
        <v>4128.0200000000004</v>
      </c>
      <c r="DZ20" s="248">
        <v>0.25</v>
      </c>
      <c r="EA20" s="984" t="s">
        <v>199</v>
      </c>
      <c r="EB20" s="975"/>
      <c r="EC20" s="248">
        <v>0.2</v>
      </c>
      <c r="ED20" s="188" t="s">
        <v>200</v>
      </c>
      <c r="EE20" s="182">
        <v>44</v>
      </c>
      <c r="EF20" s="183">
        <f t="shared" si="8"/>
        <v>0</v>
      </c>
      <c r="EG20" s="183">
        <f t="shared" si="33"/>
        <v>0</v>
      </c>
      <c r="EH20" s="249">
        <v>22</v>
      </c>
      <c r="EI20" s="249">
        <v>22</v>
      </c>
      <c r="EJ20" s="184" t="s">
        <v>69</v>
      </c>
      <c r="EK20" s="249"/>
      <c r="EL20" s="249"/>
      <c r="EM20" s="229">
        <v>0</v>
      </c>
      <c r="EN20" s="230" t="s">
        <v>129</v>
      </c>
      <c r="EO20" s="191" t="s">
        <v>19</v>
      </c>
      <c r="EP20" s="251">
        <v>4128.0200000000004</v>
      </c>
      <c r="EQ20" s="252">
        <v>0.25</v>
      </c>
      <c r="ER20" s="974" t="s">
        <v>199</v>
      </c>
      <c r="ES20" s="975"/>
      <c r="ET20" s="252">
        <v>0.2</v>
      </c>
      <c r="EU20" s="194" t="s">
        <v>200</v>
      </c>
      <c r="EV20" s="195">
        <v>44</v>
      </c>
      <c r="EW20" s="196">
        <f t="shared" si="9"/>
        <v>0</v>
      </c>
      <c r="EX20" s="196">
        <f t="shared" si="34"/>
        <v>0</v>
      </c>
      <c r="EY20" s="253">
        <v>22</v>
      </c>
      <c r="EZ20" s="253">
        <v>22</v>
      </c>
      <c r="FA20" s="197" t="s">
        <v>69</v>
      </c>
      <c r="FB20" s="253"/>
      <c r="FC20" s="253"/>
      <c r="FD20" s="229">
        <v>0</v>
      </c>
      <c r="FE20" s="230" t="s">
        <v>129</v>
      </c>
      <c r="FF20" s="191" t="s">
        <v>19</v>
      </c>
      <c r="FG20" s="251">
        <v>1741.45</v>
      </c>
      <c r="FH20" s="252">
        <v>0.25</v>
      </c>
      <c r="FI20" s="974" t="s">
        <v>199</v>
      </c>
      <c r="FJ20" s="975"/>
      <c r="FK20" s="252">
        <v>0.2</v>
      </c>
      <c r="FL20" s="194" t="s">
        <v>203</v>
      </c>
      <c r="FM20" s="195">
        <v>44</v>
      </c>
      <c r="FN20" s="196">
        <f t="shared" si="10"/>
        <v>0</v>
      </c>
      <c r="FO20" s="196">
        <f t="shared" si="35"/>
        <v>0</v>
      </c>
      <c r="FP20" s="253">
        <v>9</v>
      </c>
      <c r="FQ20" s="253"/>
      <c r="FR20" s="197" t="s">
        <v>69</v>
      </c>
      <c r="FS20" s="253"/>
      <c r="FT20" s="253"/>
      <c r="FU20" s="229">
        <v>0</v>
      </c>
      <c r="FV20" s="230" t="s">
        <v>129</v>
      </c>
      <c r="FW20" s="191" t="s">
        <v>19</v>
      </c>
      <c r="FX20" s="251">
        <v>0</v>
      </c>
      <c r="FY20" s="252">
        <v>0.25</v>
      </c>
      <c r="FZ20" s="974" t="s">
        <v>199</v>
      </c>
      <c r="GA20" s="975"/>
      <c r="GB20" s="252">
        <v>0.2</v>
      </c>
      <c r="GC20" s="194" t="s">
        <v>200</v>
      </c>
      <c r="GD20" s="195">
        <v>44</v>
      </c>
      <c r="GE20" s="196">
        <f t="shared" si="11"/>
        <v>0</v>
      </c>
      <c r="GF20" s="196">
        <f t="shared" si="36"/>
        <v>0</v>
      </c>
      <c r="GG20" s="253">
        <v>0</v>
      </c>
      <c r="GH20" s="253"/>
      <c r="GI20" s="197" t="s">
        <v>69</v>
      </c>
      <c r="GJ20" s="253"/>
      <c r="GK20" s="253"/>
      <c r="GL20" s="229">
        <v>0</v>
      </c>
      <c r="GM20" s="230" t="s">
        <v>129</v>
      </c>
      <c r="GN20" s="191" t="s">
        <v>19</v>
      </c>
      <c r="GO20" s="251">
        <v>0</v>
      </c>
      <c r="GP20" s="252">
        <v>0.25</v>
      </c>
      <c r="GQ20" s="974" t="s">
        <v>199</v>
      </c>
      <c r="GR20" s="975"/>
      <c r="GS20" s="252">
        <v>0.2</v>
      </c>
      <c r="GT20" s="194" t="s">
        <v>200</v>
      </c>
      <c r="GU20" s="195">
        <v>44</v>
      </c>
      <c r="GV20" s="196">
        <f t="shared" si="22"/>
        <v>0</v>
      </c>
      <c r="GW20" s="196">
        <f t="shared" si="37"/>
        <v>0</v>
      </c>
      <c r="GX20" s="253">
        <v>0</v>
      </c>
      <c r="GY20" s="253"/>
      <c r="GZ20" s="197" t="s">
        <v>69</v>
      </c>
      <c r="HA20" s="253"/>
      <c r="HB20" s="253"/>
      <c r="HC20" s="198">
        <f t="shared" si="13"/>
        <v>4</v>
      </c>
      <c r="HD20" s="199"/>
      <c r="HE20" s="199"/>
      <c r="HF20" s="199"/>
      <c r="HG20" s="199"/>
      <c r="HH20" s="199"/>
      <c r="HI20" s="199"/>
      <c r="HJ20" s="199"/>
      <c r="HK20" s="199"/>
      <c r="HL20" s="199"/>
      <c r="HM20" s="199"/>
      <c r="HN20" s="200">
        <f t="shared" si="14"/>
        <v>4</v>
      </c>
    </row>
    <row r="21" spans="1:222" ht="22.5" customHeight="1">
      <c r="A21" s="1"/>
      <c r="B21" s="274"/>
      <c r="C21" s="274"/>
      <c r="D21" s="202" t="s">
        <v>88</v>
      </c>
      <c r="E21" s="203">
        <v>4</v>
      </c>
      <c r="F21" s="204">
        <v>3</v>
      </c>
      <c r="G21" s="205">
        <v>1</v>
      </c>
      <c r="H21" s="206" t="s">
        <v>129</v>
      </c>
      <c r="I21" s="207" t="s">
        <v>127</v>
      </c>
      <c r="J21" s="153">
        <v>4556.92</v>
      </c>
      <c r="K21" s="208">
        <v>0.25</v>
      </c>
      <c r="L21" s="987" t="s">
        <v>199</v>
      </c>
      <c r="M21" s="975"/>
      <c r="N21" s="275">
        <v>0.2</v>
      </c>
      <c r="O21" s="276" t="s">
        <v>200</v>
      </c>
      <c r="P21" s="210">
        <v>30</v>
      </c>
      <c r="Q21" s="211">
        <f t="shared" si="23"/>
        <v>0</v>
      </c>
      <c r="R21" s="211">
        <f t="shared" si="24"/>
        <v>0</v>
      </c>
      <c r="S21" s="212">
        <v>0</v>
      </c>
      <c r="T21" s="212">
        <v>0</v>
      </c>
      <c r="U21" s="207" t="s">
        <v>69</v>
      </c>
      <c r="V21" s="213">
        <v>0</v>
      </c>
      <c r="W21" s="214">
        <v>0</v>
      </c>
      <c r="X21" s="240">
        <v>2</v>
      </c>
      <c r="Y21" s="241" t="s">
        <v>129</v>
      </c>
      <c r="Z21" s="169" t="s">
        <v>127</v>
      </c>
      <c r="AA21" s="153">
        <v>4556.92</v>
      </c>
      <c r="AB21" s="242">
        <v>0.25</v>
      </c>
      <c r="AC21" s="985" t="s">
        <v>199</v>
      </c>
      <c r="AD21" s="975"/>
      <c r="AE21" s="242">
        <v>0.2</v>
      </c>
      <c r="AF21" s="277" t="s">
        <v>200</v>
      </c>
      <c r="AG21" s="243">
        <v>20</v>
      </c>
      <c r="AH21" s="244">
        <f>IFERROR((52/(IF(Y21="S",X21+(IF(H21="S",G21,0))+(IF(AP21="S",AO21,0)),0)))/12,0)</f>
        <v>0</v>
      </c>
      <c r="AI21" s="244">
        <f t="shared" si="26"/>
        <v>0</v>
      </c>
      <c r="AJ21" s="245">
        <v>0</v>
      </c>
      <c r="AK21" s="245">
        <v>0</v>
      </c>
      <c r="AL21" s="246" t="s">
        <v>69</v>
      </c>
      <c r="AM21" s="245">
        <v>0</v>
      </c>
      <c r="AN21" s="245">
        <v>0</v>
      </c>
      <c r="AO21" s="220">
        <v>0</v>
      </c>
      <c r="AP21" s="221" t="s">
        <v>69</v>
      </c>
      <c r="AQ21" s="173" t="s">
        <v>83</v>
      </c>
      <c r="AR21" s="222">
        <v>1741.45</v>
      </c>
      <c r="AS21" s="223">
        <v>0.25</v>
      </c>
      <c r="AT21" s="976" t="s">
        <v>199</v>
      </c>
      <c r="AU21" s="975"/>
      <c r="AV21" s="223">
        <v>0.2</v>
      </c>
      <c r="AW21" s="176" t="s">
        <v>201</v>
      </c>
      <c r="AX21" s="177">
        <v>40</v>
      </c>
      <c r="AY21" s="178">
        <f t="shared" si="27"/>
        <v>0</v>
      </c>
      <c r="AZ21" s="178">
        <f t="shared" si="28"/>
        <v>0</v>
      </c>
      <c r="BA21" s="224">
        <v>25</v>
      </c>
      <c r="BB21" s="224">
        <v>25</v>
      </c>
      <c r="BC21" s="173" t="s">
        <v>129</v>
      </c>
      <c r="BD21" s="225">
        <v>1</v>
      </c>
      <c r="BE21" s="225">
        <v>1</v>
      </c>
      <c r="BF21" s="220">
        <v>0</v>
      </c>
      <c r="BG21" s="221" t="s">
        <v>129</v>
      </c>
      <c r="BH21" s="173" t="s">
        <v>28</v>
      </c>
      <c r="BI21" s="174">
        <v>1929.4</v>
      </c>
      <c r="BJ21" s="223">
        <v>0.25</v>
      </c>
      <c r="BK21" s="976" t="s">
        <v>199</v>
      </c>
      <c r="BL21" s="975"/>
      <c r="BM21" s="223">
        <v>0.2</v>
      </c>
      <c r="BN21" s="176" t="s">
        <v>202</v>
      </c>
      <c r="BO21" s="177">
        <v>44</v>
      </c>
      <c r="BP21" s="178">
        <f t="shared" si="3"/>
        <v>0</v>
      </c>
      <c r="BQ21" s="178">
        <f t="shared" si="29"/>
        <v>0</v>
      </c>
      <c r="BR21" s="224">
        <v>22</v>
      </c>
      <c r="BS21" s="224">
        <v>22</v>
      </c>
      <c r="BT21" s="173" t="s">
        <v>69</v>
      </c>
      <c r="BU21" s="224"/>
      <c r="BV21" s="226"/>
      <c r="BW21" s="220">
        <v>0</v>
      </c>
      <c r="BX21" s="221" t="s">
        <v>69</v>
      </c>
      <c r="BY21" s="173" t="s">
        <v>28</v>
      </c>
      <c r="BZ21" s="222">
        <v>2461.8000000000002</v>
      </c>
      <c r="CA21" s="223">
        <v>0.25</v>
      </c>
      <c r="CB21" s="976" t="s">
        <v>199</v>
      </c>
      <c r="CC21" s="975"/>
      <c r="CD21" s="223">
        <v>0.2</v>
      </c>
      <c r="CE21" s="176" t="s">
        <v>202</v>
      </c>
      <c r="CF21" s="177">
        <v>44</v>
      </c>
      <c r="CG21" s="178">
        <f t="shared" si="5"/>
        <v>0</v>
      </c>
      <c r="CH21" s="178">
        <f t="shared" si="30"/>
        <v>0</v>
      </c>
      <c r="CI21" s="224">
        <v>22</v>
      </c>
      <c r="CJ21" s="224">
        <v>22</v>
      </c>
      <c r="CK21" s="173" t="s">
        <v>69</v>
      </c>
      <c r="CL21" s="224"/>
      <c r="CM21" s="224"/>
      <c r="CN21" s="220">
        <v>0</v>
      </c>
      <c r="CO21" s="221" t="s">
        <v>69</v>
      </c>
      <c r="CP21" s="173" t="s">
        <v>28</v>
      </c>
      <c r="CQ21" s="222">
        <v>1396.01</v>
      </c>
      <c r="CR21" s="223">
        <v>0.3</v>
      </c>
      <c r="CS21" s="976" t="s">
        <v>199</v>
      </c>
      <c r="CT21" s="975"/>
      <c r="CU21" s="223">
        <v>0.2</v>
      </c>
      <c r="CV21" s="176" t="s">
        <v>201</v>
      </c>
      <c r="CW21" s="177">
        <v>44</v>
      </c>
      <c r="CX21" s="178">
        <f t="shared" si="6"/>
        <v>0</v>
      </c>
      <c r="CY21" s="178">
        <f t="shared" si="31"/>
        <v>0</v>
      </c>
      <c r="CZ21" s="224">
        <v>22</v>
      </c>
      <c r="DA21" s="224">
        <v>22</v>
      </c>
      <c r="DB21" s="173" t="s">
        <v>69</v>
      </c>
      <c r="DC21" s="224"/>
      <c r="DD21" s="224"/>
      <c r="DE21" s="220">
        <v>0</v>
      </c>
      <c r="DF21" s="221" t="s">
        <v>69</v>
      </c>
      <c r="DG21" s="173" t="s">
        <v>28</v>
      </c>
      <c r="DH21" s="222">
        <v>1396.01</v>
      </c>
      <c r="DI21" s="223">
        <v>0.25</v>
      </c>
      <c r="DJ21" s="984" t="s">
        <v>199</v>
      </c>
      <c r="DK21" s="975"/>
      <c r="DL21" s="223">
        <v>0.2</v>
      </c>
      <c r="DM21" s="176" t="s">
        <v>201</v>
      </c>
      <c r="DN21" s="182">
        <v>44</v>
      </c>
      <c r="DO21" s="178">
        <f t="shared" si="7"/>
        <v>0</v>
      </c>
      <c r="DP21" s="178">
        <f t="shared" si="32"/>
        <v>0</v>
      </c>
      <c r="DQ21" s="224">
        <v>22</v>
      </c>
      <c r="DR21" s="224">
        <v>22</v>
      </c>
      <c r="DS21" s="173" t="s">
        <v>69</v>
      </c>
      <c r="DT21" s="224"/>
      <c r="DU21" s="224"/>
      <c r="DV21" s="227">
        <v>0</v>
      </c>
      <c r="DW21" s="228" t="s">
        <v>129</v>
      </c>
      <c r="DX21" s="173" t="s">
        <v>19</v>
      </c>
      <c r="DY21" s="222">
        <v>4128.0200000000004</v>
      </c>
      <c r="DZ21" s="223">
        <v>0.25</v>
      </c>
      <c r="EA21" s="984" t="s">
        <v>199</v>
      </c>
      <c r="EB21" s="975"/>
      <c r="EC21" s="223">
        <v>0.2</v>
      </c>
      <c r="ED21" s="176" t="s">
        <v>200</v>
      </c>
      <c r="EE21" s="182">
        <v>44</v>
      </c>
      <c r="EF21" s="178">
        <f t="shared" si="8"/>
        <v>0</v>
      </c>
      <c r="EG21" s="178">
        <f t="shared" si="33"/>
        <v>0</v>
      </c>
      <c r="EH21" s="224">
        <v>22</v>
      </c>
      <c r="EI21" s="224">
        <v>22</v>
      </c>
      <c r="EJ21" s="173" t="s">
        <v>69</v>
      </c>
      <c r="EK21" s="224"/>
      <c r="EL21" s="224"/>
      <c r="EM21" s="229">
        <v>0</v>
      </c>
      <c r="EN21" s="230" t="s">
        <v>129</v>
      </c>
      <c r="EO21" s="191" t="s">
        <v>19</v>
      </c>
      <c r="EP21" s="231">
        <v>4128.0200000000004</v>
      </c>
      <c r="EQ21" s="232">
        <v>0.25</v>
      </c>
      <c r="ER21" s="974" t="s">
        <v>199</v>
      </c>
      <c r="ES21" s="975"/>
      <c r="ET21" s="232">
        <v>0.2</v>
      </c>
      <c r="EU21" s="233" t="s">
        <v>200</v>
      </c>
      <c r="EV21" s="195">
        <v>44</v>
      </c>
      <c r="EW21" s="234">
        <f t="shared" si="9"/>
        <v>0</v>
      </c>
      <c r="EX21" s="234">
        <f t="shared" si="34"/>
        <v>0</v>
      </c>
      <c r="EY21" s="235">
        <v>22</v>
      </c>
      <c r="EZ21" s="235">
        <v>22</v>
      </c>
      <c r="FA21" s="191" t="s">
        <v>69</v>
      </c>
      <c r="FB21" s="235"/>
      <c r="FC21" s="235"/>
      <c r="FD21" s="229">
        <v>0</v>
      </c>
      <c r="FE21" s="230" t="s">
        <v>129</v>
      </c>
      <c r="FF21" s="191" t="s">
        <v>19</v>
      </c>
      <c r="FG21" s="231">
        <v>1741.45</v>
      </c>
      <c r="FH21" s="232">
        <v>0.25</v>
      </c>
      <c r="FI21" s="974" t="s">
        <v>199</v>
      </c>
      <c r="FJ21" s="975"/>
      <c r="FK21" s="232">
        <v>0.2</v>
      </c>
      <c r="FL21" s="233" t="s">
        <v>203</v>
      </c>
      <c r="FM21" s="195">
        <v>44</v>
      </c>
      <c r="FN21" s="234">
        <f t="shared" si="10"/>
        <v>0</v>
      </c>
      <c r="FO21" s="234">
        <f t="shared" si="35"/>
        <v>0</v>
      </c>
      <c r="FP21" s="235">
        <v>9</v>
      </c>
      <c r="FQ21" s="235"/>
      <c r="FR21" s="191" t="s">
        <v>69</v>
      </c>
      <c r="FS21" s="235"/>
      <c r="FT21" s="235"/>
      <c r="FU21" s="229">
        <v>0</v>
      </c>
      <c r="FV21" s="230" t="s">
        <v>129</v>
      </c>
      <c r="FW21" s="191" t="s">
        <v>19</v>
      </c>
      <c r="FX21" s="231">
        <v>0</v>
      </c>
      <c r="FY21" s="232">
        <v>0.25</v>
      </c>
      <c r="FZ21" s="974" t="s">
        <v>199</v>
      </c>
      <c r="GA21" s="975"/>
      <c r="GB21" s="232">
        <v>0.2</v>
      </c>
      <c r="GC21" s="233" t="s">
        <v>200</v>
      </c>
      <c r="GD21" s="195">
        <v>44</v>
      </c>
      <c r="GE21" s="234">
        <f t="shared" si="11"/>
        <v>0</v>
      </c>
      <c r="GF21" s="234">
        <f t="shared" si="36"/>
        <v>0</v>
      </c>
      <c r="GG21" s="235">
        <v>0</v>
      </c>
      <c r="GH21" s="235"/>
      <c r="GI21" s="191" t="s">
        <v>69</v>
      </c>
      <c r="GJ21" s="235"/>
      <c r="GK21" s="235"/>
      <c r="GL21" s="229">
        <v>0</v>
      </c>
      <c r="GM21" s="230" t="s">
        <v>129</v>
      </c>
      <c r="GN21" s="191" t="s">
        <v>19</v>
      </c>
      <c r="GO21" s="231">
        <v>0</v>
      </c>
      <c r="GP21" s="232">
        <v>0.25</v>
      </c>
      <c r="GQ21" s="974" t="s">
        <v>199</v>
      </c>
      <c r="GR21" s="975"/>
      <c r="GS21" s="232">
        <v>0.2</v>
      </c>
      <c r="GT21" s="233" t="s">
        <v>200</v>
      </c>
      <c r="GU21" s="195">
        <v>44</v>
      </c>
      <c r="GV21" s="234">
        <f t="shared" si="22"/>
        <v>0</v>
      </c>
      <c r="GW21" s="234">
        <f t="shared" si="37"/>
        <v>0</v>
      </c>
      <c r="GX21" s="235">
        <v>0</v>
      </c>
      <c r="GY21" s="235"/>
      <c r="GZ21" s="191" t="s">
        <v>69</v>
      </c>
      <c r="HA21" s="235"/>
      <c r="HB21" s="235"/>
      <c r="HC21" s="198">
        <f t="shared" si="13"/>
        <v>3</v>
      </c>
      <c r="HD21" s="86"/>
      <c r="HE21" s="86"/>
      <c r="HF21" s="86"/>
      <c r="HG21" s="86"/>
      <c r="HH21" s="86"/>
      <c r="HI21" s="86"/>
      <c r="HJ21" s="86"/>
      <c r="HK21" s="86"/>
      <c r="HL21" s="86"/>
      <c r="HM21" s="86"/>
      <c r="HN21" s="200">
        <f t="shared" si="14"/>
        <v>3</v>
      </c>
    </row>
    <row r="22" spans="1:222" ht="18.75" customHeight="1">
      <c r="A22" s="1"/>
      <c r="B22" s="1"/>
      <c r="C22" s="1"/>
      <c r="D22" s="1"/>
      <c r="E22" s="1"/>
      <c r="F22" s="278"/>
      <c r="G22" s="279">
        <f>SUM(G10:G21)</f>
        <v>20</v>
      </c>
      <c r="H22" s="279"/>
      <c r="I22" s="280"/>
      <c r="J22" s="280"/>
      <c r="K22" s="280"/>
      <c r="L22" s="280"/>
      <c r="M22" s="280"/>
      <c r="N22" s="280"/>
      <c r="O22" s="280"/>
      <c r="P22" s="280"/>
      <c r="Q22" s="280"/>
      <c r="R22" s="280"/>
      <c r="S22" s="280"/>
      <c r="T22" s="280"/>
      <c r="U22" s="280"/>
      <c r="V22" s="280"/>
      <c r="W22" s="280"/>
      <c r="X22" s="281">
        <f>SUM(X10:X21)</f>
        <v>30</v>
      </c>
      <c r="Y22" s="281"/>
      <c r="Z22" s="282"/>
      <c r="AA22" s="281"/>
      <c r="AB22" s="281"/>
      <c r="AC22" s="282"/>
      <c r="AD22" s="282"/>
      <c r="AE22" s="282"/>
      <c r="AF22" s="282"/>
      <c r="AG22" s="282"/>
      <c r="AH22" s="282"/>
      <c r="AI22" s="282"/>
      <c r="AJ22" s="282"/>
      <c r="AK22" s="282"/>
      <c r="AL22" s="282"/>
      <c r="AM22" s="282"/>
      <c r="AN22" s="281"/>
      <c r="AO22" s="281">
        <f t="shared" ref="AO22:DE22" si="38">SUM(AO10:AO21)</f>
        <v>0</v>
      </c>
      <c r="AP22" s="281">
        <f t="shared" si="38"/>
        <v>0</v>
      </c>
      <c r="AQ22" s="281">
        <f t="shared" si="38"/>
        <v>0</v>
      </c>
      <c r="AR22" s="283">
        <f t="shared" si="38"/>
        <v>17866.8</v>
      </c>
      <c r="AS22" s="284">
        <f t="shared" si="38"/>
        <v>2.8000000000000003</v>
      </c>
      <c r="AT22" s="285">
        <f t="shared" si="38"/>
        <v>0</v>
      </c>
      <c r="AU22" s="281">
        <f t="shared" si="38"/>
        <v>0</v>
      </c>
      <c r="AV22" s="284">
        <f t="shared" si="38"/>
        <v>2.4</v>
      </c>
      <c r="AW22" s="285">
        <f t="shared" si="38"/>
        <v>0</v>
      </c>
      <c r="AX22" s="286">
        <f t="shared" si="38"/>
        <v>480</v>
      </c>
      <c r="AY22" s="287">
        <f t="shared" si="38"/>
        <v>0</v>
      </c>
      <c r="AZ22" s="287">
        <f t="shared" si="38"/>
        <v>0</v>
      </c>
      <c r="BA22" s="281">
        <f t="shared" si="38"/>
        <v>294</v>
      </c>
      <c r="BB22" s="281">
        <f t="shared" si="38"/>
        <v>294</v>
      </c>
      <c r="BC22" s="281">
        <f t="shared" si="38"/>
        <v>0</v>
      </c>
      <c r="BD22" s="281">
        <f t="shared" si="38"/>
        <v>16</v>
      </c>
      <c r="BE22" s="281">
        <f t="shared" si="38"/>
        <v>16</v>
      </c>
      <c r="BF22" s="281">
        <f t="shared" si="38"/>
        <v>0</v>
      </c>
      <c r="BG22" s="281">
        <f t="shared" si="38"/>
        <v>0</v>
      </c>
      <c r="BH22" s="281">
        <f t="shared" si="38"/>
        <v>0</v>
      </c>
      <c r="BI22" s="283">
        <f t="shared" si="38"/>
        <v>23152.800000000003</v>
      </c>
      <c r="BJ22" s="284">
        <f t="shared" si="38"/>
        <v>3</v>
      </c>
      <c r="BK22" s="285">
        <f t="shared" si="38"/>
        <v>0</v>
      </c>
      <c r="BL22" s="281">
        <f t="shared" si="38"/>
        <v>0</v>
      </c>
      <c r="BM22" s="284">
        <f t="shared" si="38"/>
        <v>2.4</v>
      </c>
      <c r="BN22" s="285">
        <f t="shared" si="38"/>
        <v>0</v>
      </c>
      <c r="BO22" s="286">
        <f t="shared" si="38"/>
        <v>524</v>
      </c>
      <c r="BP22" s="287">
        <f t="shared" si="38"/>
        <v>0</v>
      </c>
      <c r="BQ22" s="287">
        <f t="shared" si="38"/>
        <v>0</v>
      </c>
      <c r="BR22" s="281">
        <f t="shared" si="38"/>
        <v>264</v>
      </c>
      <c r="BS22" s="281">
        <f t="shared" si="38"/>
        <v>243</v>
      </c>
      <c r="BT22" s="281">
        <f t="shared" si="38"/>
        <v>0</v>
      </c>
      <c r="BU22" s="281">
        <f t="shared" si="38"/>
        <v>0</v>
      </c>
      <c r="BV22" s="281">
        <f t="shared" si="38"/>
        <v>0</v>
      </c>
      <c r="BW22" s="281">
        <f t="shared" si="38"/>
        <v>0</v>
      </c>
      <c r="BX22" s="281">
        <f t="shared" si="38"/>
        <v>0</v>
      </c>
      <c r="BY22" s="281">
        <f t="shared" si="38"/>
        <v>0</v>
      </c>
      <c r="BZ22" s="283">
        <f t="shared" si="38"/>
        <v>29541.599999999995</v>
      </c>
      <c r="CA22" s="284">
        <f t="shared" si="38"/>
        <v>3</v>
      </c>
      <c r="CB22" s="285">
        <f t="shared" si="38"/>
        <v>0</v>
      </c>
      <c r="CC22" s="281">
        <f t="shared" si="38"/>
        <v>0</v>
      </c>
      <c r="CD22" s="284">
        <f t="shared" si="38"/>
        <v>2.4</v>
      </c>
      <c r="CE22" s="285">
        <f t="shared" si="38"/>
        <v>0</v>
      </c>
      <c r="CF22" s="286">
        <f t="shared" si="38"/>
        <v>524</v>
      </c>
      <c r="CG22" s="287">
        <f t="shared" si="38"/>
        <v>0</v>
      </c>
      <c r="CH22" s="287">
        <f t="shared" si="38"/>
        <v>0</v>
      </c>
      <c r="CI22" s="281">
        <f t="shared" si="38"/>
        <v>264</v>
      </c>
      <c r="CJ22" s="281">
        <f t="shared" si="38"/>
        <v>264</v>
      </c>
      <c r="CK22" s="281">
        <f t="shared" si="38"/>
        <v>0</v>
      </c>
      <c r="CL22" s="281">
        <f t="shared" si="38"/>
        <v>0</v>
      </c>
      <c r="CM22" s="281">
        <f t="shared" si="38"/>
        <v>0</v>
      </c>
      <c r="CN22" s="281">
        <f t="shared" si="38"/>
        <v>0</v>
      </c>
      <c r="CO22" s="281">
        <f t="shared" si="38"/>
        <v>0</v>
      </c>
      <c r="CP22" s="281">
        <f t="shared" si="38"/>
        <v>0</v>
      </c>
      <c r="CQ22" s="283">
        <f t="shared" si="38"/>
        <v>17242.899999999998</v>
      </c>
      <c r="CR22" s="284">
        <f t="shared" si="38"/>
        <v>3.5999999999999992</v>
      </c>
      <c r="CS22" s="285">
        <f t="shared" si="38"/>
        <v>0</v>
      </c>
      <c r="CT22" s="281">
        <f t="shared" si="38"/>
        <v>0</v>
      </c>
      <c r="CU22" s="284">
        <f t="shared" si="38"/>
        <v>2.4</v>
      </c>
      <c r="CV22" s="285">
        <f t="shared" si="38"/>
        <v>0</v>
      </c>
      <c r="CW22" s="286">
        <f t="shared" si="38"/>
        <v>524</v>
      </c>
      <c r="CX22" s="287">
        <f t="shared" si="38"/>
        <v>0</v>
      </c>
      <c r="CY22" s="287">
        <f t="shared" si="38"/>
        <v>0</v>
      </c>
      <c r="CZ22" s="281">
        <f t="shared" si="38"/>
        <v>264</v>
      </c>
      <c r="DA22" s="281">
        <f t="shared" si="38"/>
        <v>243</v>
      </c>
      <c r="DB22" s="281">
        <f t="shared" si="38"/>
        <v>0</v>
      </c>
      <c r="DC22" s="281">
        <f t="shared" si="38"/>
        <v>0</v>
      </c>
      <c r="DD22" s="281">
        <f t="shared" si="38"/>
        <v>0</v>
      </c>
      <c r="DE22" s="288">
        <f t="shared" si="38"/>
        <v>0</v>
      </c>
      <c r="DF22" s="289"/>
      <c r="DG22" s="290"/>
      <c r="DH22" s="291"/>
      <c r="DI22" s="291"/>
      <c r="DJ22" s="291"/>
      <c r="DK22" s="291"/>
      <c r="DL22" s="291"/>
      <c r="DM22" s="291"/>
      <c r="DN22" s="291"/>
      <c r="DO22" s="291"/>
      <c r="DP22" s="291"/>
      <c r="DQ22" s="291"/>
      <c r="DR22" s="291"/>
      <c r="DS22" s="291"/>
      <c r="DT22" s="291"/>
      <c r="DU22" s="291"/>
      <c r="DV22" s="292">
        <f>SUM(DV10:DV21)</f>
        <v>0</v>
      </c>
      <c r="DW22" s="292"/>
      <c r="DX22" s="290"/>
      <c r="DY22" s="290"/>
      <c r="DZ22" s="290"/>
      <c r="EA22" s="290"/>
      <c r="EB22" s="290"/>
      <c r="EC22" s="290"/>
      <c r="ED22" s="290"/>
      <c r="EE22" s="290"/>
      <c r="EF22" s="290"/>
      <c r="EG22" s="290"/>
      <c r="EH22" s="290"/>
      <c r="EI22" s="290"/>
      <c r="EJ22" s="290"/>
      <c r="EK22" s="290"/>
      <c r="EL22" s="290"/>
      <c r="EM22" s="292">
        <f>SUM(EM10:EM21)</f>
        <v>0</v>
      </c>
      <c r="EN22" s="292"/>
      <c r="EO22" s="290"/>
      <c r="EP22" s="290"/>
      <c r="EQ22" s="290"/>
      <c r="ER22" s="290"/>
      <c r="ES22" s="290"/>
      <c r="ET22" s="290"/>
      <c r="EU22" s="290"/>
      <c r="EV22" s="290"/>
      <c r="EW22" s="290"/>
      <c r="EX22" s="290"/>
      <c r="EY22" s="290"/>
      <c r="EZ22" s="290"/>
      <c r="FA22" s="290"/>
      <c r="FB22" s="290"/>
      <c r="FC22" s="290"/>
      <c r="FD22" s="292">
        <f>SUM(FD10:FD21)</f>
        <v>0</v>
      </c>
      <c r="FE22" s="292"/>
      <c r="FF22" s="290"/>
      <c r="FG22" s="290"/>
      <c r="FH22" s="290"/>
      <c r="FI22" s="290"/>
      <c r="FJ22" s="290"/>
      <c r="FK22" s="290"/>
      <c r="FL22" s="290"/>
      <c r="FM22" s="290"/>
      <c r="FN22" s="290"/>
      <c r="FO22" s="290"/>
      <c r="FP22" s="290"/>
      <c r="FQ22" s="290"/>
      <c r="FR22" s="290"/>
      <c r="FS22" s="290"/>
      <c r="FT22" s="290"/>
      <c r="FU22" s="292">
        <f>SUM(FU10:FU21)</f>
        <v>0</v>
      </c>
      <c r="FV22" s="292"/>
      <c r="FW22" s="120"/>
      <c r="FX22" s="290"/>
      <c r="FY22" s="290"/>
      <c r="FZ22" s="290"/>
      <c r="GA22" s="290"/>
      <c r="GB22" s="290"/>
      <c r="GC22" s="290"/>
      <c r="GD22" s="290"/>
      <c r="GE22" s="290"/>
      <c r="GF22" s="290"/>
      <c r="GG22" s="290"/>
      <c r="GH22" s="290"/>
      <c r="GI22" s="290"/>
      <c r="GJ22" s="290"/>
      <c r="GK22" s="290"/>
      <c r="GL22" s="292">
        <f>SUM(GL10:GL21)</f>
        <v>0</v>
      </c>
      <c r="GM22" s="292"/>
      <c r="GN22" s="120"/>
      <c r="GO22" s="290"/>
      <c r="GP22" s="290"/>
      <c r="GQ22" s="290"/>
      <c r="GR22" s="290"/>
      <c r="GS22" s="290"/>
      <c r="GT22" s="290"/>
      <c r="GU22" s="290"/>
      <c r="GV22" s="290"/>
      <c r="GW22" s="290"/>
      <c r="GX22" s="290"/>
      <c r="GY22" s="290"/>
      <c r="GZ22" s="290"/>
      <c r="HA22" s="290"/>
      <c r="HB22" s="290"/>
      <c r="HC22" s="293">
        <f>SUM(HC10:HC21)</f>
        <v>50</v>
      </c>
      <c r="HD22" s="290"/>
      <c r="HE22" s="290"/>
      <c r="HF22" s="290"/>
      <c r="HG22" s="290"/>
      <c r="HH22" s="290"/>
      <c r="HI22" s="290"/>
      <c r="HJ22" s="290"/>
      <c r="HK22" s="290"/>
      <c r="HL22" s="290"/>
      <c r="HM22" s="290"/>
      <c r="HN22" s="200">
        <f t="shared" si="14"/>
        <v>50</v>
      </c>
    </row>
    <row r="23" spans="1:222" ht="14.25" customHeight="1">
      <c r="A23" s="1"/>
      <c r="B23" s="294" t="s">
        <v>216</v>
      </c>
      <c r="C23" s="294"/>
      <c r="D23" s="295"/>
      <c r="E23" s="1"/>
      <c r="F23" s="296"/>
      <c r="G23" s="297"/>
      <c r="H23" s="75"/>
      <c r="I23" s="75"/>
      <c r="J23" s="75"/>
      <c r="K23" s="1"/>
      <c r="L23" s="298" t="s">
        <v>217</v>
      </c>
      <c r="M23" s="299"/>
      <c r="N23" s="300"/>
      <c r="O23" s="301" t="s">
        <v>202</v>
      </c>
      <c r="P23" s="302">
        <v>44</v>
      </c>
      <c r="Q23" s="303" t="s">
        <v>218</v>
      </c>
      <c r="R23" s="303" t="s">
        <v>218</v>
      </c>
      <c r="S23" s="1"/>
      <c r="T23" s="1"/>
      <c r="U23" s="1"/>
      <c r="V23" s="1"/>
      <c r="W23" s="1"/>
      <c r="X23" s="304" t="s">
        <v>219</v>
      </c>
      <c r="Y23" s="75"/>
      <c r="Z23" s="75"/>
      <c r="AA23" s="75"/>
      <c r="AB23" s="75"/>
      <c r="AC23" s="1"/>
      <c r="AD23" s="1"/>
      <c r="AE23" s="1"/>
      <c r="AF23" s="1"/>
      <c r="AG23" s="1"/>
      <c r="AH23" s="305" t="s">
        <v>218</v>
      </c>
      <c r="AI23" s="305" t="s">
        <v>218</v>
      </c>
      <c r="AJ23" s="1"/>
      <c r="AK23" s="1"/>
      <c r="AL23" s="1"/>
      <c r="AM23" s="1"/>
      <c r="AN23" s="1"/>
      <c r="AO23" s="75"/>
      <c r="AP23" s="75"/>
      <c r="AQ23" s="1"/>
      <c r="AR23" s="1"/>
      <c r="AS23" s="1"/>
      <c r="AT23" s="1"/>
      <c r="AU23" s="1"/>
      <c r="AV23" s="1"/>
      <c r="AW23" s="1"/>
      <c r="AX23" s="1"/>
      <c r="AY23" s="306" t="s">
        <v>218</v>
      </c>
      <c r="AZ23" s="306" t="s">
        <v>218</v>
      </c>
      <c r="BA23" s="1"/>
      <c r="BB23" s="1"/>
      <c r="BC23" s="1"/>
      <c r="BD23" s="1"/>
      <c r="BE23" s="1"/>
      <c r="BF23" s="292"/>
      <c r="BG23" s="292"/>
      <c r="BH23" s="290"/>
      <c r="BI23" s="290"/>
      <c r="BJ23" s="290"/>
      <c r="BK23" s="290"/>
      <c r="BL23" s="290"/>
      <c r="BM23" s="290"/>
      <c r="BN23" s="290"/>
      <c r="BO23" s="290"/>
      <c r="BP23" s="290"/>
      <c r="BQ23" s="290"/>
      <c r="BR23" s="290"/>
      <c r="BS23" s="290"/>
      <c r="BT23" s="290"/>
      <c r="BU23" s="290"/>
      <c r="BV23" s="290"/>
      <c r="BW23" s="292"/>
      <c r="BX23" s="292"/>
      <c r="BY23" s="290"/>
      <c r="BZ23" s="290"/>
      <c r="CA23" s="290"/>
      <c r="CB23" s="290"/>
      <c r="CC23" s="290"/>
      <c r="CD23" s="290"/>
      <c r="CE23" s="290"/>
      <c r="CF23" s="290"/>
      <c r="CG23" s="290"/>
      <c r="CH23" s="290"/>
      <c r="CI23" s="290"/>
      <c r="CJ23" s="290"/>
      <c r="CK23" s="290"/>
      <c r="CL23" s="290"/>
      <c r="CM23" s="290"/>
      <c r="CN23" s="292"/>
      <c r="CO23" s="292"/>
      <c r="CP23" s="290"/>
      <c r="CQ23" s="290"/>
      <c r="CR23" s="290"/>
      <c r="CS23" s="290"/>
      <c r="CT23" s="290"/>
      <c r="CU23" s="290"/>
      <c r="CV23" s="290"/>
      <c r="CW23" s="290"/>
      <c r="CX23" s="290"/>
      <c r="CY23" s="290"/>
      <c r="CZ23" s="290"/>
      <c r="DA23" s="290"/>
      <c r="DB23" s="290"/>
      <c r="DC23" s="290"/>
      <c r="DD23" s="290"/>
      <c r="DE23" s="292"/>
      <c r="DF23" s="292"/>
      <c r="DG23" s="290"/>
      <c r="DH23" s="290"/>
      <c r="DI23" s="290"/>
      <c r="DJ23" s="290"/>
      <c r="DK23" s="290"/>
      <c r="DL23" s="290"/>
      <c r="DM23" s="290"/>
      <c r="DN23" s="290"/>
      <c r="DO23" s="290"/>
      <c r="DP23" s="290"/>
      <c r="DQ23" s="290"/>
      <c r="DR23" s="290"/>
      <c r="DS23" s="290"/>
      <c r="DT23" s="290"/>
      <c r="DU23" s="290"/>
      <c r="DV23" s="292"/>
      <c r="DW23" s="292"/>
      <c r="DX23" s="290"/>
      <c r="DY23" s="290"/>
      <c r="DZ23" s="290"/>
      <c r="EA23" s="290"/>
      <c r="EB23" s="290"/>
      <c r="EC23" s="290"/>
      <c r="ED23" s="290"/>
      <c r="EE23" s="290"/>
      <c r="EF23" s="290"/>
      <c r="EG23" s="290"/>
      <c r="EH23" s="290"/>
      <c r="EI23" s="290"/>
      <c r="EJ23" s="290"/>
      <c r="EK23" s="290"/>
      <c r="EL23" s="290"/>
      <c r="EM23" s="292"/>
      <c r="EN23" s="292"/>
      <c r="EO23" s="290"/>
      <c r="EP23" s="290"/>
      <c r="EQ23" s="290"/>
      <c r="ER23" s="290"/>
      <c r="ES23" s="290"/>
      <c r="ET23" s="290"/>
      <c r="EU23" s="290"/>
      <c r="EV23" s="290"/>
      <c r="EW23" s="290"/>
      <c r="EX23" s="290"/>
      <c r="EY23" s="290"/>
      <c r="EZ23" s="290"/>
      <c r="FA23" s="290"/>
      <c r="FB23" s="290"/>
      <c r="FC23" s="290"/>
      <c r="FD23" s="292"/>
      <c r="FE23" s="292"/>
      <c r="FF23" s="290"/>
      <c r="FG23" s="290"/>
      <c r="FH23" s="290"/>
      <c r="FI23" s="290"/>
      <c r="FJ23" s="290"/>
      <c r="FK23" s="290"/>
      <c r="FL23" s="290"/>
      <c r="FM23" s="290"/>
      <c r="FN23" s="290"/>
      <c r="FO23" s="290"/>
      <c r="FP23" s="290"/>
      <c r="FQ23" s="290"/>
      <c r="FR23" s="290"/>
      <c r="FS23" s="290"/>
      <c r="FT23" s="290"/>
      <c r="FU23" s="292"/>
      <c r="FV23" s="292"/>
      <c r="FW23" s="290"/>
      <c r="FX23" s="290"/>
      <c r="FY23" s="290"/>
      <c r="FZ23" s="290"/>
      <c r="GA23" s="290"/>
      <c r="GB23" s="290"/>
      <c r="GC23" s="290"/>
      <c r="GD23" s="290"/>
      <c r="GE23" s="290"/>
      <c r="GF23" s="290"/>
      <c r="GG23" s="290"/>
      <c r="GH23" s="290"/>
      <c r="GI23" s="290"/>
      <c r="GJ23" s="290"/>
      <c r="GK23" s="290"/>
      <c r="GL23" s="292"/>
      <c r="GM23" s="292"/>
      <c r="GN23" s="290"/>
      <c r="GO23" s="290"/>
      <c r="GP23" s="290"/>
      <c r="GQ23" s="290"/>
      <c r="GR23" s="290"/>
      <c r="GS23" s="290"/>
      <c r="GT23" s="290"/>
      <c r="GU23" s="290"/>
      <c r="GV23" s="290"/>
      <c r="GW23" s="290"/>
      <c r="GX23" s="290"/>
      <c r="GY23" s="290"/>
      <c r="GZ23" s="290"/>
      <c r="HA23" s="290"/>
      <c r="HB23" s="290"/>
      <c r="HC23" s="290"/>
      <c r="HD23" s="290"/>
      <c r="HE23" s="290"/>
      <c r="HF23" s="290"/>
      <c r="HG23" s="290"/>
      <c r="HH23" s="290"/>
      <c r="HI23" s="290"/>
      <c r="HJ23" s="290"/>
      <c r="HK23" s="290"/>
      <c r="HL23" s="290"/>
      <c r="HM23" s="290"/>
      <c r="HN23" s="307"/>
    </row>
    <row r="24" spans="1:222" ht="18" customHeight="1">
      <c r="A24" s="1"/>
      <c r="B24" s="1"/>
      <c r="C24" s="308"/>
      <c r="D24" s="1"/>
      <c r="E24" s="1"/>
      <c r="F24" s="296"/>
      <c r="G24" s="297"/>
      <c r="H24" s="75"/>
      <c r="I24" s="75"/>
      <c r="J24" s="75"/>
      <c r="K24" s="1"/>
      <c r="L24" s="298" t="s">
        <v>215</v>
      </c>
      <c r="M24" s="309"/>
      <c r="N24" s="1"/>
      <c r="O24" s="310" t="s">
        <v>201</v>
      </c>
      <c r="P24" s="302">
        <v>40</v>
      </c>
      <c r="Q24" s="311" t="s">
        <v>220</v>
      </c>
      <c r="R24" s="311" t="s">
        <v>220</v>
      </c>
      <c r="S24" s="1"/>
      <c r="T24" s="1"/>
      <c r="U24" s="1"/>
      <c r="V24" s="1"/>
      <c r="W24" s="1"/>
      <c r="X24" s="75"/>
      <c r="Y24" s="75"/>
      <c r="Z24" s="75"/>
      <c r="AA24" s="75"/>
      <c r="AB24" s="75"/>
      <c r="AC24" s="1"/>
      <c r="AD24" s="1"/>
      <c r="AE24" s="1"/>
      <c r="AF24" s="1"/>
      <c r="AG24" s="1"/>
      <c r="AH24" s="312" t="s">
        <v>220</v>
      </c>
      <c r="AI24" s="312" t="s">
        <v>220</v>
      </c>
      <c r="AJ24" s="1"/>
      <c r="AK24" s="1"/>
      <c r="AL24" s="1"/>
      <c r="AM24" s="1"/>
      <c r="AN24" s="1"/>
      <c r="AO24" s="75"/>
      <c r="AP24" s="75"/>
      <c r="AQ24" s="1"/>
      <c r="AR24" s="1"/>
      <c r="AS24" s="1"/>
      <c r="AT24" s="1"/>
      <c r="AU24" s="1"/>
      <c r="AV24" s="1"/>
      <c r="AW24" s="1"/>
      <c r="AX24" s="1"/>
      <c r="AY24" s="313" t="s">
        <v>220</v>
      </c>
      <c r="AZ24" s="313" t="s">
        <v>220</v>
      </c>
      <c r="BA24" s="1"/>
      <c r="BB24" s="1"/>
      <c r="BC24" s="1"/>
      <c r="BD24" s="1"/>
      <c r="BE24" s="1"/>
      <c r="BF24" s="279"/>
      <c r="BG24" s="279"/>
      <c r="BH24" s="280"/>
      <c r="BI24" s="280"/>
      <c r="BJ24" s="280"/>
      <c r="BK24" s="280"/>
      <c r="BL24" s="280"/>
      <c r="BM24" s="280"/>
      <c r="BN24" s="280"/>
      <c r="BO24" s="280"/>
      <c r="BP24" s="280"/>
      <c r="BQ24" s="280"/>
      <c r="BR24" s="280"/>
      <c r="BS24" s="280"/>
      <c r="BT24" s="280"/>
      <c r="BU24" s="280"/>
      <c r="BV24" s="280"/>
      <c r="BW24" s="279"/>
      <c r="BX24" s="279"/>
      <c r="BY24" s="280"/>
      <c r="BZ24" s="280"/>
      <c r="CA24" s="280"/>
      <c r="CB24" s="280"/>
      <c r="CC24" s="280"/>
      <c r="CD24" s="280"/>
      <c r="CE24" s="280"/>
      <c r="CF24" s="280"/>
      <c r="CG24" s="280"/>
      <c r="CH24" s="280"/>
      <c r="CI24" s="280"/>
      <c r="CJ24" s="280"/>
      <c r="CK24" s="280"/>
      <c r="CL24" s="280"/>
      <c r="CM24" s="280"/>
      <c r="CN24" s="279"/>
      <c r="CO24" s="279"/>
      <c r="CP24" s="280"/>
      <c r="CQ24" s="280"/>
      <c r="CR24" s="280"/>
      <c r="CS24" s="280"/>
      <c r="CT24" s="280"/>
      <c r="CU24" s="280"/>
      <c r="CV24" s="280"/>
      <c r="CW24" s="280"/>
      <c r="CX24" s="280"/>
      <c r="CY24" s="280"/>
      <c r="CZ24" s="280"/>
      <c r="DA24" s="280"/>
      <c r="DB24" s="280"/>
      <c r="DC24" s="280"/>
      <c r="DD24" s="280"/>
      <c r="DE24" s="279"/>
      <c r="DF24" s="279"/>
      <c r="DG24" s="280"/>
      <c r="DH24" s="280"/>
      <c r="DI24" s="280"/>
      <c r="DJ24" s="280"/>
      <c r="DK24" s="280"/>
      <c r="DL24" s="280"/>
      <c r="DM24" s="280"/>
      <c r="DN24" s="280"/>
      <c r="DO24" s="280"/>
      <c r="DP24" s="280"/>
      <c r="DQ24" s="280"/>
      <c r="DR24" s="280"/>
      <c r="DS24" s="280"/>
      <c r="DT24" s="280"/>
      <c r="DU24" s="280"/>
      <c r="DV24" s="279"/>
      <c r="DW24" s="279"/>
      <c r="DX24" s="280"/>
      <c r="DY24" s="280"/>
      <c r="DZ24" s="280"/>
      <c r="EA24" s="280"/>
      <c r="EB24" s="280"/>
      <c r="EC24" s="280"/>
      <c r="ED24" s="280"/>
      <c r="EE24" s="280"/>
      <c r="EF24" s="280"/>
      <c r="EG24" s="280"/>
      <c r="EH24" s="280"/>
      <c r="EI24" s="280"/>
      <c r="EJ24" s="280"/>
      <c r="EK24" s="280"/>
      <c r="EL24" s="280"/>
      <c r="EM24" s="279"/>
      <c r="EN24" s="279"/>
      <c r="EO24" s="280"/>
      <c r="EP24" s="280"/>
      <c r="EQ24" s="280"/>
      <c r="ER24" s="280"/>
      <c r="ES24" s="280"/>
      <c r="ET24" s="280"/>
      <c r="EU24" s="280"/>
      <c r="EV24" s="280"/>
      <c r="EW24" s="280"/>
      <c r="EX24" s="280"/>
      <c r="EY24" s="280"/>
      <c r="EZ24" s="280"/>
      <c r="FA24" s="280"/>
      <c r="FB24" s="280"/>
      <c r="FC24" s="280"/>
      <c r="FD24" s="279"/>
      <c r="FE24" s="279"/>
      <c r="FF24" s="280"/>
      <c r="FG24" s="280"/>
      <c r="FH24" s="280"/>
      <c r="FI24" s="280"/>
      <c r="FJ24" s="280"/>
      <c r="FK24" s="280"/>
      <c r="FL24" s="280"/>
      <c r="FM24" s="280"/>
      <c r="FN24" s="280"/>
      <c r="FO24" s="280"/>
      <c r="FP24" s="280"/>
      <c r="FQ24" s="280"/>
      <c r="FR24" s="280"/>
      <c r="FS24" s="280"/>
      <c r="FT24" s="280"/>
      <c r="FU24" s="279"/>
      <c r="FV24" s="279"/>
      <c r="FW24" s="280"/>
      <c r="FX24" s="280"/>
      <c r="FY24" s="280"/>
      <c r="FZ24" s="280"/>
      <c r="GA24" s="280"/>
      <c r="GB24" s="280"/>
      <c r="GC24" s="280"/>
      <c r="GD24" s="280"/>
      <c r="GE24" s="280"/>
      <c r="GF24" s="280"/>
      <c r="GG24" s="280"/>
      <c r="GH24" s="280"/>
      <c r="GI24" s="280"/>
      <c r="GJ24" s="280"/>
      <c r="GK24" s="280"/>
      <c r="GL24" s="279"/>
      <c r="GM24" s="279"/>
      <c r="GN24" s="280"/>
      <c r="GO24" s="280"/>
      <c r="GP24" s="280"/>
      <c r="GQ24" s="280"/>
      <c r="GR24" s="280"/>
      <c r="GS24" s="280"/>
      <c r="GT24" s="280"/>
      <c r="GU24" s="280"/>
      <c r="GV24" s="280"/>
      <c r="GW24" s="280"/>
      <c r="GX24" s="280"/>
      <c r="GY24" s="280"/>
      <c r="GZ24" s="280"/>
      <c r="HA24" s="280"/>
      <c r="HB24" s="280"/>
      <c r="HC24" s="280"/>
      <c r="HD24" s="280"/>
      <c r="HE24" s="280"/>
      <c r="HF24" s="280"/>
      <c r="HG24" s="280"/>
      <c r="HH24" s="280"/>
      <c r="HI24" s="280"/>
      <c r="HJ24" s="280"/>
      <c r="HK24" s="280"/>
      <c r="HL24" s="280"/>
      <c r="HM24" s="1"/>
      <c r="HN24" s="1"/>
    </row>
    <row r="25" spans="1:222" ht="18" customHeight="1">
      <c r="A25" s="314"/>
      <c r="B25" s="1"/>
      <c r="C25" s="308"/>
      <c r="E25" s="314"/>
      <c r="F25" s="314"/>
      <c r="G25" s="315"/>
      <c r="H25" s="315"/>
      <c r="I25" s="315"/>
      <c r="J25" s="315"/>
      <c r="K25" s="315"/>
      <c r="L25" s="316" t="s">
        <v>199</v>
      </c>
      <c r="M25" s="317"/>
      <c r="N25" s="314"/>
      <c r="O25" s="301" t="s">
        <v>221</v>
      </c>
      <c r="P25" s="302">
        <v>30</v>
      </c>
      <c r="Q25" s="318" t="s">
        <v>222</v>
      </c>
      <c r="R25" s="318" t="s">
        <v>222</v>
      </c>
      <c r="S25" s="315"/>
      <c r="T25" s="315"/>
      <c r="U25" s="315"/>
      <c r="V25" s="315"/>
      <c r="W25" s="315"/>
      <c r="X25" s="315"/>
      <c r="Y25" s="315"/>
      <c r="Z25" s="315"/>
      <c r="AA25" s="315"/>
      <c r="AB25" s="315"/>
      <c r="AC25" s="315"/>
      <c r="AD25" s="315"/>
      <c r="AE25" s="315"/>
      <c r="AF25" s="315"/>
      <c r="AG25" s="315"/>
      <c r="AH25" s="319" t="s">
        <v>222</v>
      </c>
      <c r="AI25" s="319" t="s">
        <v>222</v>
      </c>
      <c r="AJ25" s="315"/>
      <c r="AK25" s="315"/>
      <c r="AL25" s="315"/>
      <c r="AM25" s="315"/>
      <c r="AN25" s="315"/>
      <c r="AO25" s="315"/>
      <c r="AP25" s="315"/>
      <c r="AQ25" s="315"/>
      <c r="AR25" s="315"/>
      <c r="AS25" s="315"/>
      <c r="AT25" s="315"/>
      <c r="AU25" s="315"/>
      <c r="AV25" s="315"/>
      <c r="AW25" s="315"/>
      <c r="AX25" s="315"/>
      <c r="AY25" s="320" t="s">
        <v>222</v>
      </c>
      <c r="AZ25" s="320" t="s">
        <v>222</v>
      </c>
      <c r="BA25" s="315"/>
      <c r="BB25" s="315"/>
      <c r="BC25" s="315"/>
      <c r="BD25" s="315"/>
      <c r="BE25" s="315"/>
      <c r="BF25" s="315"/>
      <c r="BG25" s="315"/>
      <c r="BH25" s="315"/>
      <c r="BI25" s="315"/>
      <c r="BJ25" s="315"/>
      <c r="BK25" s="315"/>
      <c r="BL25" s="315"/>
      <c r="BM25" s="315"/>
      <c r="BN25" s="315"/>
      <c r="BO25" s="315"/>
      <c r="BP25" s="315"/>
      <c r="BQ25" s="315"/>
      <c r="BR25" s="315"/>
      <c r="BS25" s="315"/>
      <c r="BT25" s="315"/>
      <c r="BU25" s="315"/>
      <c r="BV25" s="315"/>
      <c r="BW25" s="315"/>
      <c r="BX25" s="315"/>
      <c r="BY25" s="315"/>
      <c r="BZ25" s="315"/>
      <c r="CA25" s="315"/>
      <c r="CB25" s="315"/>
      <c r="CC25" s="315"/>
      <c r="CD25" s="315"/>
      <c r="CE25" s="315"/>
      <c r="CF25" s="315"/>
      <c r="CG25" s="315"/>
      <c r="CH25" s="315"/>
      <c r="CI25" s="315"/>
      <c r="CJ25" s="315"/>
      <c r="CK25" s="315"/>
      <c r="CL25" s="315"/>
      <c r="CM25" s="315"/>
      <c r="CN25" s="315"/>
      <c r="CO25" s="315"/>
      <c r="CP25" s="315"/>
      <c r="CQ25" s="315"/>
      <c r="CR25" s="315"/>
      <c r="CS25" s="315"/>
      <c r="CT25" s="315"/>
      <c r="CU25" s="315"/>
      <c r="CV25" s="315"/>
      <c r="CW25" s="315"/>
      <c r="CX25" s="315"/>
      <c r="CY25" s="315"/>
      <c r="CZ25" s="315"/>
      <c r="DA25" s="315"/>
      <c r="DB25" s="315"/>
      <c r="DC25" s="315"/>
      <c r="DD25" s="315"/>
      <c r="DE25" s="315"/>
      <c r="DF25" s="315"/>
      <c r="DG25" s="315"/>
      <c r="DH25" s="315"/>
      <c r="DI25" s="315"/>
      <c r="DJ25" s="315"/>
      <c r="DK25" s="315"/>
      <c r="DL25" s="315"/>
      <c r="DM25" s="315"/>
      <c r="DN25" s="315"/>
      <c r="DO25" s="315"/>
      <c r="DP25" s="315"/>
      <c r="DQ25" s="315"/>
      <c r="DR25" s="315"/>
      <c r="DS25" s="315"/>
      <c r="DT25" s="315"/>
      <c r="DU25" s="315"/>
      <c r="DV25" s="315"/>
      <c r="DW25" s="315"/>
      <c r="DX25" s="315"/>
      <c r="DY25" s="315"/>
      <c r="DZ25" s="315"/>
      <c r="EA25" s="315"/>
      <c r="EB25" s="315"/>
      <c r="EC25" s="315"/>
      <c r="ED25" s="315"/>
      <c r="EE25" s="315"/>
      <c r="EF25" s="315"/>
      <c r="EG25" s="315"/>
      <c r="EH25" s="315"/>
      <c r="EI25" s="315"/>
      <c r="EJ25" s="315"/>
      <c r="EK25" s="315"/>
      <c r="EL25" s="315"/>
      <c r="EM25" s="315"/>
      <c r="EN25" s="315"/>
      <c r="EO25" s="315"/>
      <c r="EP25" s="315"/>
      <c r="EQ25" s="315"/>
      <c r="ER25" s="315"/>
      <c r="ES25" s="315"/>
      <c r="ET25" s="315"/>
      <c r="EU25" s="315"/>
      <c r="EV25" s="315"/>
      <c r="EW25" s="315"/>
      <c r="EX25" s="315"/>
      <c r="EY25" s="315"/>
      <c r="EZ25" s="315"/>
      <c r="FA25" s="315"/>
      <c r="FB25" s="315"/>
      <c r="FC25" s="315"/>
      <c r="FD25" s="315"/>
      <c r="FE25" s="315"/>
      <c r="FF25" s="315"/>
      <c r="FG25" s="315"/>
      <c r="FH25" s="315"/>
      <c r="FI25" s="315"/>
      <c r="FJ25" s="315"/>
      <c r="FK25" s="315"/>
      <c r="FL25" s="315"/>
      <c r="FM25" s="315"/>
      <c r="FN25" s="315"/>
      <c r="FO25" s="315"/>
      <c r="FP25" s="315"/>
      <c r="FQ25" s="315"/>
      <c r="FR25" s="315"/>
      <c r="FS25" s="315"/>
      <c r="FT25" s="315"/>
      <c r="FU25" s="315"/>
      <c r="FV25" s="315"/>
      <c r="FW25" s="315"/>
      <c r="FX25" s="315"/>
      <c r="FY25" s="315"/>
      <c r="FZ25" s="315"/>
      <c r="GA25" s="315"/>
      <c r="GB25" s="315"/>
      <c r="GC25" s="315"/>
      <c r="GD25" s="315"/>
      <c r="GE25" s="315"/>
      <c r="GF25" s="315"/>
      <c r="GG25" s="315"/>
      <c r="GH25" s="315"/>
      <c r="GI25" s="315"/>
      <c r="GJ25" s="315"/>
      <c r="GK25" s="315"/>
      <c r="GL25" s="315"/>
      <c r="GM25" s="315">
        <f t="shared" ref="GM25:HM25" si="39">GM6</f>
        <v>0</v>
      </c>
      <c r="GN25" s="315">
        <f t="shared" si="39"/>
        <v>0</v>
      </c>
      <c r="GO25" s="315">
        <f t="shared" si="39"/>
        <v>0</v>
      </c>
      <c r="GP25" s="315">
        <f t="shared" si="39"/>
        <v>0</v>
      </c>
      <c r="GQ25" s="315">
        <f t="shared" si="39"/>
        <v>0</v>
      </c>
      <c r="GR25" s="315">
        <f t="shared" si="39"/>
        <v>0</v>
      </c>
      <c r="GS25" s="315">
        <f t="shared" si="39"/>
        <v>0</v>
      </c>
      <c r="GT25" s="315">
        <f t="shared" si="39"/>
        <v>0</v>
      </c>
      <c r="GU25" s="315">
        <f t="shared" si="39"/>
        <v>0</v>
      </c>
      <c r="GV25" s="315">
        <f t="shared" si="39"/>
        <v>0</v>
      </c>
      <c r="GW25" s="315">
        <f t="shared" si="39"/>
        <v>0</v>
      </c>
      <c r="GX25" s="315">
        <f t="shared" si="39"/>
        <v>0</v>
      </c>
      <c r="GY25" s="315">
        <f t="shared" si="39"/>
        <v>0</v>
      </c>
      <c r="GZ25" s="315">
        <f t="shared" si="39"/>
        <v>0</v>
      </c>
      <c r="HA25" s="315">
        <f t="shared" si="39"/>
        <v>0</v>
      </c>
      <c r="HB25" s="315">
        <f t="shared" si="39"/>
        <v>0</v>
      </c>
      <c r="HC25" s="315">
        <f t="shared" si="39"/>
        <v>0</v>
      </c>
      <c r="HD25" s="315">
        <f t="shared" si="39"/>
        <v>0</v>
      </c>
      <c r="HE25" s="315">
        <f t="shared" si="39"/>
        <v>0</v>
      </c>
      <c r="HF25" s="315">
        <f t="shared" si="39"/>
        <v>0</v>
      </c>
      <c r="HG25" s="315">
        <f t="shared" si="39"/>
        <v>0</v>
      </c>
      <c r="HH25" s="315">
        <f t="shared" si="39"/>
        <v>0</v>
      </c>
      <c r="HI25" s="315">
        <f t="shared" si="39"/>
        <v>0</v>
      </c>
      <c r="HJ25" s="315">
        <f t="shared" si="39"/>
        <v>0</v>
      </c>
      <c r="HK25" s="315">
        <f t="shared" si="39"/>
        <v>0</v>
      </c>
      <c r="HL25" s="315">
        <f t="shared" si="39"/>
        <v>0</v>
      </c>
      <c r="HM25" s="315">
        <f t="shared" si="39"/>
        <v>0</v>
      </c>
      <c r="HN25" s="314"/>
    </row>
    <row r="26" spans="1:222" ht="18" customHeight="1">
      <c r="A26" s="314"/>
      <c r="B26" s="1"/>
      <c r="C26" s="321" t="s">
        <v>223</v>
      </c>
      <c r="D26" s="321" t="s">
        <v>224</v>
      </c>
      <c r="E26" s="322"/>
      <c r="F26" s="322"/>
      <c r="G26" s="315"/>
      <c r="H26" s="75"/>
      <c r="I26" s="75"/>
      <c r="J26" s="75"/>
      <c r="K26" s="322"/>
      <c r="L26" s="316" t="s">
        <v>225</v>
      </c>
      <c r="M26" s="323"/>
      <c r="N26" s="322"/>
      <c r="O26" s="310" t="s">
        <v>200</v>
      </c>
      <c r="P26" s="302">
        <v>20</v>
      </c>
      <c r="Q26" s="324"/>
      <c r="R26" s="324" t="s">
        <v>226</v>
      </c>
      <c r="S26" s="322"/>
      <c r="T26" s="322"/>
      <c r="U26" s="322"/>
      <c r="V26" s="322"/>
      <c r="W26" s="314"/>
      <c r="X26" s="75"/>
      <c r="Y26" s="75"/>
      <c r="Z26" s="75"/>
      <c r="AA26" s="75"/>
      <c r="AB26" s="75"/>
      <c r="AC26" s="314"/>
      <c r="AD26" s="314"/>
      <c r="AE26" s="314"/>
      <c r="AF26" s="314"/>
      <c r="AG26" s="325"/>
      <c r="AH26" s="326" t="s">
        <v>227</v>
      </c>
      <c r="AI26" s="322" t="s">
        <v>226</v>
      </c>
      <c r="AJ26" s="314"/>
      <c r="AK26" s="314"/>
      <c r="AL26" s="314"/>
      <c r="AM26" s="314"/>
      <c r="AN26" s="314"/>
      <c r="AO26" s="75"/>
      <c r="AP26" s="75"/>
      <c r="AQ26" s="314"/>
      <c r="AR26" s="314"/>
      <c r="AS26" s="314"/>
      <c r="AT26" s="314"/>
      <c r="AU26" s="314"/>
      <c r="AV26" s="314"/>
      <c r="AW26" s="314"/>
      <c r="AX26" s="314"/>
      <c r="AY26" s="314"/>
      <c r="AZ26" s="322" t="s">
        <v>226</v>
      </c>
      <c r="BA26" s="314"/>
      <c r="BB26" s="314"/>
      <c r="BC26" s="314"/>
      <c r="BD26" s="314"/>
      <c r="BE26" s="314"/>
      <c r="BF26" s="75"/>
      <c r="BG26" s="75"/>
      <c r="BH26" s="314"/>
      <c r="BI26" s="314"/>
      <c r="BJ26" s="314"/>
      <c r="BK26" s="314"/>
      <c r="BL26" s="314"/>
      <c r="BM26" s="314"/>
      <c r="BN26" s="314"/>
      <c r="BO26" s="314"/>
      <c r="BP26" s="314"/>
      <c r="BQ26" s="314"/>
      <c r="BR26" s="314"/>
      <c r="BS26" s="314"/>
      <c r="BT26" s="314"/>
      <c r="BU26" s="314"/>
      <c r="BV26" s="314"/>
      <c r="BW26" s="75"/>
      <c r="BX26" s="75"/>
      <c r="BY26" s="314"/>
      <c r="BZ26" s="314"/>
      <c r="CA26" s="314"/>
      <c r="CB26" s="314"/>
      <c r="CC26" s="314"/>
      <c r="CD26" s="314"/>
      <c r="CE26" s="314"/>
      <c r="CF26" s="314"/>
      <c r="CG26" s="314"/>
      <c r="CH26" s="314"/>
      <c r="CI26" s="314"/>
      <c r="CJ26" s="314"/>
      <c r="CK26" s="314"/>
      <c r="CL26" s="314"/>
      <c r="CM26" s="314"/>
      <c r="CN26" s="75"/>
      <c r="CO26" s="75"/>
      <c r="CP26" s="314"/>
      <c r="CQ26" s="314"/>
      <c r="CR26" s="314"/>
      <c r="CS26" s="314"/>
      <c r="CT26" s="314"/>
      <c r="CU26" s="314"/>
      <c r="CV26" s="314"/>
      <c r="CW26" s="314"/>
      <c r="CX26" s="314"/>
      <c r="CY26" s="314"/>
      <c r="CZ26" s="314"/>
      <c r="DA26" s="314"/>
      <c r="DB26" s="314"/>
      <c r="DC26" s="314"/>
      <c r="DD26" s="314"/>
      <c r="DE26" s="75"/>
      <c r="DF26" s="75"/>
      <c r="DG26" s="314"/>
      <c r="DH26" s="314"/>
      <c r="DI26" s="314"/>
      <c r="DJ26" s="314"/>
      <c r="DK26" s="314"/>
      <c r="DL26" s="314"/>
      <c r="DM26" s="314"/>
      <c r="DN26" s="314"/>
      <c r="DO26" s="314"/>
      <c r="DP26" s="314"/>
      <c r="DQ26" s="314"/>
      <c r="DR26" s="314"/>
      <c r="DS26" s="314"/>
      <c r="DT26" s="314"/>
      <c r="DU26" s="314"/>
      <c r="DV26" s="75"/>
      <c r="DW26" s="75"/>
      <c r="DX26" s="314"/>
      <c r="DY26" s="314"/>
      <c r="DZ26" s="314"/>
      <c r="EA26" s="314"/>
      <c r="EB26" s="314"/>
      <c r="EC26" s="314"/>
      <c r="ED26" s="314"/>
      <c r="EE26" s="314"/>
      <c r="EF26" s="314"/>
      <c r="EG26" s="314"/>
      <c r="EH26" s="314"/>
      <c r="EI26" s="314"/>
      <c r="EJ26" s="314"/>
      <c r="EK26" s="314"/>
      <c r="EL26" s="314"/>
      <c r="EM26" s="75"/>
      <c r="EN26" s="75"/>
      <c r="EO26" s="314"/>
      <c r="EP26" s="314"/>
      <c r="EQ26" s="314"/>
      <c r="ER26" s="314"/>
      <c r="ES26" s="314"/>
      <c r="ET26" s="314"/>
      <c r="EU26" s="314"/>
      <c r="EV26" s="314"/>
      <c r="EW26" s="314"/>
      <c r="EX26" s="314"/>
      <c r="EY26" s="314"/>
      <c r="EZ26" s="314"/>
      <c r="FA26" s="314"/>
      <c r="FB26" s="314"/>
      <c r="FC26" s="314"/>
      <c r="FD26" s="75"/>
      <c r="FE26" s="75"/>
      <c r="FF26" s="314"/>
      <c r="FG26" s="314"/>
      <c r="FH26" s="314"/>
      <c r="FI26" s="314"/>
      <c r="FJ26" s="314"/>
      <c r="FK26" s="314"/>
      <c r="FL26" s="314"/>
      <c r="FM26" s="314"/>
      <c r="FN26" s="314"/>
      <c r="FO26" s="314"/>
      <c r="FP26" s="314"/>
      <c r="FQ26" s="314"/>
      <c r="FR26" s="314"/>
      <c r="FS26" s="314"/>
      <c r="FT26" s="314"/>
      <c r="FU26" s="75"/>
      <c r="FV26" s="75"/>
      <c r="FW26" s="314"/>
      <c r="FX26" s="314"/>
      <c r="FY26" s="314"/>
      <c r="FZ26" s="314"/>
      <c r="GA26" s="314"/>
      <c r="GB26" s="314"/>
      <c r="GC26" s="314"/>
      <c r="GD26" s="314"/>
      <c r="GE26" s="314"/>
      <c r="GF26" s="314"/>
      <c r="GG26" s="314"/>
      <c r="GH26" s="314"/>
      <c r="GI26" s="314"/>
      <c r="GJ26" s="314"/>
      <c r="GK26" s="314"/>
      <c r="GL26" s="75"/>
      <c r="GM26" s="75"/>
      <c r="GN26" s="314"/>
      <c r="GO26" s="314"/>
      <c r="GP26" s="314"/>
      <c r="GQ26" s="314"/>
      <c r="GR26" s="314"/>
      <c r="GS26" s="314"/>
      <c r="GT26" s="314"/>
      <c r="GU26" s="314"/>
      <c r="GV26" s="314"/>
      <c r="GW26" s="314"/>
      <c r="GX26" s="314"/>
      <c r="GY26" s="314"/>
      <c r="GZ26" s="314"/>
      <c r="HA26" s="314"/>
      <c r="HB26" s="314"/>
      <c r="HC26" s="314"/>
      <c r="HD26" s="314"/>
      <c r="HE26" s="314"/>
      <c r="HF26" s="314"/>
      <c r="HG26" s="314"/>
      <c r="HH26" s="314"/>
      <c r="HI26" s="314"/>
      <c r="HJ26" s="314"/>
      <c r="HK26" s="314"/>
      <c r="HL26" s="314"/>
      <c r="HM26" s="314"/>
      <c r="HN26" s="314"/>
    </row>
    <row r="27" spans="1:222" ht="18" customHeight="1">
      <c r="A27" s="1"/>
      <c r="B27" s="1">
        <v>0</v>
      </c>
      <c r="C27" s="327" t="e">
        <f t="shared" ref="C27:C32" ca="1" si="40">D27</f>
        <v>#NAME?</v>
      </c>
      <c r="D27" s="327" t="e">
        <f ca="1">nomeaba0()</f>
        <v>#NAME?</v>
      </c>
      <c r="E27" s="1"/>
      <c r="F27" s="296"/>
      <c r="G27" s="315"/>
      <c r="H27" s="75"/>
      <c r="I27" s="75"/>
      <c r="J27" s="75"/>
      <c r="K27" s="1"/>
      <c r="L27" s="328" t="s">
        <v>228</v>
      </c>
      <c r="M27" s="1"/>
      <c r="N27" s="1"/>
      <c r="O27" s="329" t="s">
        <v>228</v>
      </c>
      <c r="P27" s="330">
        <v>35</v>
      </c>
      <c r="Q27" s="311"/>
      <c r="R27" s="311" t="s">
        <v>229</v>
      </c>
      <c r="S27" s="1"/>
      <c r="T27" s="1"/>
      <c r="U27" s="1"/>
      <c r="V27" s="1"/>
      <c r="W27" s="1"/>
      <c r="X27" s="75"/>
      <c r="Y27" s="75"/>
      <c r="Z27" s="75"/>
      <c r="AA27" s="75"/>
      <c r="AB27" s="75"/>
      <c r="AC27" s="1"/>
      <c r="AD27" s="1"/>
      <c r="AE27" s="1"/>
      <c r="AF27" s="1"/>
      <c r="AG27" s="1"/>
      <c r="AH27" s="1"/>
      <c r="AI27" s="1" t="s">
        <v>229</v>
      </c>
      <c r="AJ27" s="1"/>
      <c r="AK27" s="1"/>
      <c r="AL27" s="1"/>
      <c r="AM27" s="1"/>
      <c r="AN27" s="1"/>
      <c r="AO27" s="75"/>
      <c r="AP27" s="75"/>
      <c r="AQ27" s="1"/>
      <c r="AR27" s="1"/>
      <c r="AS27" s="1"/>
      <c r="AT27" s="1"/>
      <c r="AU27" s="1"/>
      <c r="AV27" s="1"/>
      <c r="AW27" s="1"/>
      <c r="AX27" s="1"/>
      <c r="AY27" s="1"/>
      <c r="AZ27" s="1" t="s">
        <v>229</v>
      </c>
      <c r="BA27" s="1"/>
      <c r="BB27" s="1"/>
      <c r="BC27" s="1"/>
      <c r="BD27" s="1"/>
      <c r="BE27" s="1"/>
      <c r="BF27" s="75"/>
      <c r="BG27" s="75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75"/>
      <c r="BX27" s="75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75"/>
      <c r="CO27" s="75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75"/>
      <c r="DF27" s="75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75"/>
      <c r="DW27" s="75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75"/>
      <c r="EN27" s="75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75"/>
      <c r="FE27" s="75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75"/>
      <c r="FV27" s="75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75"/>
      <c r="GM27" s="75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</row>
    <row r="28" spans="1:222" ht="18" customHeight="1">
      <c r="A28" s="1"/>
      <c r="B28" s="1">
        <f t="shared" ref="B28:B44" si="41">B27+1</f>
        <v>1</v>
      </c>
      <c r="C28" s="327" t="e">
        <f t="shared" ca="1" si="40"/>
        <v>#NAME?</v>
      </c>
      <c r="D28" s="327" t="e">
        <f ca="1">nomeaba1()</f>
        <v>#NAME?</v>
      </c>
      <c r="E28" s="1"/>
      <c r="F28" s="296"/>
      <c r="G28" s="315"/>
      <c r="H28" s="75"/>
      <c r="I28" s="1"/>
      <c r="J28" s="1"/>
      <c r="K28" s="1"/>
      <c r="L28" s="33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75"/>
      <c r="Y28" s="75"/>
      <c r="Z28" s="75"/>
      <c r="AA28" s="75"/>
      <c r="AB28" s="75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75"/>
      <c r="AP28" s="75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75"/>
      <c r="BG28" s="75"/>
      <c r="BH28" s="1"/>
      <c r="BI28" s="1"/>
      <c r="BJ28" s="1"/>
      <c r="BK28" s="1"/>
      <c r="BL28" s="1"/>
      <c r="BM28" s="1"/>
      <c r="BN28" s="1">
        <v>1200.83</v>
      </c>
      <c r="BO28" s="1"/>
      <c r="BP28" s="1"/>
      <c r="BQ28" s="1"/>
      <c r="BR28" s="1"/>
      <c r="BS28" s="1"/>
      <c r="BT28" s="1"/>
      <c r="BU28" s="1"/>
      <c r="BV28" s="1"/>
      <c r="BW28" s="75"/>
      <c r="BX28" s="75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75"/>
      <c r="CO28" s="75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75"/>
      <c r="DF28" s="75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75"/>
      <c r="DW28" s="75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75"/>
      <c r="EN28" s="75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75"/>
      <c r="FE28" s="75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75"/>
      <c r="FV28" s="75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75"/>
      <c r="GM28" s="75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</row>
    <row r="29" spans="1:222" ht="18" customHeight="1">
      <c r="A29" s="1"/>
      <c r="B29" s="1">
        <f t="shared" si="41"/>
        <v>2</v>
      </c>
      <c r="C29" s="327" t="e">
        <f t="shared" ca="1" si="40"/>
        <v>#NAME?</v>
      </c>
      <c r="D29" s="327" t="e">
        <f ca="1">nomeaba2()</f>
        <v>#NAME?</v>
      </c>
      <c r="E29" s="1"/>
      <c r="F29" s="296"/>
      <c r="G29" s="315"/>
      <c r="H29" s="7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75"/>
      <c r="Y29" s="75"/>
      <c r="Z29" s="75"/>
      <c r="AA29" s="75"/>
      <c r="AB29" s="75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75"/>
      <c r="AP29" s="75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75"/>
      <c r="BG29" s="75"/>
      <c r="BH29" s="1"/>
      <c r="BI29" s="1"/>
      <c r="BJ29" s="1"/>
      <c r="BK29" s="1"/>
      <c r="BL29" s="1"/>
      <c r="BM29" s="1"/>
      <c r="BN29" s="1">
        <f>BN28/200*220</f>
        <v>1320.9129999999998</v>
      </c>
      <c r="BO29" s="1"/>
      <c r="BP29" s="1"/>
      <c r="BQ29" s="1"/>
      <c r="BR29" s="1"/>
      <c r="BS29" s="1"/>
      <c r="BT29" s="1"/>
      <c r="BU29" s="1"/>
      <c r="BV29" s="1"/>
      <c r="BW29" s="75"/>
      <c r="BX29" s="75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75"/>
      <c r="CO29" s="75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75"/>
      <c r="DF29" s="75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75"/>
      <c r="DW29" s="75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75"/>
      <c r="EN29" s="75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75"/>
      <c r="FE29" s="75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75"/>
      <c r="FV29" s="75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75"/>
      <c r="GM29" s="75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</row>
    <row r="30" spans="1:222" ht="18" customHeight="1">
      <c r="A30" s="1"/>
      <c r="B30" s="1">
        <f t="shared" si="41"/>
        <v>3</v>
      </c>
      <c r="C30" s="327" t="e">
        <f t="shared" ca="1" si="40"/>
        <v>#NAME?</v>
      </c>
      <c r="D30" s="327" t="e">
        <f ca="1">nomeaba3()</f>
        <v>#NAME?</v>
      </c>
      <c r="E30" s="1"/>
      <c r="F30" s="296"/>
      <c r="G30" s="315"/>
      <c r="H30" s="7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75"/>
      <c r="Y30" s="75"/>
      <c r="Z30" s="75"/>
      <c r="AA30" s="75"/>
      <c r="AB30" s="75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75"/>
      <c r="AP30" s="75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75"/>
      <c r="BG30" s="75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75"/>
      <c r="BX30" s="75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75"/>
      <c r="CO30" s="75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75"/>
      <c r="DF30" s="75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75"/>
      <c r="DW30" s="75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75"/>
      <c r="EN30" s="75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75"/>
      <c r="FE30" s="75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75"/>
      <c r="FV30" s="75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75"/>
      <c r="GM30" s="75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</row>
    <row r="31" spans="1:222" ht="18" customHeight="1">
      <c r="A31" s="1"/>
      <c r="B31" s="1">
        <f t="shared" si="41"/>
        <v>4</v>
      </c>
      <c r="C31" s="327" t="e">
        <f t="shared" ca="1" si="40"/>
        <v>#NAME?</v>
      </c>
      <c r="D31" s="327" t="e">
        <f ca="1">nomeaba4()</f>
        <v>#NAME?</v>
      </c>
      <c r="E31" s="1"/>
      <c r="F31" s="296"/>
      <c r="G31" s="315"/>
      <c r="H31" s="7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75"/>
      <c r="Y31" s="75"/>
      <c r="Z31" s="75"/>
      <c r="AA31" s="75"/>
      <c r="AB31" s="75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75"/>
      <c r="AP31" s="75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75"/>
      <c r="BG31" s="75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75"/>
      <c r="BX31" s="75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75"/>
      <c r="CO31" s="75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75"/>
      <c r="DF31" s="75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75"/>
      <c r="DW31" s="75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75"/>
      <c r="EN31" s="75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75"/>
      <c r="FE31" s="75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75"/>
      <c r="FV31" s="75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75"/>
      <c r="GM31" s="75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</row>
    <row r="32" spans="1:222" ht="18" customHeight="1">
      <c r="A32" s="1"/>
      <c r="B32" s="1">
        <f t="shared" si="41"/>
        <v>5</v>
      </c>
      <c r="C32" s="327" t="e">
        <f t="shared" ca="1" si="40"/>
        <v>#NAME?</v>
      </c>
      <c r="D32" s="327" t="e">
        <f ca="1">nomeaba5()</f>
        <v>#NAME?</v>
      </c>
      <c r="E32" s="1"/>
      <c r="F32" s="296"/>
      <c r="G32" s="315"/>
      <c r="H32" s="7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75"/>
      <c r="Y32" s="75"/>
      <c r="Z32" s="75"/>
      <c r="AA32" s="75"/>
      <c r="AB32" s="75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75"/>
      <c r="AP32" s="75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75"/>
      <c r="BG32" s="75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75"/>
      <c r="BX32" s="75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75"/>
      <c r="CO32" s="75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75"/>
      <c r="DF32" s="75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75"/>
      <c r="DW32" s="75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75"/>
      <c r="EN32" s="75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75"/>
      <c r="FE32" s="75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75"/>
      <c r="FV32" s="75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75"/>
      <c r="GM32" s="75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</row>
    <row r="33" spans="1:222" ht="18" customHeight="1">
      <c r="A33" s="1"/>
      <c r="B33" s="1">
        <f t="shared" si="41"/>
        <v>6</v>
      </c>
      <c r="C33" s="332" t="s">
        <v>230</v>
      </c>
      <c r="D33" s="327" t="e">
        <f ca="1">nomeaba6()</f>
        <v>#NAME?</v>
      </c>
      <c r="E33" s="1"/>
      <c r="F33" s="296"/>
      <c r="G33" s="315"/>
      <c r="H33" s="7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75"/>
      <c r="Y33" s="75"/>
      <c r="Z33" s="75"/>
      <c r="AA33" s="75"/>
      <c r="AB33" s="75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75"/>
      <c r="AP33" s="75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75"/>
      <c r="BG33" s="75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75"/>
      <c r="BX33" s="75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75"/>
      <c r="CO33" s="75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75"/>
      <c r="DF33" s="75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75"/>
      <c r="DW33" s="75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75"/>
      <c r="EN33" s="75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75"/>
      <c r="FE33" s="75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75"/>
      <c r="FV33" s="75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75"/>
      <c r="GM33" s="75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</row>
    <row r="34" spans="1:222" ht="18" customHeight="1">
      <c r="A34" s="1"/>
      <c r="B34" s="1">
        <f t="shared" si="41"/>
        <v>7</v>
      </c>
      <c r="C34" s="332" t="s">
        <v>231</v>
      </c>
      <c r="D34" s="327" t="e">
        <f ca="1">nomeaba7()</f>
        <v>#NAME?</v>
      </c>
      <c r="E34" s="1"/>
      <c r="F34" s="296"/>
      <c r="G34" s="315"/>
      <c r="H34" s="7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75"/>
      <c r="Y34" s="75"/>
      <c r="Z34" s="75"/>
      <c r="AA34" s="75"/>
      <c r="AB34" s="75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75"/>
      <c r="AP34" s="75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75"/>
      <c r="BG34" s="75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75"/>
      <c r="BX34" s="75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75"/>
      <c r="CO34" s="75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75"/>
      <c r="DF34" s="75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75"/>
      <c r="DW34" s="75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75"/>
      <c r="EN34" s="75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75"/>
      <c r="FE34" s="75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75"/>
      <c r="FV34" s="75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75"/>
      <c r="GM34" s="75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</row>
    <row r="35" spans="1:222" ht="18" customHeight="1">
      <c r="A35" s="1"/>
      <c r="B35" s="1">
        <f t="shared" si="41"/>
        <v>8</v>
      </c>
      <c r="C35" s="332" t="s">
        <v>232</v>
      </c>
      <c r="D35" s="327" t="e">
        <f ca="1">nomeaba8()</f>
        <v>#NAME?</v>
      </c>
      <c r="E35" s="1"/>
      <c r="F35" s="296"/>
      <c r="G35" s="315"/>
      <c r="H35" s="75"/>
      <c r="I35" s="1" t="s">
        <v>233</v>
      </c>
      <c r="J35" s="1"/>
      <c r="K35" s="1">
        <f t="shared" ref="K35:K37" si="42">LEN(I35)</f>
        <v>29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75"/>
      <c r="Y35" s="75"/>
      <c r="Z35" s="75"/>
      <c r="AA35" s="75"/>
      <c r="AB35" s="75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75"/>
      <c r="AP35" s="75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75"/>
      <c r="BG35" s="75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75"/>
      <c r="BX35" s="75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75"/>
      <c r="CO35" s="75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75"/>
      <c r="DF35" s="75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75"/>
      <c r="DW35" s="75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75"/>
      <c r="EN35" s="75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75"/>
      <c r="FE35" s="75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75"/>
      <c r="FV35" s="75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75"/>
      <c r="GM35" s="75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</row>
    <row r="36" spans="1:222" ht="18" customHeight="1">
      <c r="A36" s="1"/>
      <c r="B36" s="1">
        <f t="shared" si="41"/>
        <v>9</v>
      </c>
      <c r="C36" s="332" t="s">
        <v>234</v>
      </c>
      <c r="D36" s="327" t="e">
        <f ca="1">nomeaba9()</f>
        <v>#NAME?</v>
      </c>
      <c r="E36" s="1"/>
      <c r="F36" s="296"/>
      <c r="G36" s="315"/>
      <c r="H36" s="75"/>
      <c r="I36" s="1" t="s">
        <v>235</v>
      </c>
      <c r="J36" s="1"/>
      <c r="K36" s="1">
        <f t="shared" si="42"/>
        <v>29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75"/>
      <c r="Y36" s="75"/>
      <c r="Z36" s="75"/>
      <c r="AA36" s="75"/>
      <c r="AB36" s="75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75"/>
      <c r="AP36" s="75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75"/>
      <c r="BG36" s="75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75"/>
      <c r="BX36" s="75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75"/>
      <c r="CO36" s="75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75"/>
      <c r="DF36" s="75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75"/>
      <c r="DW36" s="75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75"/>
      <c r="EN36" s="75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75"/>
      <c r="FE36" s="75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75"/>
      <c r="FV36" s="75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75"/>
      <c r="GM36" s="75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</row>
    <row r="37" spans="1:222" ht="18" customHeight="1">
      <c r="A37" s="1"/>
      <c r="B37" s="1">
        <f t="shared" si="41"/>
        <v>10</v>
      </c>
      <c r="C37" s="332" t="s">
        <v>236</v>
      </c>
      <c r="D37" s="327" t="e">
        <f ca="1">nomeaba10()</f>
        <v>#NAME?</v>
      </c>
      <c r="E37" s="1"/>
      <c r="F37" s="296"/>
      <c r="G37" s="315"/>
      <c r="H37" s="75"/>
      <c r="I37" s="1" t="s">
        <v>237</v>
      </c>
      <c r="J37" s="1"/>
      <c r="K37" s="1">
        <f t="shared" si="42"/>
        <v>29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75"/>
      <c r="Y37" s="75"/>
      <c r="Z37" s="75"/>
      <c r="AA37" s="75"/>
      <c r="AB37" s="75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75"/>
      <c r="AP37" s="75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75"/>
      <c r="BG37" s="75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75"/>
      <c r="BX37" s="75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75"/>
      <c r="CO37" s="75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75"/>
      <c r="DF37" s="75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75"/>
      <c r="DW37" s="75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75"/>
      <c r="EN37" s="75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75"/>
      <c r="FE37" s="75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75"/>
      <c r="FV37" s="75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75"/>
      <c r="GM37" s="75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</row>
    <row r="38" spans="1:222" ht="18" customHeight="1">
      <c r="A38" s="1"/>
      <c r="B38" s="1">
        <f t="shared" si="41"/>
        <v>11</v>
      </c>
      <c r="C38" s="332" t="s">
        <v>238</v>
      </c>
      <c r="D38" s="327" t="e">
        <f ca="1">nomeaba11()</f>
        <v>#NAME?</v>
      </c>
      <c r="E38" s="1"/>
      <c r="F38" s="296"/>
      <c r="G38" s="1"/>
      <c r="H38" s="7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75"/>
      <c r="Y38" s="75"/>
      <c r="Z38" s="75"/>
      <c r="AA38" s="75"/>
      <c r="AB38" s="75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75"/>
      <c r="AP38" s="75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75"/>
      <c r="BG38" s="75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75"/>
      <c r="BX38" s="75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75"/>
      <c r="CO38" s="75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75"/>
      <c r="DF38" s="75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75"/>
      <c r="DW38" s="75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75"/>
      <c r="EN38" s="75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75"/>
      <c r="FE38" s="75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75"/>
      <c r="FV38" s="75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75"/>
      <c r="GM38" s="75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</row>
    <row r="39" spans="1:222" ht="18" customHeight="1">
      <c r="A39" s="1"/>
      <c r="B39" s="1">
        <f t="shared" si="41"/>
        <v>12</v>
      </c>
      <c r="C39" s="332" t="s">
        <v>239</v>
      </c>
      <c r="D39" s="327" t="e">
        <f ca="1">nomeaba12()</f>
        <v>#NAME?</v>
      </c>
      <c r="E39" s="1"/>
      <c r="F39" s="296"/>
      <c r="G39" s="75"/>
      <c r="H39" s="7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75"/>
      <c r="Y39" s="75"/>
      <c r="Z39" s="75"/>
      <c r="AA39" s="75"/>
      <c r="AB39" s="75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75"/>
      <c r="AP39" s="75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75"/>
      <c r="BG39" s="75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75"/>
      <c r="BX39" s="75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75"/>
      <c r="CO39" s="75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75"/>
      <c r="DF39" s="75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75"/>
      <c r="DW39" s="75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75"/>
      <c r="EN39" s="75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75"/>
      <c r="FE39" s="75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75"/>
      <c r="FV39" s="75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75"/>
      <c r="GM39" s="75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</row>
    <row r="40" spans="1:222" ht="18" customHeight="1">
      <c r="A40" s="1"/>
      <c r="B40" s="1">
        <f t="shared" si="41"/>
        <v>13</v>
      </c>
      <c r="C40" s="332" t="s">
        <v>240</v>
      </c>
      <c r="D40" s="327" t="e">
        <f ca="1">nomeaba13()</f>
        <v>#NAME?</v>
      </c>
      <c r="E40" s="1"/>
      <c r="F40" s="296"/>
      <c r="G40" s="75"/>
      <c r="H40" s="7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75"/>
      <c r="Y40" s="75"/>
      <c r="Z40" s="75"/>
      <c r="AA40" s="75"/>
      <c r="AB40" s="75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75"/>
      <c r="AP40" s="75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75"/>
      <c r="BG40" s="75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75"/>
      <c r="BX40" s="75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75"/>
      <c r="CO40" s="75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75"/>
      <c r="DF40" s="75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75"/>
      <c r="DW40" s="75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75"/>
      <c r="EN40" s="75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75"/>
      <c r="FE40" s="75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75"/>
      <c r="FV40" s="75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75"/>
      <c r="GM40" s="75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</row>
    <row r="41" spans="1:222" ht="15.75" customHeight="1">
      <c r="A41" s="1"/>
      <c r="B41" s="1">
        <f t="shared" si="41"/>
        <v>14</v>
      </c>
      <c r="C41" s="332" t="s">
        <v>241</v>
      </c>
      <c r="D41" s="327" t="e">
        <f ca="1">nomeaba14()</f>
        <v>#NAME?</v>
      </c>
      <c r="E41" s="1"/>
      <c r="F41" s="296"/>
      <c r="G41" s="75"/>
      <c r="H41" s="7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75"/>
      <c r="Y41" s="75"/>
      <c r="Z41" s="75"/>
      <c r="AA41" s="75"/>
      <c r="AB41" s="75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75"/>
      <c r="AP41" s="75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75"/>
      <c r="BG41" s="75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75"/>
      <c r="BX41" s="75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75"/>
      <c r="CO41" s="75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75"/>
      <c r="DF41" s="75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75"/>
      <c r="DW41" s="75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75"/>
      <c r="EN41" s="75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75"/>
      <c r="FE41" s="75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75"/>
      <c r="FV41" s="75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75"/>
      <c r="GM41" s="75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</row>
    <row r="42" spans="1:222" ht="15.75" customHeight="1">
      <c r="A42" s="1"/>
      <c r="B42" s="1">
        <f t="shared" si="41"/>
        <v>15</v>
      </c>
      <c r="C42" s="332" t="s">
        <v>242</v>
      </c>
      <c r="D42" s="327" t="e">
        <f ca="1">nomeaba15()</f>
        <v>#NAME?</v>
      </c>
      <c r="E42" s="1"/>
      <c r="F42" s="296"/>
      <c r="G42" s="75"/>
      <c r="H42" s="7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75"/>
      <c r="Y42" s="75"/>
      <c r="Z42" s="75"/>
      <c r="AA42" s="75"/>
      <c r="AB42" s="75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75"/>
      <c r="AP42" s="75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75"/>
      <c r="BG42" s="75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75"/>
      <c r="BX42" s="75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75"/>
      <c r="CO42" s="75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75"/>
      <c r="DF42" s="75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75"/>
      <c r="DW42" s="75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75"/>
      <c r="EN42" s="75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75"/>
      <c r="FE42" s="75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75"/>
      <c r="FV42" s="75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75"/>
      <c r="GM42" s="75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</row>
    <row r="43" spans="1:222" ht="15.75" customHeight="1">
      <c r="A43" s="1"/>
      <c r="B43" s="1">
        <f t="shared" si="41"/>
        <v>16</v>
      </c>
      <c r="C43" s="332" t="s">
        <v>243</v>
      </c>
      <c r="D43" s="327" t="e">
        <f ca="1">nomeaba16()</f>
        <v>#NAME?</v>
      </c>
      <c r="E43" s="1"/>
      <c r="F43" s="296"/>
      <c r="G43" s="75"/>
      <c r="H43" s="7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75"/>
      <c r="Y43" s="75"/>
      <c r="Z43" s="75"/>
      <c r="AA43" s="75"/>
      <c r="AB43" s="75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75"/>
      <c r="AP43" s="75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75"/>
      <c r="BG43" s="75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75"/>
      <c r="BX43" s="75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75"/>
      <c r="CO43" s="75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75"/>
      <c r="DF43" s="75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75"/>
      <c r="DW43" s="75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75"/>
      <c r="EN43" s="75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75"/>
      <c r="FE43" s="75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75"/>
      <c r="FV43" s="75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75"/>
      <c r="GM43" s="75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</row>
    <row r="44" spans="1:222" ht="15.75" customHeight="1">
      <c r="A44" s="1"/>
      <c r="B44" s="1">
        <f t="shared" si="41"/>
        <v>17</v>
      </c>
      <c r="C44" s="327" t="e">
        <f t="shared" ref="C44:D44" ca="1" si="43">nomeaba17()</f>
        <v>#NAME?</v>
      </c>
      <c r="D44" s="327" t="e">
        <f t="shared" ca="1" si="43"/>
        <v>#NAME?</v>
      </c>
      <c r="E44" s="1"/>
      <c r="F44" s="296"/>
      <c r="G44" s="75"/>
      <c r="H44" s="7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75"/>
      <c r="Y44" s="75"/>
      <c r="Z44" s="75"/>
      <c r="AA44" s="75"/>
      <c r="AB44" s="75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75"/>
      <c r="AP44" s="75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75"/>
      <c r="BG44" s="75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75"/>
      <c r="BX44" s="75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75"/>
      <c r="CO44" s="75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75"/>
      <c r="DF44" s="75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75"/>
      <c r="DW44" s="75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75"/>
      <c r="EN44" s="75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75"/>
      <c r="FE44" s="75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75"/>
      <c r="FV44" s="75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75"/>
      <c r="GM44" s="75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</row>
    <row r="45" spans="1:222" ht="15.75" customHeight="1">
      <c r="A45" s="1"/>
      <c r="B45" s="1"/>
      <c r="C45" s="308"/>
      <c r="D45" s="1"/>
      <c r="E45" s="1"/>
      <c r="F45" s="296"/>
      <c r="G45" s="75"/>
      <c r="H45" s="7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75"/>
      <c r="Y45" s="75"/>
      <c r="Z45" s="75"/>
      <c r="AA45" s="75"/>
      <c r="AB45" s="75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75"/>
      <c r="AP45" s="75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75"/>
      <c r="BG45" s="75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75"/>
      <c r="BX45" s="75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75"/>
      <c r="CO45" s="75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75"/>
      <c r="DF45" s="75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75"/>
      <c r="DW45" s="75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75"/>
      <c r="EN45" s="75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75"/>
      <c r="FE45" s="75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75"/>
      <c r="FV45" s="75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75"/>
      <c r="GM45" s="75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</row>
    <row r="46" spans="1:222" ht="15.75" customHeight="1">
      <c r="A46" s="1"/>
      <c r="B46" s="1"/>
      <c r="C46" s="308"/>
      <c r="D46" s="1"/>
      <c r="E46" s="1"/>
      <c r="F46" s="296"/>
      <c r="G46" s="75"/>
      <c r="H46" s="7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75"/>
      <c r="Y46" s="75"/>
      <c r="Z46" s="75"/>
      <c r="AA46" s="75"/>
      <c r="AB46" s="75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75"/>
      <c r="AP46" s="75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75"/>
      <c r="BG46" s="75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75"/>
      <c r="BX46" s="75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75"/>
      <c r="CO46" s="75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75"/>
      <c r="DF46" s="75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75"/>
      <c r="DW46" s="75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75"/>
      <c r="EN46" s="75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75"/>
      <c r="FE46" s="75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75"/>
      <c r="FV46" s="75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75"/>
      <c r="GM46" s="75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</row>
    <row r="47" spans="1:222" ht="15.75" customHeight="1">
      <c r="A47" s="1"/>
      <c r="B47" s="1"/>
      <c r="C47" s="308"/>
      <c r="D47" s="1"/>
      <c r="E47" s="1"/>
      <c r="F47" s="296"/>
      <c r="G47" s="75"/>
      <c r="H47" s="7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75"/>
      <c r="Y47" s="75"/>
      <c r="Z47" s="75"/>
      <c r="AA47" s="75"/>
      <c r="AB47" s="75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75"/>
      <c r="AP47" s="75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75"/>
      <c r="BG47" s="75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75"/>
      <c r="BX47" s="75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75"/>
      <c r="CO47" s="75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75"/>
      <c r="DF47" s="75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75"/>
      <c r="DW47" s="75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75"/>
      <c r="EN47" s="75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75"/>
      <c r="FE47" s="75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75"/>
      <c r="FV47" s="75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75"/>
      <c r="GM47" s="75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</row>
    <row r="48" spans="1:222" ht="15.75" customHeight="1">
      <c r="A48" s="1"/>
      <c r="B48" s="1"/>
      <c r="C48" s="308"/>
      <c r="D48" s="1"/>
      <c r="E48" s="1"/>
      <c r="F48" s="296"/>
      <c r="G48" s="75"/>
      <c r="H48" s="7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75"/>
      <c r="Y48" s="75"/>
      <c r="Z48" s="75"/>
      <c r="AA48" s="75"/>
      <c r="AB48" s="75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75"/>
      <c r="AP48" s="75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75"/>
      <c r="BG48" s="75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75"/>
      <c r="BX48" s="75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75"/>
      <c r="CO48" s="75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75"/>
      <c r="DF48" s="75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75"/>
      <c r="DW48" s="75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75"/>
      <c r="EN48" s="75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75"/>
      <c r="FE48" s="75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75"/>
      <c r="FV48" s="75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75"/>
      <c r="GM48" s="75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</row>
    <row r="49" spans="1:222" ht="15.75" customHeight="1">
      <c r="A49" s="1"/>
      <c r="B49" s="1"/>
      <c r="C49" s="308"/>
      <c r="D49" s="1"/>
      <c r="E49" s="1"/>
      <c r="F49" s="296"/>
      <c r="G49" s="75"/>
      <c r="H49" s="7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75"/>
      <c r="Y49" s="75"/>
      <c r="Z49" s="75"/>
      <c r="AA49" s="75"/>
      <c r="AB49" s="75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75"/>
      <c r="AP49" s="75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75"/>
      <c r="BG49" s="75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75"/>
      <c r="BX49" s="75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75"/>
      <c r="CO49" s="75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75"/>
      <c r="DF49" s="75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75"/>
      <c r="DW49" s="75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75"/>
      <c r="EN49" s="75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75"/>
      <c r="FE49" s="75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75"/>
      <c r="FV49" s="75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75"/>
      <c r="GM49" s="75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</row>
    <row r="50" spans="1:222" ht="15.75" customHeight="1">
      <c r="A50" s="1"/>
      <c r="B50" s="1"/>
      <c r="C50" s="308"/>
      <c r="D50" s="1"/>
      <c r="E50" s="1"/>
      <c r="F50" s="296"/>
      <c r="G50" s="75"/>
      <c r="H50" s="7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75"/>
      <c r="Y50" s="75"/>
      <c r="Z50" s="75"/>
      <c r="AA50" s="75"/>
      <c r="AB50" s="75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75"/>
      <c r="AP50" s="75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75"/>
      <c r="BG50" s="75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75"/>
      <c r="BX50" s="75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75"/>
      <c r="CO50" s="75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75"/>
      <c r="DF50" s="75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75"/>
      <c r="DW50" s="75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75"/>
      <c r="EN50" s="75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75"/>
      <c r="FE50" s="75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75"/>
      <c r="FV50" s="75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75"/>
      <c r="GM50" s="75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</row>
    <row r="51" spans="1:222" ht="15.75" customHeight="1">
      <c r="A51" s="1"/>
      <c r="B51" s="1"/>
      <c r="C51" s="308"/>
      <c r="D51" s="1"/>
      <c r="E51" s="1"/>
      <c r="F51" s="296"/>
      <c r="G51" s="75"/>
      <c r="H51" s="7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75"/>
      <c r="Y51" s="75"/>
      <c r="Z51" s="75"/>
      <c r="AA51" s="75"/>
      <c r="AB51" s="75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75"/>
      <c r="AP51" s="75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75"/>
      <c r="BG51" s="75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75"/>
      <c r="BX51" s="75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75"/>
      <c r="CO51" s="75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75"/>
      <c r="DF51" s="75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75"/>
      <c r="DW51" s="75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75"/>
      <c r="EN51" s="75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75"/>
      <c r="FE51" s="75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75"/>
      <c r="FV51" s="75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75"/>
      <c r="GM51" s="75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</row>
    <row r="52" spans="1:222" ht="15.75" customHeight="1">
      <c r="A52" s="1"/>
      <c r="B52" s="1"/>
      <c r="C52" s="308"/>
      <c r="D52" s="1"/>
      <c r="E52" s="1"/>
      <c r="F52" s="296"/>
      <c r="G52" s="75"/>
      <c r="H52" s="7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75"/>
      <c r="Y52" s="75"/>
      <c r="Z52" s="75"/>
      <c r="AA52" s="75"/>
      <c r="AB52" s="75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75"/>
      <c r="AP52" s="75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75"/>
      <c r="BG52" s="75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75"/>
      <c r="BX52" s="75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75"/>
      <c r="CO52" s="75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75"/>
      <c r="DF52" s="75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75"/>
      <c r="DW52" s="75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75"/>
      <c r="EN52" s="75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75"/>
      <c r="FE52" s="75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75"/>
      <c r="FV52" s="75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75"/>
      <c r="GM52" s="75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</row>
    <row r="53" spans="1:222" ht="15.75" customHeight="1">
      <c r="A53" s="1"/>
      <c r="B53" s="1"/>
      <c r="C53" s="1"/>
      <c r="D53" s="1"/>
      <c r="E53" s="1"/>
      <c r="F53" s="296"/>
      <c r="G53" s="75"/>
      <c r="H53" s="7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75"/>
      <c r="Y53" s="75"/>
      <c r="Z53" s="75"/>
      <c r="AA53" s="75"/>
      <c r="AB53" s="75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75"/>
      <c r="AP53" s="75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75"/>
      <c r="BG53" s="75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75"/>
      <c r="BX53" s="75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75"/>
      <c r="CO53" s="75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75"/>
      <c r="DF53" s="75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75"/>
      <c r="DW53" s="75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75"/>
      <c r="EN53" s="75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75"/>
      <c r="FE53" s="75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75"/>
      <c r="FV53" s="75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75"/>
      <c r="GM53" s="75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</row>
    <row r="54" spans="1:222" ht="15.75" customHeight="1">
      <c r="A54" s="1"/>
      <c r="B54" s="1"/>
      <c r="C54" s="1"/>
      <c r="D54" s="1"/>
      <c r="E54" s="1"/>
      <c r="F54" s="296"/>
      <c r="G54" s="75"/>
      <c r="H54" s="7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75"/>
      <c r="Y54" s="75"/>
      <c r="Z54" s="75"/>
      <c r="AA54" s="75"/>
      <c r="AB54" s="75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75"/>
      <c r="AP54" s="75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75"/>
      <c r="BG54" s="75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75"/>
      <c r="BX54" s="75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75"/>
      <c r="CO54" s="75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75"/>
      <c r="DF54" s="75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75"/>
      <c r="DW54" s="75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75"/>
      <c r="EN54" s="75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75"/>
      <c r="FE54" s="75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75"/>
      <c r="FV54" s="75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75"/>
      <c r="GM54" s="75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</row>
    <row r="55" spans="1:222" ht="15.75" customHeight="1">
      <c r="A55" s="1"/>
      <c r="B55" s="1"/>
      <c r="C55" s="1"/>
      <c r="D55" s="1"/>
      <c r="E55" s="1"/>
      <c r="F55" s="296"/>
      <c r="G55" s="75"/>
      <c r="H55" s="7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75"/>
      <c r="Y55" s="75"/>
      <c r="Z55" s="75"/>
      <c r="AA55" s="75"/>
      <c r="AB55" s="75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75"/>
      <c r="AP55" s="75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75"/>
      <c r="BG55" s="75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75"/>
      <c r="BX55" s="75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75"/>
      <c r="CO55" s="75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75"/>
      <c r="DF55" s="75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75"/>
      <c r="DW55" s="75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75"/>
      <c r="EN55" s="75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75"/>
      <c r="FE55" s="75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75"/>
      <c r="FV55" s="75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75"/>
      <c r="GM55" s="75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</row>
    <row r="56" spans="1:222" ht="15.75" customHeight="1">
      <c r="A56" s="1"/>
      <c r="B56" s="1"/>
      <c r="C56" s="1"/>
      <c r="D56" s="1"/>
      <c r="E56" s="1"/>
      <c r="F56" s="296"/>
      <c r="G56" s="75"/>
      <c r="H56" s="7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75"/>
      <c r="Y56" s="75"/>
      <c r="Z56" s="75"/>
      <c r="AA56" s="75"/>
      <c r="AB56" s="75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75"/>
      <c r="AP56" s="75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75"/>
      <c r="BG56" s="75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75"/>
      <c r="BX56" s="75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75"/>
      <c r="CO56" s="75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75"/>
      <c r="DF56" s="75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75"/>
      <c r="DW56" s="75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75"/>
      <c r="EN56" s="75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75"/>
      <c r="FE56" s="75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75"/>
      <c r="FV56" s="75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75"/>
      <c r="GM56" s="75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</row>
    <row r="57" spans="1:222" ht="15.75" customHeight="1">
      <c r="A57" s="1"/>
      <c r="B57" s="1"/>
      <c r="C57" s="1"/>
      <c r="D57" s="1"/>
      <c r="E57" s="1"/>
      <c r="F57" s="296"/>
      <c r="G57" s="75"/>
      <c r="H57" s="7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75"/>
      <c r="Y57" s="75"/>
      <c r="Z57" s="75"/>
      <c r="AA57" s="75"/>
      <c r="AB57" s="75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75"/>
      <c r="AP57" s="75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75"/>
      <c r="BG57" s="75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75"/>
      <c r="BX57" s="75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75"/>
      <c r="CO57" s="75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75"/>
      <c r="DF57" s="75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75"/>
      <c r="DW57" s="75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75"/>
      <c r="EN57" s="75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75"/>
      <c r="FE57" s="75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75"/>
      <c r="FV57" s="75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75"/>
      <c r="GM57" s="75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</row>
    <row r="58" spans="1:222" ht="15.75" customHeight="1">
      <c r="A58" s="1"/>
      <c r="B58" s="1"/>
      <c r="C58" s="1"/>
      <c r="D58" s="1"/>
      <c r="E58" s="1"/>
      <c r="F58" s="296"/>
      <c r="G58" s="75"/>
      <c r="H58" s="7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75"/>
      <c r="Y58" s="75"/>
      <c r="Z58" s="75"/>
      <c r="AA58" s="75"/>
      <c r="AB58" s="75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75"/>
      <c r="AP58" s="75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75"/>
      <c r="BG58" s="75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75"/>
      <c r="BX58" s="75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75"/>
      <c r="CO58" s="75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75"/>
      <c r="DF58" s="75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75"/>
      <c r="DW58" s="75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75"/>
      <c r="EN58" s="75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75"/>
      <c r="FE58" s="75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75"/>
      <c r="FV58" s="75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75"/>
      <c r="GM58" s="75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</row>
    <row r="59" spans="1:222" ht="15.75" customHeight="1">
      <c r="A59" s="1"/>
      <c r="B59" s="1"/>
      <c r="C59" s="1"/>
      <c r="D59" s="1"/>
      <c r="E59" s="1"/>
      <c r="F59" s="296"/>
      <c r="G59" s="75"/>
      <c r="H59" s="7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75"/>
      <c r="Y59" s="75"/>
      <c r="Z59" s="75"/>
      <c r="AA59" s="75"/>
      <c r="AB59" s="75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75"/>
      <c r="AP59" s="75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75"/>
      <c r="BG59" s="75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75"/>
      <c r="BX59" s="75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75"/>
      <c r="CO59" s="75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75"/>
      <c r="DF59" s="75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75"/>
      <c r="DW59" s="75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75"/>
      <c r="EN59" s="75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75"/>
      <c r="FE59" s="75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75"/>
      <c r="FV59" s="75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75"/>
      <c r="GM59" s="75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</row>
    <row r="60" spans="1:222" ht="15.75" customHeight="1"/>
    <row r="61" spans="1:222" ht="15.75" customHeight="1"/>
    <row r="62" spans="1:222" ht="15.75" customHeight="1"/>
    <row r="63" spans="1:222" ht="15.75" customHeight="1"/>
    <row r="64" spans="1:22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11">
    <mergeCell ref="AT21:AU21"/>
    <mergeCell ref="AM7:AM9"/>
    <mergeCell ref="AN7:AN9"/>
    <mergeCell ref="AT10:AU10"/>
    <mergeCell ref="AT11:AU11"/>
    <mergeCell ref="AT12:AU12"/>
    <mergeCell ref="AT13:AU13"/>
    <mergeCell ref="AT14:AU14"/>
    <mergeCell ref="L10:M10"/>
    <mergeCell ref="L11:M11"/>
    <mergeCell ref="L12:M12"/>
    <mergeCell ref="L13:M13"/>
    <mergeCell ref="L14:M14"/>
    <mergeCell ref="AT15:AU15"/>
    <mergeCell ref="AT16:AU16"/>
    <mergeCell ref="AT17:AU17"/>
    <mergeCell ref="AT18:AU18"/>
    <mergeCell ref="L19:M19"/>
    <mergeCell ref="L20:M20"/>
    <mergeCell ref="L21:M21"/>
    <mergeCell ref="AC20:AD20"/>
    <mergeCell ref="AC21:AD21"/>
    <mergeCell ref="L15:M15"/>
    <mergeCell ref="L16:M16"/>
    <mergeCell ref="FZ18:GA18"/>
    <mergeCell ref="FZ19:GA19"/>
    <mergeCell ref="GQ16:GR16"/>
    <mergeCell ref="GQ17:GR17"/>
    <mergeCell ref="GQ15:GR15"/>
    <mergeCell ref="GQ18:GR18"/>
    <mergeCell ref="GQ14:GR14"/>
    <mergeCell ref="GQ19:GR19"/>
    <mergeCell ref="GQ13:GR13"/>
    <mergeCell ref="CB19:CC19"/>
    <mergeCell ref="CB20:CC20"/>
    <mergeCell ref="BK17:BL17"/>
    <mergeCell ref="BK18:BL18"/>
    <mergeCell ref="BK19:BL19"/>
    <mergeCell ref="BK20:BL20"/>
    <mergeCell ref="L17:M17"/>
    <mergeCell ref="AC17:AD17"/>
    <mergeCell ref="L18:M18"/>
    <mergeCell ref="AC18:AD18"/>
    <mergeCell ref="AC19:AD19"/>
    <mergeCell ref="AC15:AD15"/>
    <mergeCell ref="AC16:AD16"/>
    <mergeCell ref="AC10:AD10"/>
    <mergeCell ref="AC11:AD11"/>
    <mergeCell ref="AC12:AD12"/>
    <mergeCell ref="AC13:AD13"/>
    <mergeCell ref="AC14:AD14"/>
    <mergeCell ref="AT19:AU19"/>
    <mergeCell ref="AT20:AU20"/>
    <mergeCell ref="GQ20:GR20"/>
    <mergeCell ref="FZ21:GA21"/>
    <mergeCell ref="GQ21:GR21"/>
    <mergeCell ref="GW7:GW9"/>
    <mergeCell ref="HB7:HB9"/>
    <mergeCell ref="GK7:GK9"/>
    <mergeCell ref="GL7:GL9"/>
    <mergeCell ref="GN7:GN9"/>
    <mergeCell ref="GO7:GO9"/>
    <mergeCell ref="GP7:GR7"/>
    <mergeCell ref="GS7:GU7"/>
    <mergeCell ref="GV7:GV9"/>
    <mergeCell ref="FZ15:GA15"/>
    <mergeCell ref="FZ16:GA16"/>
    <mergeCell ref="FZ8:FZ9"/>
    <mergeCell ref="GA8:GA9"/>
    <mergeCell ref="GC8:GC9"/>
    <mergeCell ref="GQ8:GQ9"/>
    <mergeCell ref="GR8:GR9"/>
    <mergeCell ref="FZ20:GA20"/>
    <mergeCell ref="GQ10:GR10"/>
    <mergeCell ref="GQ11:GR11"/>
    <mergeCell ref="GQ12:GR12"/>
    <mergeCell ref="FZ17:GA17"/>
    <mergeCell ref="EA21:EB21"/>
    <mergeCell ref="ER21:ES21"/>
    <mergeCell ref="FI21:FJ21"/>
    <mergeCell ref="DJ17:DK17"/>
    <mergeCell ref="DJ18:DK18"/>
    <mergeCell ref="DJ19:DK19"/>
    <mergeCell ref="DJ20:DK20"/>
    <mergeCell ref="DJ21:DK21"/>
    <mergeCell ref="DJ10:DK10"/>
    <mergeCell ref="DJ11:DK11"/>
    <mergeCell ref="DJ12:DK12"/>
    <mergeCell ref="DJ13:DK13"/>
    <mergeCell ref="DJ14:DK14"/>
    <mergeCell ref="DJ15:DK15"/>
    <mergeCell ref="DJ16:DK16"/>
    <mergeCell ref="EA19:EB19"/>
    <mergeCell ref="ER19:ES19"/>
    <mergeCell ref="FI19:FJ19"/>
    <mergeCell ref="ER20:ES20"/>
    <mergeCell ref="FI20:FJ20"/>
    <mergeCell ref="EA20:EB20"/>
    <mergeCell ref="EA17:EB17"/>
    <mergeCell ref="ER17:ES17"/>
    <mergeCell ref="FI17:FJ17"/>
    <mergeCell ref="ER18:ES18"/>
    <mergeCell ref="FI18:FJ18"/>
    <mergeCell ref="EA18:EB18"/>
    <mergeCell ref="DY7:DY9"/>
    <mergeCell ref="DZ7:EB7"/>
    <mergeCell ref="EA10:EB10"/>
    <mergeCell ref="EA11:EB11"/>
    <mergeCell ref="EA12:EB12"/>
    <mergeCell ref="EA13:EB13"/>
    <mergeCell ref="EA14:EB14"/>
    <mergeCell ref="EP7:EP9"/>
    <mergeCell ref="EA8:EA9"/>
    <mergeCell ref="EB8:EB9"/>
    <mergeCell ref="EU8:EU9"/>
    <mergeCell ref="FI8:FI9"/>
    <mergeCell ref="FJ8:FJ9"/>
    <mergeCell ref="DI7:DK7"/>
    <mergeCell ref="DL7:DN7"/>
    <mergeCell ref="DO7:DO9"/>
    <mergeCell ref="DP7:DP9"/>
    <mergeCell ref="DU7:DU9"/>
    <mergeCell ref="DV7:DV9"/>
    <mergeCell ref="DX7:DX9"/>
    <mergeCell ref="EA15:EB15"/>
    <mergeCell ref="EA16:EB16"/>
    <mergeCell ref="CS10:CT10"/>
    <mergeCell ref="CS11:CT11"/>
    <mergeCell ref="CS12:CT12"/>
    <mergeCell ref="CS13:CT13"/>
    <mergeCell ref="CS14:CT14"/>
    <mergeCell ref="CQ7:CQ9"/>
    <mergeCell ref="CR7:CT7"/>
    <mergeCell ref="CB21:CC21"/>
    <mergeCell ref="CB10:CC10"/>
    <mergeCell ref="CB11:CC11"/>
    <mergeCell ref="CB12:CC12"/>
    <mergeCell ref="CB13:CC13"/>
    <mergeCell ref="CB14:CC14"/>
    <mergeCell ref="CB15:CC15"/>
    <mergeCell ref="CB16:CC16"/>
    <mergeCell ref="CS15:CT15"/>
    <mergeCell ref="CS16:CT16"/>
    <mergeCell ref="CS17:CT17"/>
    <mergeCell ref="CS18:CT18"/>
    <mergeCell ref="CS19:CT19"/>
    <mergeCell ref="CS20:CT20"/>
    <mergeCell ref="CS21:CT21"/>
    <mergeCell ref="CB17:CC17"/>
    <mergeCell ref="CB18:CC18"/>
    <mergeCell ref="BK21:BL21"/>
    <mergeCell ref="BK10:BL10"/>
    <mergeCell ref="BK11:BL11"/>
    <mergeCell ref="BK12:BL12"/>
    <mergeCell ref="BK13:BL13"/>
    <mergeCell ref="BK14:BL14"/>
    <mergeCell ref="BK15:BL15"/>
    <mergeCell ref="BK16:BL16"/>
    <mergeCell ref="N7:P7"/>
    <mergeCell ref="Q7:Q9"/>
    <mergeCell ref="AO7:AO9"/>
    <mergeCell ref="AQ7:AQ9"/>
    <mergeCell ref="AR7:AR9"/>
    <mergeCell ref="AS7:AU7"/>
    <mergeCell ref="AV7:AX7"/>
    <mergeCell ref="AY7:AY9"/>
    <mergeCell ref="AZ7:AZ9"/>
    <mergeCell ref="Z7:Z9"/>
    <mergeCell ref="AA7:AA9"/>
    <mergeCell ref="W7:W9"/>
    <mergeCell ref="X7:X9"/>
    <mergeCell ref="AB7:AD7"/>
    <mergeCell ref="AE7:AG7"/>
    <mergeCell ref="AH7:AH9"/>
    <mergeCell ref="FZ10:GA10"/>
    <mergeCell ref="FZ11:GA11"/>
    <mergeCell ref="FZ12:GA12"/>
    <mergeCell ref="FZ13:GA13"/>
    <mergeCell ref="FZ14:GA14"/>
    <mergeCell ref="ER15:ES15"/>
    <mergeCell ref="ER16:ES16"/>
    <mergeCell ref="EQ7:ES7"/>
    <mergeCell ref="ER10:ES10"/>
    <mergeCell ref="ER11:ES11"/>
    <mergeCell ref="ER12:ES12"/>
    <mergeCell ref="ER13:ES13"/>
    <mergeCell ref="ER14:ES14"/>
    <mergeCell ref="FI15:FJ15"/>
    <mergeCell ref="FI16:FJ16"/>
    <mergeCell ref="FG7:FG9"/>
    <mergeCell ref="FH7:FJ7"/>
    <mergeCell ref="FI10:FJ10"/>
    <mergeCell ref="FI11:FJ11"/>
    <mergeCell ref="FI12:FJ12"/>
    <mergeCell ref="FI13:FJ13"/>
    <mergeCell ref="FI14:FJ14"/>
    <mergeCell ref="G7:G9"/>
    <mergeCell ref="I7:I9"/>
    <mergeCell ref="AO6:BE6"/>
    <mergeCell ref="BF6:BV6"/>
    <mergeCell ref="BW6:CM6"/>
    <mergeCell ref="CN6:DD6"/>
    <mergeCell ref="DE6:DU6"/>
    <mergeCell ref="BV7:BV9"/>
    <mergeCell ref="BW7:BW9"/>
    <mergeCell ref="BN8:BN9"/>
    <mergeCell ref="AT8:AT9"/>
    <mergeCell ref="AU8:AU9"/>
    <mergeCell ref="AW8:AW9"/>
    <mergeCell ref="CB8:CB9"/>
    <mergeCell ref="CC8:CC9"/>
    <mergeCell ref="CE8:CE9"/>
    <mergeCell ref="BD7:BD9"/>
    <mergeCell ref="BE7:BE9"/>
    <mergeCell ref="BF7:BF9"/>
    <mergeCell ref="BH7:BH9"/>
    <mergeCell ref="BI7:BI9"/>
    <mergeCell ref="BY7:BY9"/>
    <mergeCell ref="BZ7:BZ9"/>
    <mergeCell ref="CA7:CC7"/>
    <mergeCell ref="J7:J9"/>
    <mergeCell ref="K7:M7"/>
    <mergeCell ref="L8:L9"/>
    <mergeCell ref="M8:M9"/>
    <mergeCell ref="O8:O9"/>
    <mergeCell ref="AC8:AC9"/>
    <mergeCell ref="AD8:AD9"/>
    <mergeCell ref="CS8:CS9"/>
    <mergeCell ref="CT8:CT9"/>
    <mergeCell ref="BK8:BK9"/>
    <mergeCell ref="BL8:BL9"/>
    <mergeCell ref="BJ7:BL7"/>
    <mergeCell ref="BM7:BO7"/>
    <mergeCell ref="BP7:BP9"/>
    <mergeCell ref="BQ7:BQ9"/>
    <mergeCell ref="BU7:BU9"/>
    <mergeCell ref="CG7:CG9"/>
    <mergeCell ref="CH7:CH9"/>
    <mergeCell ref="CM7:CM9"/>
    <mergeCell ref="CD7:CF7"/>
    <mergeCell ref="CN7:CN9"/>
    <mergeCell ref="CP7:CP9"/>
    <mergeCell ref="R7:R9"/>
    <mergeCell ref="V7:V9"/>
    <mergeCell ref="GL5:HB5"/>
    <mergeCell ref="B1:D1"/>
    <mergeCell ref="B5:D5"/>
    <mergeCell ref="G5:W5"/>
    <mergeCell ref="X5:AN5"/>
    <mergeCell ref="AO5:BE5"/>
    <mergeCell ref="BF5:BV5"/>
    <mergeCell ref="BW5:CM5"/>
    <mergeCell ref="DV6:EL6"/>
    <mergeCell ref="EM6:FC6"/>
    <mergeCell ref="B6:B9"/>
    <mergeCell ref="C6:C9"/>
    <mergeCell ref="D6:D9"/>
    <mergeCell ref="E6:E9"/>
    <mergeCell ref="F6:F9"/>
    <mergeCell ref="G6:W6"/>
    <mergeCell ref="X6:AN6"/>
    <mergeCell ref="AI7:AI9"/>
    <mergeCell ref="AF8:AF9"/>
    <mergeCell ref="EL7:EL9"/>
    <mergeCell ref="ER8:ER9"/>
    <mergeCell ref="ES8:ES9"/>
    <mergeCell ref="CN5:DD5"/>
    <mergeCell ref="DE5:DU5"/>
    <mergeCell ref="DV5:EL5"/>
    <mergeCell ref="EM5:FC5"/>
    <mergeCell ref="FD5:FT5"/>
    <mergeCell ref="FU5:GK5"/>
    <mergeCell ref="EM7:EM9"/>
    <mergeCell ref="EO7:EO9"/>
    <mergeCell ref="CV8:CV9"/>
    <mergeCell ref="DJ8:DJ9"/>
    <mergeCell ref="DK8:DK9"/>
    <mergeCell ref="DM8:DM9"/>
    <mergeCell ref="DG7:DG9"/>
    <mergeCell ref="DH7:DH9"/>
    <mergeCell ref="CU7:CW7"/>
    <mergeCell ref="FU7:FU9"/>
    <mergeCell ref="FW7:FW9"/>
    <mergeCell ref="CX7:CX9"/>
    <mergeCell ref="CY7:CY9"/>
    <mergeCell ref="DD7:DD9"/>
    <mergeCell ref="DE7:DE9"/>
    <mergeCell ref="FL8:FL9"/>
    <mergeCell ref="FK7:FM7"/>
    <mergeCell ref="FN7:FN9"/>
    <mergeCell ref="FD6:FT6"/>
    <mergeCell ref="FU6:GK6"/>
    <mergeCell ref="GL6:HB6"/>
    <mergeCell ref="EC7:EE7"/>
    <mergeCell ref="EF7:EF9"/>
    <mergeCell ref="EG7:EG9"/>
    <mergeCell ref="ED8:ED9"/>
    <mergeCell ref="GT8:GT9"/>
    <mergeCell ref="FX7:FX9"/>
    <mergeCell ref="FY7:GA7"/>
    <mergeCell ref="GB7:GD7"/>
    <mergeCell ref="GE7:GE9"/>
    <mergeCell ref="GF7:GF9"/>
    <mergeCell ref="ET7:EV7"/>
    <mergeCell ref="EW7:EW9"/>
    <mergeCell ref="EX7:EX9"/>
    <mergeCell ref="FC7:FC9"/>
    <mergeCell ref="FD7:FD9"/>
    <mergeCell ref="FF7:FF9"/>
    <mergeCell ref="FO7:FO9"/>
    <mergeCell ref="FT7:FT9"/>
  </mergeCells>
  <dataValidations count="6">
    <dataValidation type="list" allowBlank="1" showErrorMessage="1" sqref="U10:U21 AL10:AL21 BC10:BC21 BT10:BT21 CK10:CK21 DB10:DB21 DS10:DS21 EJ10:EJ21 FA10:FA21 FR10:FR21 GI10:GI21 GZ10:GZ21">
      <formula1>$U$8:$U$9</formula1>
    </dataValidation>
    <dataValidation type="list" allowBlank="1" showErrorMessage="1" sqref="H10:H21 Y10:Y21 AP10:AP21 BG10:BG21 BX10:BX21 CO10:CO21 DF10:DF21 DW10:DW21 EN10:EN21 FE10:FE21 FV10:FV21 GM10:GM21">
      <formula1>$H$8:$H$9</formula1>
    </dataValidation>
    <dataValidation type="list" allowBlank="1" sqref="P11:P21 AG11:AG21 AX11:AX21 BO11:BO21 CF11:CF21 CW11:CW21 DN11:DN21 EE11:EE21 EV11:EV21 FM11:FM21 GD11:GD21 GU11:GU21">
      <formula1>$P$23:$P$27</formula1>
    </dataValidation>
    <dataValidation type="list" allowBlank="1" showErrorMessage="1" sqref="L10:L21 AC10:AC21 AT10:AT21 BK10:BK21 CB10:CB21 CS10:CS21 DJ10:DJ21 EA10:EA21 ER10:ER21 FI10:FI21 FZ10:FZ21 GQ10:GQ21">
      <formula1>$L$23:$L$26</formula1>
    </dataValidation>
    <dataValidation type="list" allowBlank="1" showErrorMessage="1" sqref="O10:O21 AF10:AF21 AW10:AW21 BN10:BN21 CE10:CE21 CV10:CV21 DM10:DM21 ED10:ED21 EU10:EU21 FL10:FL21 GC10:GC21 GT10:GT21">
      <formula1>$O$23:$O$26</formula1>
    </dataValidation>
    <dataValidation type="list" allowBlank="1" showErrorMessage="1" sqref="P10 AG10 AX10 BO10 CF10 CW10 DN10 EE10 EV10 FM10 GD10 GU10">
      <formula1>$P23:$P26</formula1>
    </dataValidation>
  </dataValidations>
  <printOptions horizontalCentered="1" verticalCentered="1"/>
  <pageMargins left="0.25" right="0.25" top="0.75" bottom="0.75" header="0" footer="0"/>
  <pageSetup paperSize="9" fitToHeight="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'DADOS-CADASTRAIS'!$C$6:$C$102</xm:f>
          </x14:formula1>
          <xm:sqref>I10:I21 Z10:Z21 AQ10:AQ21 BH10:BH21 BY10:BY21 CP10:CP21 DG10:DG21 DX10:DX21 EO10:EO21 FF10:FF21 FW10:FW21 GN10:GN21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Z1000"/>
  <sheetViews>
    <sheetView topLeftCell="C4" workbookViewId="0">
      <selection activeCell="C14" sqref="C14:E14"/>
    </sheetView>
  </sheetViews>
  <sheetFormatPr defaultColWidth="14.42578125" defaultRowHeight="15" customHeight="1"/>
  <cols>
    <col min="1" max="1" width="2.42578125" customWidth="1"/>
    <col min="2" max="2" width="62.42578125" customWidth="1"/>
    <col min="3" max="4" width="41.7109375" customWidth="1"/>
    <col min="5" max="5" width="47.28515625" customWidth="1"/>
    <col min="6" max="6" width="48.28515625" customWidth="1"/>
    <col min="7" max="8" width="48.28515625" hidden="1" customWidth="1"/>
    <col min="9" max="14" width="46.7109375" hidden="1" customWidth="1"/>
    <col min="15" max="15" width="9.140625" hidden="1" customWidth="1"/>
    <col min="16" max="26" width="14.42578125" hidden="1"/>
  </cols>
  <sheetData>
    <row r="1" spans="1:15" ht="7.5" customHeight="1">
      <c r="A1" s="333"/>
      <c r="B1" s="333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</row>
    <row r="2" spans="1:15" ht="12.75" customHeight="1">
      <c r="A2" s="333"/>
      <c r="B2" s="334"/>
      <c r="C2" s="333"/>
      <c r="D2" s="335"/>
      <c r="E2" s="335"/>
      <c r="F2" s="333"/>
      <c r="G2" s="333"/>
      <c r="H2" s="333"/>
      <c r="I2" s="333"/>
      <c r="J2" s="333"/>
      <c r="K2" s="333"/>
      <c r="L2" s="333"/>
      <c r="M2" s="333"/>
      <c r="N2" s="333"/>
      <c r="O2" s="333"/>
    </row>
    <row r="3" spans="1:15" ht="12.75" customHeight="1">
      <c r="A3" s="333"/>
      <c r="B3" s="334" t="s">
        <v>244</v>
      </c>
      <c r="C3" s="335" t="s">
        <v>245</v>
      </c>
      <c r="D3" s="335"/>
      <c r="E3" s="335"/>
      <c r="F3" s="333"/>
      <c r="G3" s="333"/>
      <c r="H3" s="333"/>
      <c r="I3" s="333"/>
      <c r="J3" s="333"/>
      <c r="K3" s="333"/>
      <c r="L3" s="333"/>
      <c r="M3" s="333"/>
      <c r="N3" s="333"/>
      <c r="O3" s="333"/>
    </row>
    <row r="4" spans="1:15" ht="12.75" customHeight="1">
      <c r="A4" s="333"/>
      <c r="B4" s="334"/>
      <c r="C4" s="335" t="s">
        <v>246</v>
      </c>
      <c r="D4" s="335"/>
      <c r="E4" s="335"/>
      <c r="F4" s="333"/>
      <c r="G4" s="333"/>
      <c r="H4" s="333"/>
      <c r="I4" s="333"/>
      <c r="J4" s="333"/>
      <c r="K4" s="333"/>
      <c r="L4" s="333"/>
      <c r="M4" s="333"/>
      <c r="N4" s="333"/>
      <c r="O4" s="333"/>
    </row>
    <row r="5" spans="1:15" ht="12.75" customHeight="1">
      <c r="A5" s="333"/>
      <c r="B5" s="334"/>
      <c r="C5" s="335" t="s">
        <v>247</v>
      </c>
      <c r="D5" s="336"/>
      <c r="E5" s="336"/>
      <c r="F5" s="333"/>
      <c r="G5" s="333"/>
      <c r="H5" s="333"/>
      <c r="I5" s="333"/>
      <c r="J5" s="333"/>
      <c r="K5" s="333"/>
      <c r="L5" s="333"/>
      <c r="M5" s="333"/>
      <c r="N5" s="333"/>
      <c r="O5" s="333"/>
    </row>
    <row r="6" spans="1:15" ht="12.75" customHeight="1">
      <c r="A6" s="333"/>
      <c r="B6" s="334"/>
      <c r="C6" s="335"/>
      <c r="D6" s="335"/>
      <c r="E6" s="335"/>
      <c r="F6" s="333"/>
      <c r="G6" s="333"/>
      <c r="H6" s="333"/>
      <c r="I6" s="333"/>
      <c r="J6" s="333"/>
      <c r="K6" s="333"/>
      <c r="L6" s="333"/>
      <c r="M6" s="333"/>
      <c r="N6" s="333"/>
      <c r="O6" s="333"/>
    </row>
    <row r="7" spans="1:15" ht="12.75" customHeight="1">
      <c r="A7" s="333"/>
      <c r="B7" s="334"/>
      <c r="C7" s="335"/>
      <c r="D7" s="335"/>
      <c r="E7" s="335"/>
      <c r="F7" s="333"/>
      <c r="G7" s="333"/>
      <c r="H7" s="333"/>
      <c r="I7" s="333"/>
      <c r="J7" s="333"/>
      <c r="K7" s="333"/>
      <c r="L7" s="333"/>
      <c r="M7" s="333"/>
      <c r="N7" s="333"/>
      <c r="O7" s="333"/>
    </row>
    <row r="8" spans="1:15" ht="12.75" customHeight="1">
      <c r="A8" s="333"/>
      <c r="B8" s="334"/>
      <c r="C8" s="335"/>
      <c r="D8" s="335"/>
      <c r="E8" s="335"/>
      <c r="F8" s="333"/>
      <c r="G8" s="333"/>
      <c r="H8" s="333"/>
      <c r="I8" s="333"/>
      <c r="J8" s="333"/>
      <c r="K8" s="333"/>
      <c r="L8" s="333"/>
      <c r="M8" s="333"/>
      <c r="N8" s="333"/>
      <c r="O8" s="333"/>
    </row>
    <row r="9" spans="1:15" ht="12.75" customHeight="1">
      <c r="A9" s="333"/>
      <c r="B9" s="1000" t="s">
        <v>248</v>
      </c>
      <c r="C9" s="960"/>
      <c r="D9" s="960"/>
      <c r="E9" s="960"/>
      <c r="F9" s="333"/>
      <c r="G9" s="333"/>
      <c r="H9" s="333"/>
      <c r="I9" s="333"/>
      <c r="J9" s="333"/>
      <c r="K9" s="333"/>
      <c r="L9" s="333"/>
      <c r="M9" s="333"/>
      <c r="N9" s="333"/>
      <c r="O9" s="333"/>
    </row>
    <row r="10" spans="1:15" ht="12.75" customHeight="1">
      <c r="A10" s="333"/>
      <c r="B10" s="334"/>
      <c r="C10" s="334"/>
      <c r="D10" s="334"/>
      <c r="E10" s="334"/>
      <c r="F10" s="333"/>
      <c r="G10" s="333"/>
      <c r="H10" s="333"/>
      <c r="I10" s="333"/>
      <c r="J10" s="333"/>
      <c r="K10" s="333"/>
      <c r="L10" s="333"/>
      <c r="M10" s="333"/>
      <c r="N10" s="333"/>
      <c r="O10" s="333"/>
    </row>
    <row r="11" spans="1:15" ht="18.75" customHeight="1">
      <c r="A11" s="333"/>
      <c r="B11" s="337" t="s">
        <v>249</v>
      </c>
      <c r="C11" s="1001" t="str">
        <f>CAMPUS.CONTRATANTE!G5</f>
        <v xml:space="preserve"> S E R V I Ç O S     -    INTERPRETE DE LIBRAS e SINAIS </v>
      </c>
      <c r="D11" s="949"/>
      <c r="E11" s="949"/>
      <c r="F11" s="333"/>
      <c r="G11" s="333"/>
      <c r="H11" s="333"/>
      <c r="I11" s="333"/>
      <c r="J11" s="333"/>
      <c r="K11" s="333"/>
      <c r="L11" s="333"/>
      <c r="M11" s="333"/>
      <c r="N11" s="333"/>
      <c r="O11" s="333"/>
    </row>
    <row r="12" spans="1:15" ht="12.75" customHeight="1">
      <c r="A12" s="333"/>
      <c r="B12" s="338" t="s">
        <v>250</v>
      </c>
      <c r="C12" s="1002"/>
      <c r="D12" s="949"/>
      <c r="E12" s="949"/>
      <c r="F12" s="333"/>
      <c r="G12" s="333"/>
      <c r="H12" s="333"/>
      <c r="I12" s="333"/>
      <c r="J12" s="333"/>
      <c r="K12" s="333"/>
      <c r="L12" s="333"/>
      <c r="M12" s="333"/>
      <c r="N12" s="333"/>
      <c r="O12" s="333"/>
    </row>
    <row r="13" spans="1:15" ht="12.75" customHeight="1">
      <c r="A13" s="333"/>
      <c r="B13" s="339" t="s">
        <v>251</v>
      </c>
      <c r="C13" s="1002"/>
      <c r="D13" s="949"/>
      <c r="E13" s="949"/>
      <c r="F13" s="333"/>
      <c r="G13" s="333"/>
      <c r="H13" s="333"/>
      <c r="I13" s="333"/>
      <c r="J13" s="333"/>
      <c r="K13" s="333"/>
      <c r="L13" s="333"/>
      <c r="M13" s="333"/>
      <c r="N13" s="333"/>
      <c r="O13" s="333"/>
    </row>
    <row r="14" spans="1:15" ht="23.25" customHeight="1">
      <c r="A14" s="340"/>
      <c r="B14" s="341" t="s">
        <v>252</v>
      </c>
      <c r="C14" s="1003" t="s">
        <v>72</v>
      </c>
      <c r="D14" s="949"/>
      <c r="E14" s="949"/>
      <c r="F14" s="342" t="s">
        <v>253</v>
      </c>
      <c r="G14" s="343"/>
      <c r="H14" s="343"/>
      <c r="I14" s="343"/>
      <c r="J14" s="343"/>
      <c r="K14" s="343"/>
      <c r="L14" s="343"/>
      <c r="M14" s="343"/>
      <c r="N14" s="343"/>
      <c r="O14" s="340"/>
    </row>
    <row r="15" spans="1:15" ht="12.75" customHeight="1">
      <c r="A15" s="333"/>
      <c r="B15" s="339" t="s">
        <v>254</v>
      </c>
      <c r="C15" s="1002"/>
      <c r="D15" s="949"/>
      <c r="E15" s="949"/>
      <c r="F15" s="333"/>
      <c r="G15" s="333"/>
      <c r="H15" s="333"/>
      <c r="I15" s="333"/>
      <c r="J15" s="333"/>
      <c r="K15" s="333"/>
      <c r="L15" s="333"/>
      <c r="M15" s="333"/>
      <c r="N15" s="333"/>
      <c r="O15" s="333"/>
    </row>
    <row r="16" spans="1:15" ht="12.75" customHeight="1">
      <c r="A16" s="333"/>
      <c r="B16" s="339" t="s">
        <v>255</v>
      </c>
      <c r="C16" s="1004"/>
      <c r="D16" s="949"/>
      <c r="E16" s="949"/>
      <c r="F16" s="333"/>
      <c r="G16" s="333"/>
      <c r="H16" s="333"/>
      <c r="I16" s="333"/>
      <c r="J16" s="333"/>
      <c r="K16" s="333"/>
      <c r="L16" s="333"/>
      <c r="M16" s="333"/>
      <c r="N16" s="333"/>
      <c r="O16" s="333"/>
    </row>
    <row r="17" spans="1:15" ht="12.75" customHeight="1">
      <c r="A17" s="333"/>
      <c r="B17" s="339" t="s">
        <v>256</v>
      </c>
      <c r="C17" s="1002"/>
      <c r="D17" s="949"/>
      <c r="E17" s="949"/>
      <c r="F17" s="333"/>
      <c r="G17" s="333"/>
      <c r="H17" s="333"/>
      <c r="I17" s="333"/>
      <c r="J17" s="333"/>
      <c r="K17" s="333"/>
      <c r="L17" s="333"/>
      <c r="M17" s="333"/>
      <c r="N17" s="333"/>
      <c r="O17" s="333"/>
    </row>
    <row r="18" spans="1:15" ht="12.75" customHeight="1">
      <c r="A18" s="333"/>
      <c r="B18" s="339" t="s">
        <v>257</v>
      </c>
      <c r="C18" s="1002"/>
      <c r="D18" s="949"/>
      <c r="E18" s="949"/>
      <c r="F18" s="333"/>
      <c r="G18" s="333"/>
      <c r="H18" s="333"/>
      <c r="I18" s="333"/>
      <c r="J18" s="333"/>
      <c r="K18" s="333"/>
      <c r="L18" s="333"/>
      <c r="M18" s="333"/>
      <c r="N18" s="333"/>
      <c r="O18" s="333"/>
    </row>
    <row r="19" spans="1:15" ht="12.75" customHeight="1">
      <c r="A19" s="333"/>
      <c r="B19" s="339" t="s">
        <v>258</v>
      </c>
      <c r="C19" s="1002"/>
      <c r="D19" s="949"/>
      <c r="E19" s="949"/>
      <c r="F19" s="333"/>
      <c r="G19" s="333"/>
      <c r="H19" s="333"/>
      <c r="I19" s="333"/>
      <c r="J19" s="333"/>
      <c r="K19" s="333"/>
      <c r="L19" s="333"/>
      <c r="M19" s="333"/>
      <c r="N19" s="333"/>
      <c r="O19" s="333"/>
    </row>
    <row r="20" spans="1:15" ht="12.75" customHeight="1">
      <c r="A20" s="333"/>
      <c r="B20" s="339" t="s">
        <v>259</v>
      </c>
      <c r="C20" s="344"/>
      <c r="D20" s="345"/>
      <c r="E20" s="346"/>
      <c r="F20" s="333"/>
      <c r="G20" s="333"/>
      <c r="H20" s="333"/>
      <c r="I20" s="333"/>
      <c r="J20" s="333"/>
      <c r="K20" s="333"/>
      <c r="L20" s="333"/>
      <c r="M20" s="333"/>
      <c r="N20" s="333"/>
      <c r="O20" s="333"/>
    </row>
    <row r="21" spans="1:15" ht="12.75" customHeight="1">
      <c r="A21" s="333"/>
      <c r="B21" s="339" t="s">
        <v>260</v>
      </c>
      <c r="C21" s="1002"/>
      <c r="D21" s="949"/>
      <c r="E21" s="949"/>
      <c r="F21" s="333"/>
      <c r="G21" s="333"/>
      <c r="H21" s="333"/>
      <c r="I21" s="333"/>
      <c r="J21" s="333"/>
      <c r="K21" s="333"/>
      <c r="L21" s="333"/>
      <c r="M21" s="333"/>
      <c r="N21" s="333"/>
      <c r="O21" s="333"/>
    </row>
    <row r="22" spans="1:15" ht="12.75" customHeight="1">
      <c r="A22" s="333"/>
      <c r="B22" s="339" t="s">
        <v>261</v>
      </c>
      <c r="C22" s="1006"/>
      <c r="D22" s="949"/>
      <c r="E22" s="949"/>
      <c r="F22" s="333"/>
      <c r="G22" s="333"/>
      <c r="H22" s="333"/>
      <c r="I22" s="333"/>
      <c r="J22" s="333"/>
      <c r="K22" s="333"/>
      <c r="L22" s="333"/>
      <c r="M22" s="333"/>
      <c r="N22" s="333"/>
      <c r="O22" s="333"/>
    </row>
    <row r="23" spans="1:15" ht="12.75" customHeight="1">
      <c r="A23" s="333"/>
      <c r="B23" s="339" t="s">
        <v>262</v>
      </c>
      <c r="C23" s="1007"/>
      <c r="D23" s="954"/>
      <c r="E23" s="954"/>
      <c r="F23" s="333"/>
      <c r="G23" s="333"/>
      <c r="H23" s="333"/>
      <c r="I23" s="333"/>
      <c r="J23" s="333"/>
      <c r="K23" s="333"/>
      <c r="L23" s="333"/>
      <c r="M23" s="333"/>
      <c r="N23" s="333"/>
      <c r="O23" s="333"/>
    </row>
    <row r="24" spans="1:15" ht="12.75" customHeight="1">
      <c r="A24" s="333"/>
      <c r="B24" s="347" t="s">
        <v>263</v>
      </c>
      <c r="C24" s="344"/>
      <c r="D24" s="346"/>
      <c r="E24" s="348"/>
      <c r="F24" s="333"/>
      <c r="G24" s="333"/>
      <c r="H24" s="333"/>
      <c r="I24" s="333"/>
      <c r="J24" s="333"/>
      <c r="K24" s="333"/>
      <c r="L24" s="333"/>
      <c r="M24" s="333"/>
      <c r="N24" s="333"/>
      <c r="O24" s="333"/>
    </row>
    <row r="25" spans="1:15" ht="12.75" customHeight="1">
      <c r="A25" s="333"/>
      <c r="B25" s="349"/>
      <c r="C25" s="349"/>
      <c r="D25" s="349"/>
      <c r="E25" s="349"/>
      <c r="F25" s="333"/>
      <c r="G25" s="333"/>
      <c r="H25" s="333"/>
      <c r="I25" s="333"/>
      <c r="J25" s="333"/>
      <c r="K25" s="333"/>
      <c r="L25" s="333"/>
      <c r="M25" s="333"/>
      <c r="N25" s="333"/>
      <c r="O25" s="333"/>
    </row>
    <row r="26" spans="1:15" ht="12.75" customHeight="1">
      <c r="A26" s="333"/>
      <c r="B26" s="1008" t="s">
        <v>264</v>
      </c>
      <c r="C26" s="960"/>
      <c r="D26" s="960"/>
      <c r="E26" s="1005" t="s">
        <v>265</v>
      </c>
      <c r="F26" s="1005" t="s">
        <v>266</v>
      </c>
      <c r="G26" s="350"/>
      <c r="H26" s="350"/>
      <c r="I26" s="350"/>
      <c r="J26" s="350"/>
      <c r="K26" s="351"/>
      <c r="L26" s="351"/>
      <c r="M26" s="351"/>
      <c r="N26" s="351"/>
      <c r="O26" s="333"/>
    </row>
    <row r="27" spans="1:15" ht="12.75" customHeight="1">
      <c r="A27" s="333"/>
      <c r="B27" s="333"/>
      <c r="C27" s="333"/>
      <c r="D27" s="333"/>
      <c r="E27" s="926"/>
      <c r="F27" s="926"/>
      <c r="G27" s="351"/>
      <c r="H27" s="351"/>
      <c r="I27" s="351"/>
      <c r="J27" s="351"/>
      <c r="K27" s="351"/>
      <c r="L27" s="351"/>
      <c r="M27" s="351"/>
      <c r="N27" s="351"/>
      <c r="O27" s="333"/>
    </row>
    <row r="28" spans="1:15" ht="21.75" customHeight="1">
      <c r="A28" s="352"/>
      <c r="B28" s="353" t="s">
        <v>267</v>
      </c>
      <c r="C28" s="1011">
        <v>1</v>
      </c>
      <c r="D28" s="354"/>
      <c r="E28" s="1013">
        <v>1.6500000000000001E-2</v>
      </c>
      <c r="F28" s="1013">
        <v>7.5999999999999998E-2</v>
      </c>
      <c r="G28" s="355"/>
      <c r="H28" s="356"/>
      <c r="I28" s="356"/>
      <c r="J28" s="356"/>
      <c r="K28" s="356"/>
      <c r="L28" s="356"/>
      <c r="M28" s="356"/>
      <c r="N28" s="356"/>
      <c r="O28" s="352"/>
    </row>
    <row r="29" spans="1:15" ht="21.75" customHeight="1">
      <c r="A29" s="352"/>
      <c r="B29" s="353" t="s">
        <v>268</v>
      </c>
      <c r="C29" s="1012"/>
      <c r="D29" s="357"/>
      <c r="E29" s="926"/>
      <c r="F29" s="926"/>
      <c r="G29" s="355"/>
      <c r="H29" s="356"/>
      <c r="I29" s="356"/>
      <c r="J29" s="356"/>
      <c r="K29" s="356"/>
      <c r="L29" s="356"/>
      <c r="M29" s="356"/>
      <c r="N29" s="356"/>
      <c r="O29" s="352"/>
    </row>
    <row r="30" spans="1:15" ht="12.75" customHeight="1">
      <c r="A30" s="333"/>
      <c r="B30" s="358"/>
      <c r="C30" s="359"/>
      <c r="D30" s="359"/>
      <c r="E30" s="333"/>
      <c r="F30" s="333"/>
      <c r="G30" s="351"/>
      <c r="H30" s="351"/>
      <c r="I30" s="351"/>
      <c r="J30" s="351"/>
      <c r="K30" s="351"/>
      <c r="L30" s="351"/>
      <c r="M30" s="351"/>
      <c r="N30" s="351"/>
      <c r="O30" s="333"/>
    </row>
    <row r="31" spans="1:15" ht="12.75" customHeight="1">
      <c r="A31" s="333"/>
      <c r="B31" s="1010" t="s">
        <v>269</v>
      </c>
      <c r="C31" s="960"/>
      <c r="D31" s="960"/>
      <c r="E31" s="360"/>
      <c r="F31" s="360"/>
      <c r="G31" s="361"/>
      <c r="H31" s="361"/>
      <c r="I31" s="361"/>
      <c r="J31" s="361"/>
      <c r="K31" s="361"/>
      <c r="L31" s="361"/>
      <c r="M31" s="361"/>
      <c r="N31" s="361"/>
      <c r="O31" s="333"/>
    </row>
    <row r="32" spans="1:15" ht="12.75" customHeight="1">
      <c r="A32" s="333"/>
      <c r="B32" s="362"/>
      <c r="C32" s="362"/>
      <c r="D32" s="362"/>
      <c r="E32" s="362"/>
      <c r="F32" s="362"/>
      <c r="G32" s="362"/>
      <c r="H32" s="362"/>
      <c r="I32" s="362"/>
      <c r="J32" s="362"/>
      <c r="K32" s="362"/>
      <c r="L32" s="362"/>
      <c r="M32" s="362"/>
      <c r="N32" s="362"/>
      <c r="O32" s="333"/>
    </row>
    <row r="33" spans="1:15" ht="32.25" customHeight="1">
      <c r="A33" s="333"/>
      <c r="B33" s="358" t="s">
        <v>270</v>
      </c>
      <c r="C33" s="363" t="str">
        <f>CAMPUS.CONTRATANTE!G6</f>
        <v>2614-25_INTERP.LIBRAS_30hs</v>
      </c>
      <c r="D33" s="363" t="str">
        <f>CAMPUS.CONTRATANTE!X6</f>
        <v>2614-25_INTERP.LIBRAS_20hs</v>
      </c>
      <c r="E33" s="364" t="str">
        <f>CAMPUS.CONTRATANTE!AO6</f>
        <v>A NÃO TEM MAIS POSTOS-00</v>
      </c>
      <c r="F33" s="364" t="str">
        <f>CAMPUS.CONTRATANTE!BF6</f>
        <v>A NÃO TEM MAIS POSTOS-11</v>
      </c>
      <c r="G33" s="364" t="str">
        <f>CAMPUS.CONTRATANTE!BW6</f>
        <v>A NÃO TEM MAIS POSTOS-22</v>
      </c>
      <c r="H33" s="364" t="str">
        <f>CAMPUS.CONTRATANTE!CN6</f>
        <v>A NÃO TEM MAIS POSTOS-33</v>
      </c>
      <c r="I33" s="364" t="str">
        <f>CAMPUS.CONTRATANTE!DE6</f>
        <v>A NÃO TEM MAIS POSTOS-44</v>
      </c>
      <c r="J33" s="365" t="str">
        <f>CAMPUS.CONTRATANTE!DV6</f>
        <v>A NÃO TEM MAIS POSTOS-55</v>
      </c>
      <c r="K33" s="365" t="str">
        <f>CAMPUS.CONTRATANTE!EM6</f>
        <v>A NÃO TEM MAIS POSTOS-66</v>
      </c>
      <c r="L33" s="365" t="str">
        <f>CAMPUS.CONTRATANTE!FD6</f>
        <v>A NÃO TEM MAIS POSTOS-77</v>
      </c>
      <c r="M33" s="365" t="str">
        <f>CAMPUS.CONTRATANTE!FU6</f>
        <v>A NÃO TEM MAIS POSTOS-88</v>
      </c>
      <c r="N33" s="365" t="str">
        <f>CAMPUS.CONTRATANTE!GL6</f>
        <v>A NÃO TEM MAIS POSTOS-99</v>
      </c>
      <c r="O33" s="366"/>
    </row>
    <row r="34" spans="1:15" ht="8.25" customHeight="1">
      <c r="A34" s="333"/>
      <c r="B34" s="358"/>
      <c r="C34" s="367"/>
      <c r="D34" s="367"/>
      <c r="E34" s="368"/>
      <c r="F34" s="368"/>
      <c r="G34" s="368"/>
      <c r="H34" s="368"/>
      <c r="I34" s="368"/>
      <c r="J34" s="365"/>
      <c r="K34" s="365"/>
      <c r="L34" s="365"/>
      <c r="M34" s="365"/>
      <c r="N34" s="365"/>
      <c r="O34" s="366"/>
    </row>
    <row r="35" spans="1:15" ht="15" customHeight="1">
      <c r="A35" s="333"/>
      <c r="B35" s="358" t="s">
        <v>271</v>
      </c>
      <c r="C35" s="369" t="str">
        <f>VLOOKUP(C14,CAMPUS.CONTRATANTE!$D$10:$HD$21,6,0)</f>
        <v>TABELA_nivel-E</v>
      </c>
      <c r="D35" s="369" t="str">
        <f>VLOOKUP(C14,CAMPUS.CONTRATANTE!$D$10:$HD$21,23,0)</f>
        <v>TABELA_nivel-E</v>
      </c>
      <c r="E35" s="370" t="str">
        <f>VLOOKUP(C14,CAMPUS.CONTRATANTE!$D$10:$HD$21,40,0)</f>
        <v>RS_PISO_REG/22</v>
      </c>
      <c r="F35" s="370" t="str">
        <f>VLOOKUP(C14,CAMPUS.CONTRATANTE!$D$10:$HD$21,57,0)</f>
        <v>RS005021/2021</v>
      </c>
      <c r="G35" s="370" t="str">
        <f>VLOOKUP(C14,CAMPUS.CONTRATANTE!$D$10:$HD$21,74,0)</f>
        <v>RS005021/2021</v>
      </c>
      <c r="H35" s="370" t="str">
        <f>VLOOKUP(C14,CAMPUS.CONTRATANTE!$D$10:$HD$21,91,0)</f>
        <v>RS005021/2021</v>
      </c>
      <c r="I35" s="370" t="str">
        <f>VLOOKUP(C14,CAMPUS.CONTRATANTE!$D$10:$HD$21,108,0)</f>
        <v>RS005021/2021</v>
      </c>
      <c r="J35" s="371" t="str">
        <f>VLOOKUP(C14,CAMPUS.CONTRATANTE!$D$10:$HD$21,125,0)</f>
        <v>RS000947/2019-</v>
      </c>
      <c r="K35" s="371" t="str">
        <f>VLOOKUP(C14,CAMPUS.CONTRATANTE!$D$10:$HD$21,142,0)</f>
        <v>RS000947/2019-</v>
      </c>
      <c r="L35" s="371" t="str">
        <f>VLOOKUP(C14,CAMPUS.CONTRATANTE!$D$10:$HD$21,159,0)</f>
        <v>RS000947/2019-</v>
      </c>
      <c r="M35" s="371" t="str">
        <f>VLOOKUP(C14,CAMPUS.CONTRATANTE!$D$10:$HD$21,176,0)</f>
        <v>RS000947/2019-</v>
      </c>
      <c r="N35" s="371" t="str">
        <f>VLOOKUP(C14,CAMPUS.CONTRATANTE!$D$10:$HD$21,193,0)</f>
        <v>RS000947/2019-</v>
      </c>
      <c r="O35" s="366"/>
    </row>
    <row r="36" spans="1:15" ht="15" customHeight="1">
      <c r="A36" s="333"/>
      <c r="B36" s="358" t="s">
        <v>272</v>
      </c>
      <c r="C36" s="362">
        <f>VLOOKUP(C35,'DADOS-CADASTRAIS'!$C$6:$O$102,3,0)</f>
        <v>0</v>
      </c>
      <c r="D36" s="362">
        <f>VLOOKUP(D35,'DADOS-CADASTRAIS'!$C$6:$O$102,3,0)</f>
        <v>0</v>
      </c>
      <c r="E36" s="372" t="str">
        <f>VLOOKUP(E35,'DADOS-CADASTRAIS'!$C$6:$O$102,3,0)</f>
        <v>01 de OUTUBRO</v>
      </c>
      <c r="F36" s="372" t="str">
        <f>VLOOKUP(F35,'DADOS-CADASTRAIS'!$C$6:$O$102,3,0)</f>
        <v>01 de JANEIRO</v>
      </c>
      <c r="G36" s="372" t="str">
        <f>VLOOKUP(G35,'DADOS-CADASTRAIS'!$C$6:$O$102,3,0)</f>
        <v>01 de JANEIRO</v>
      </c>
      <c r="H36" s="372" t="str">
        <f>VLOOKUP(H35,'DADOS-CADASTRAIS'!$C$6:$O$102,3,0)</f>
        <v>01 de JANEIRO</v>
      </c>
      <c r="I36" s="372" t="str">
        <f>VLOOKUP(I35,'DADOS-CADASTRAIS'!$C$6:$O$102,3,0)</f>
        <v>01 de JANEIRO</v>
      </c>
      <c r="J36" s="373" t="str">
        <f>VLOOKUP(J35,'DADOS-CADASTRAIS'!$C$6:$F$17,3,0)</f>
        <v>01 de FEVEREIRO</v>
      </c>
      <c r="K36" s="373" t="str">
        <f>VLOOKUP(K35,'DADOS-CADASTRAIS'!$C$6:$F$17,3,0)</f>
        <v>01 de FEVEREIRO</v>
      </c>
      <c r="L36" s="373" t="str">
        <f>VLOOKUP(L35,'DADOS-CADASTRAIS'!$C$6:$F$17,3,0)</f>
        <v>01 de FEVEREIRO</v>
      </c>
      <c r="M36" s="373" t="str">
        <f>VLOOKUP(M35,'DADOS-CADASTRAIS'!$C$6:$O$102,3,0)</f>
        <v>01 de FEVEREIRO</v>
      </c>
      <c r="N36" s="373" t="str">
        <f>VLOOKUP(N35,'DADOS-CADASTRAIS'!$C$6:$O$102,3,0)</f>
        <v>01 de FEVEREIRO</v>
      </c>
      <c r="O36" s="366"/>
    </row>
    <row r="37" spans="1:15" ht="18.75" customHeight="1">
      <c r="A37" s="333"/>
      <c r="B37" s="374" t="s">
        <v>273</v>
      </c>
      <c r="C37" s="375">
        <f>VLOOKUP(C14,CAMPUS.CONTRATANTE!$D$10:$HD$21,7,0)</f>
        <v>4556.92</v>
      </c>
      <c r="D37" s="375">
        <f>VLOOKUP(C14,CAMPUS.CONTRATANTE!$D$10:$HD$21,24,0)</f>
        <v>4556.92</v>
      </c>
      <c r="E37" s="376">
        <f>VLOOKUP(C14,CAMPUS.CONTRATANTE!$D$10:$HD$21,41,0)</f>
        <v>1305.56</v>
      </c>
      <c r="F37" s="376">
        <f>VLOOKUP(C14,CAMPUS.CONTRATANTE!$D$10:$HD$21,58,0)</f>
        <v>1929.4</v>
      </c>
      <c r="G37" s="376">
        <f>VLOOKUP(C14,CAMPUS.CONTRATANTE!$D$10:$HD$21,75,0)</f>
        <v>2461.8000000000002</v>
      </c>
      <c r="H37" s="376">
        <f>VLOOKUP(C14,CAMPUS.CONTRATANTE!$D$10:$HD$21,92,0)</f>
        <v>1396.01</v>
      </c>
      <c r="I37" s="376">
        <f>VLOOKUP(C14,CAMPUS.CONTRATANTE!$D$10:$HD$21,109,0)</f>
        <v>1396.01</v>
      </c>
      <c r="J37" s="377">
        <f>VLOOKUP(C14,CAMPUS.CONTRATANTE!$D$10:$HD$21,126,0)</f>
        <v>4128.0200000000004</v>
      </c>
      <c r="K37" s="377">
        <f>VLOOKUP(C14,CAMPUS.CONTRATANTE!$D$10:$HD$21,143,0)</f>
        <v>4128.0200000000004</v>
      </c>
      <c r="L37" s="377">
        <f>VLOOKUP(C14,CAMPUS.CONTRATANTE!$D$10:$HD$21,160,0)</f>
        <v>1741.45</v>
      </c>
      <c r="M37" s="377">
        <f>VLOOKUP(C14,CAMPUS.CONTRATANTE!$D$10:$HD$21,177,0)</f>
        <v>0</v>
      </c>
      <c r="N37" s="377">
        <f>VLOOKUP(C14,CAMPUS.CONTRATANTE!$D$10:$HD$21,194,0)</f>
        <v>0</v>
      </c>
      <c r="O37" s="366"/>
    </row>
    <row r="38" spans="1:15" ht="15" customHeight="1">
      <c r="A38" s="333"/>
      <c r="B38" s="358" t="s">
        <v>274</v>
      </c>
      <c r="C38" s="378" t="str">
        <f>VLOOKUP(C14,CAMPUS.CONTRATANTE!$D$10:$HD$21,9,0)</f>
        <v>SEM ADICIONAL DE FUNÇÃO</v>
      </c>
      <c r="D38" s="378" t="str">
        <f>VLOOKUP(C14,CAMPUS.CONTRATANTE!$D$10:$HD$21,26,0)</f>
        <v>SEM ADICIONAL DE FUNÇÃO</v>
      </c>
      <c r="E38" s="379" t="str">
        <f>VLOOKUP(C14,CAMPUS.CONTRATANTE!$D$10:$HD$21,43,0)</f>
        <v>SEM ADICIONAL DE FUNÇÃO</v>
      </c>
      <c r="F38" s="379" t="str">
        <f>VLOOKUP(C14,CAMPUS.CONTRATANTE!$D$10:$HD$21,60,0)</f>
        <v>SEM ADICIONAL DE FUNÇÃO</v>
      </c>
      <c r="G38" s="379" t="str">
        <f>VLOOKUP(C14,CAMPUS.CONTRATANTE!$D$10:$HD$21,77,0)</f>
        <v>SEM ADICIONAL DE FUNÇÃO</v>
      </c>
      <c r="H38" s="379" t="str">
        <f>VLOOKUP(C14,CAMPUS.CONTRATANTE!$D$10:$HD$21,94,0)</f>
        <v>SEM ADICIONAL DE FUNÇÃO</v>
      </c>
      <c r="I38" s="379" t="str">
        <f>VLOOKUP(C14,CAMPUS.CONTRATANTE!$D$10:$HD$21,111,0)</f>
        <v>SEM ADICIONAL DE FUNÇÃO</v>
      </c>
      <c r="J38" s="380" t="str">
        <f>VLOOKUP(C14,CAMPUS.CONTRATANTE!$D$10:$HD$21,128,0)</f>
        <v>SEM ADICIONAL DE FUNÇÃO</v>
      </c>
      <c r="K38" s="380" t="str">
        <f>VLOOKUP(C14,CAMPUS.CONTRATANTE!$D$10:$HD$21,145,0)</f>
        <v>SEM ADICIONAL DE FUNÇÃO</v>
      </c>
      <c r="L38" s="380" t="str">
        <f>VLOOKUP(C14,CAMPUS.CONTRATANTE!$D$10:$HD$21,162,0)</f>
        <v>SEM ADICIONAL DE FUNÇÃO</v>
      </c>
      <c r="M38" s="377" t="str">
        <f>VLOOKUP(C14,CAMPUS.CONTRATANTE!$D$10:$HD$21,179,0)</f>
        <v>SEM ADICIONAL DE FUNÇÃO</v>
      </c>
      <c r="N38" s="377" t="str">
        <f>VLOOKUP(C14,CAMPUS.CONTRATANTE!$D$10:$HD$21,196,0)</f>
        <v>SEM ADICIONAL DE FUNÇÃO</v>
      </c>
      <c r="O38" s="366"/>
    </row>
    <row r="39" spans="1:15" ht="15" customHeight="1">
      <c r="A39" s="333"/>
      <c r="B39" s="358" t="s">
        <v>275</v>
      </c>
      <c r="C39" s="381">
        <f>IF(C38="SEM ADICIONAL DE FUNÇÃO",0,VLOOKUP(C14,CAMPUS.CONTRATANTE!$D$10:$HD$21,8,0))</f>
        <v>0</v>
      </c>
      <c r="D39" s="381">
        <f>IF(D38="SEM ADICIONAL DE FUNÇÃO",0,VLOOKUP(C14,CAMPUS.CONTRATANTE!$D$10:$HD$21,25,0))</f>
        <v>0</v>
      </c>
      <c r="E39" s="382">
        <f>IF(E38="SEM ADICIONAL DE FUNÇÃO",0,VLOOKUP(C14,CAMPUS.CONTRATANTE!$D$10:$HD$21,42,0))</f>
        <v>0</v>
      </c>
      <c r="F39" s="382">
        <f t="shared" ref="F39:G39" si="0">IF(F38="SEM ADICIONAL DE FUNÇÃO",0,25%)</f>
        <v>0</v>
      </c>
      <c r="G39" s="382">
        <f t="shared" si="0"/>
        <v>0</v>
      </c>
      <c r="H39" s="382">
        <f>IF(H38="SEM ADICIONAL DE FUNÇÃO",0,30%)</f>
        <v>0</v>
      </c>
      <c r="I39" s="382"/>
      <c r="J39" s="377"/>
      <c r="K39" s="377"/>
      <c r="L39" s="377"/>
      <c r="M39" s="377"/>
      <c r="N39" s="377"/>
      <c r="O39" s="366"/>
    </row>
    <row r="40" spans="1:15" ht="15" customHeight="1">
      <c r="A40" s="333"/>
      <c r="B40" s="358" t="s">
        <v>276</v>
      </c>
      <c r="C40" s="378" t="str">
        <f>VLOOKUP(C14,CAMPUS.CONTRATANTE!$D$10:$HD$21,12,0)</f>
        <v>SEM ADICIONAL DE RISCO</v>
      </c>
      <c r="D40" s="378" t="str">
        <f>VLOOKUP(C14,CAMPUS.CONTRATANTE!$D$10:$HD$21,29,0)</f>
        <v>SEM ADICIONAL DE RISCO</v>
      </c>
      <c r="E40" s="379" t="str">
        <f>VLOOKUP(C14,CAMPUS.CONTRATANTE!$D$10:$HD$21,46,0)</f>
        <v>INSALUB S/NORMATIVO</v>
      </c>
      <c r="F40" s="379" t="str">
        <f>VLOOKUP(C14,CAMPUS.CONTRATANTE!$D$10:$HD$21,63,0)</f>
        <v>INSALUB S/MIN. NACION.</v>
      </c>
      <c r="G40" s="379" t="str">
        <f>VLOOKUP(C14,CAMPUS.CONTRATANTE!$D$10:$HD$21,80,0)</f>
        <v>INSALUB S/MIN. NACION.</v>
      </c>
      <c r="H40" s="379" t="str">
        <f>VLOOKUP(C14,CAMPUS.CONTRATANTE!$D$10:$HD$21,97,0)</f>
        <v>INSALUB S/NORMATIVO</v>
      </c>
      <c r="I40" s="379" t="str">
        <f>VLOOKUP(C14,CAMPUS.CONTRATANTE!$D$10:$HD$21,114,0)</f>
        <v>INSALUB S/NORMATIVO</v>
      </c>
      <c r="J40" s="380" t="str">
        <f>VLOOKUP(C14,CAMPUS.CONTRATANTE!$D$10:$HD$21,131,0)</f>
        <v>SEM ADICIONAL DE RISCO</v>
      </c>
      <c r="K40" s="380" t="str">
        <f>VLOOKUP(C14,CAMPUS.CONTRATANTE!$D$10:$HD$21,148,0)</f>
        <v>SEM ADICIONAL DE RISCO</v>
      </c>
      <c r="L40" s="380" t="str">
        <f>VLOOKUP(C14,CAMPUS.CONTRATANTE!$D$10:$HD$21,165,0)</f>
        <v>INSALUB S/MINIMO</v>
      </c>
      <c r="M40" s="380" t="str">
        <f>VLOOKUP(C14,CAMPUS.CONTRATANTE!$D$10:$HD$21,182,0)</f>
        <v>SEM ADICIONAL DE RISCO</v>
      </c>
      <c r="N40" s="380" t="str">
        <f>VLOOKUP(C14,CAMPUS.CONTRATANTE!$D$10:$HD$21,199,0)</f>
        <v>SEM ADICIONAL DE RISCO</v>
      </c>
      <c r="O40" s="366"/>
    </row>
    <row r="41" spans="1:15" ht="15" customHeight="1">
      <c r="A41" s="333"/>
      <c r="B41" s="358" t="s">
        <v>277</v>
      </c>
      <c r="C41" s="381">
        <f>IFERROR(IF(C40="INSALUB S/MIN. NACION.",VLOOKUP(C14,CAMPUS.CONTRATANTE!$D$10:$HD$21,11,0),IF(C40="INSALUB S/NORMATIVO",VLOOKUP(C14,CAMPUS.CONTRATANTE!$D$10:$HD$21,11,0),IF(C35="PERICULOSIDADE",0*0,0))),0)</f>
        <v>0</v>
      </c>
      <c r="D41" s="381">
        <f>IFERROR(IF(D40="INSALUB S/MIN. NACION.",VLOOKUP(C14,CAMPUS.CONTRATANTE!$D$10:$HD$21,28,0),IF(D40="INSALUB S/NORMATIVO",VLOOKUP(C14,CAMPUS.CONTRATANTE!$D$10:$HD$21,28,0),IF(D35="PERICULOSIDADE",0*0,0))),0)</f>
        <v>0</v>
      </c>
      <c r="E41" s="382">
        <f>IFERROR(IF(E40="INSALUB S/MIN. NACION.",VLOOKUP(C14,CAMPUS.CONTRATANTE!$D$10:$HD$21,45,0),IF(E40="INSALUB S/NORMATIVO",VLOOKUP(C14,CAMPUS.CONTRATANTE!$D$10:$HD$21,45,0),IF(E35="PERICULOSIDADE",0*0,0))),0)</f>
        <v>0.2</v>
      </c>
      <c r="F41" s="382">
        <f>IFERROR(IF(F40="INSALUB S/MIN. NACION.",VLOOKUP(C14,CAMPUS.CONTRATANTE!$D$10:$HD$21,62,0),IF(F40="INSALUB S/NORMATIVO",VLOOKUP(C14,CAMPUS.CONTRATANTE!$D$10:$HD$21,62,0),IF(F35="PERICULOSIDADE",0*0,0))),0)</f>
        <v>0.2</v>
      </c>
      <c r="G41" s="382">
        <f>IFERROR(IF(G40="INSALUB S/MIN. NACION.",VLOOKUP(C14,CAMPUS.CONTRATANTE!$D$10:$HD$21,79,0),IF(G40="INSALUB S/NORMATIVO",VLOOKUP(C14,CAMPUS.CONTRATANTE!$D$10:$HD$21,79,0),IF(G35="PERICULOSIDADE",0*0,0))),0)</f>
        <v>0.2</v>
      </c>
      <c r="H41" s="382">
        <f>IFERROR(IF(H40="INSALUB S/MIN. NACION.",VLOOKUP(C14,CAMPUS.CONTRATANTE!$D$10:$HD$21,96,0),IF(H40="INSALUB S/NORMATIVO",VLOOKUP(C14,CAMPUS.CONTRATANTE!$D$10:$HD$21,96,0),IF(H35="PERICULOSIDADE",0*0,0))),0)</f>
        <v>0.2</v>
      </c>
      <c r="I41" s="382">
        <f>IFERROR(IF(I40="INSALUB S/MIN. NACION.",VLOOKUP(C14,CAMPUS.CONTRATANTE!$D$10:$HD$21,113,0),IF(I40="INSALUB S/NORMATIVO",VLOOKUP(C14,CAMPUS.CONTRATANTE!$D$10:$HD$21,113,0),IF(I35="PERICULOSIDADE",0*0,0))),0)</f>
        <v>0.2</v>
      </c>
      <c r="J41" s="383">
        <f>IFERROR(IF(J40="INSALUB S/MINIMO",VLOOKUP(C14,CAMPUS.CONTRATANTE!$D$10:$HD$21,130,0),IF(J40="INSALUB S/NORMATIVO",VLOOKUP(C14,CAMPUS.CONTRATANTE!$D$10:$HD$21,130,0),IF(J35="PERICULOSIDADE",0*0,0))),0)</f>
        <v>0</v>
      </c>
      <c r="K41" s="383">
        <f>IFERROR(IF(K40="INSALUB S/MINIMO",VLOOKUP(C14,CAMPUS.CONTRATANTE!$D$10:$HD$21,147,0),IF(K40="INSALUB S/NORMATIVO",VLOOKUP(C14,CAMPUS.CONTRATANTE!$D$10:$HD$21,147,0),IF(K35="PERICULOSIDADE",0*0,0))),0)</f>
        <v>0</v>
      </c>
      <c r="L41" s="383">
        <f>IFERROR(IF(L40="INSALUB S/MINIMO",VLOOKUP(C14,CAMPUS.CONTRATANTE!$D$10:$HD$21,164,0),IF(L40="INSALUB S/NORMATIVO",VLOOKUP(C14,CAMPUS.CONTRATANTE!$D$10:$HD$21,164,0),IF(L35="PERICULOSIDADE",0*0,0))),0)</f>
        <v>0.2</v>
      </c>
      <c r="M41" s="383">
        <f>IFERROR(IF(M40="INSALUB S/MINIMO",VLOOKUP(C14,CAMPUS.CONTRATANTE!$D$10:$HD$21,181,0),IF(M40="INSALUB S/NORMATIVO",VLOOKUP(C14,CAMPUS.CONTRATANTE!$D$10:$HD$21,181,0),IF(M35="PERICULOSIDADE",0*0,0))),0)</f>
        <v>0</v>
      </c>
      <c r="N41" s="383">
        <f>IFERROR(IF(N40="INSALUB S/MINIMO",VLOOKUP(C14,CAMPUS.CONTRATANTE!$D$10:$HD$21,198,0),IF(N40="INSALUB S/NORMATIVO",VLOOKUP(C14,CAMPUS.CONTRATANTE!$D$10:$HD$21,198,0),IF(N35="PERICULOSIDADE",0*0,0))),0)</f>
        <v>0</v>
      </c>
      <c r="O41" s="366"/>
    </row>
    <row r="42" spans="1:15" ht="15" customHeight="1">
      <c r="A42" s="384"/>
      <c r="B42" s="374" t="s">
        <v>278</v>
      </c>
      <c r="C42" s="385">
        <v>1320</v>
      </c>
      <c r="D42" s="385">
        <f t="shared" ref="D42:N42" si="1">C42</f>
        <v>1320</v>
      </c>
      <c r="E42" s="386">
        <f t="shared" si="1"/>
        <v>1320</v>
      </c>
      <c r="F42" s="386">
        <f t="shared" si="1"/>
        <v>1320</v>
      </c>
      <c r="G42" s="386">
        <f t="shared" si="1"/>
        <v>1320</v>
      </c>
      <c r="H42" s="386">
        <f t="shared" si="1"/>
        <v>1320</v>
      </c>
      <c r="I42" s="386">
        <f t="shared" si="1"/>
        <v>1320</v>
      </c>
      <c r="J42" s="377">
        <f t="shared" si="1"/>
        <v>1320</v>
      </c>
      <c r="K42" s="377">
        <f t="shared" si="1"/>
        <v>1320</v>
      </c>
      <c r="L42" s="377">
        <f t="shared" si="1"/>
        <v>1320</v>
      </c>
      <c r="M42" s="377">
        <f t="shared" si="1"/>
        <v>1320</v>
      </c>
      <c r="N42" s="377">
        <f t="shared" si="1"/>
        <v>1320</v>
      </c>
      <c r="O42" s="387"/>
    </row>
    <row r="43" spans="1:15" ht="15" customHeight="1">
      <c r="A43" s="333"/>
      <c r="B43" s="358" t="s">
        <v>279</v>
      </c>
      <c r="C43" s="388">
        <f>IF(VLOOKUP(C14,CAMPUS.CONTRATANTE!$D$10:$HB$21,18,0)="S",20%,0)</f>
        <v>0.2</v>
      </c>
      <c r="D43" s="388">
        <f>IF(VLOOKUP(C14,CAMPUS.CONTRATANTE!$D$10:$HB$21,35,0)="S",20%,0)</f>
        <v>0.2</v>
      </c>
      <c r="E43" s="379">
        <f>IF(VLOOKUP(C14,CAMPUS.CONTRATANTE!$D$10:$HB$21,18,0)="S",20%,0)</f>
        <v>0.2</v>
      </c>
      <c r="F43" s="379"/>
      <c r="G43" s="379"/>
      <c r="H43" s="379"/>
      <c r="I43" s="379"/>
      <c r="J43" s="389"/>
      <c r="K43" s="389"/>
      <c r="L43" s="389"/>
      <c r="M43" s="389"/>
      <c r="N43" s="389"/>
      <c r="O43" s="366"/>
    </row>
    <row r="44" spans="1:15" ht="15" customHeight="1">
      <c r="A44" s="333"/>
      <c r="B44" s="358" t="s">
        <v>280</v>
      </c>
      <c r="C44" s="390">
        <f>IF(C40="PERICULOSIDADE",30%,0)</f>
        <v>0</v>
      </c>
      <c r="D44" s="390">
        <f>IF(C40="PERICULOSIDADE",30%,0)</f>
        <v>0</v>
      </c>
      <c r="E44" s="391"/>
      <c r="F44" s="392"/>
      <c r="G44" s="392"/>
      <c r="H44" s="392"/>
      <c r="I44" s="392"/>
      <c r="J44" s="389"/>
      <c r="K44" s="389"/>
      <c r="L44" s="389"/>
      <c r="M44" s="389"/>
      <c r="N44" s="389"/>
      <c r="O44" s="366"/>
    </row>
    <row r="45" spans="1:15" ht="18.75" customHeight="1">
      <c r="A45" s="333"/>
      <c r="B45" s="1"/>
      <c r="C45" s="1"/>
      <c r="D45" s="393"/>
      <c r="E45" s="393"/>
      <c r="F45" s="393"/>
      <c r="G45" s="393"/>
      <c r="H45" s="393"/>
      <c r="I45" s="393"/>
      <c r="J45" s="290"/>
      <c r="K45" s="290"/>
      <c r="L45" s="290"/>
      <c r="M45" s="290"/>
      <c r="N45" s="290"/>
      <c r="O45" s="366"/>
    </row>
    <row r="46" spans="1:15" ht="8.25" customHeight="1">
      <c r="A46" s="333"/>
      <c r="B46" s="358"/>
      <c r="C46" s="394"/>
      <c r="D46" s="394"/>
      <c r="E46" s="395"/>
      <c r="F46" s="395"/>
      <c r="G46" s="395"/>
      <c r="H46" s="395"/>
      <c r="I46" s="395"/>
      <c r="J46" s="396"/>
      <c r="K46" s="396"/>
      <c r="L46" s="396"/>
      <c r="M46" s="396"/>
      <c r="N46" s="396"/>
      <c r="O46" s="366"/>
    </row>
    <row r="47" spans="1:15" ht="12.75" customHeight="1">
      <c r="A47" s="333"/>
      <c r="B47" s="1010" t="s">
        <v>281</v>
      </c>
      <c r="C47" s="960"/>
      <c r="D47" s="960"/>
      <c r="E47" s="397"/>
      <c r="F47" s="397"/>
      <c r="G47" s="397"/>
      <c r="H47" s="397"/>
      <c r="I47" s="397"/>
      <c r="J47" s="290"/>
      <c r="K47" s="290"/>
      <c r="L47" s="290"/>
      <c r="M47" s="290"/>
      <c r="N47" s="290"/>
      <c r="O47" s="366"/>
    </row>
    <row r="48" spans="1:15" ht="12.75" customHeight="1">
      <c r="A48" s="333"/>
      <c r="B48" s="333"/>
      <c r="C48" s="333"/>
      <c r="D48" s="333"/>
      <c r="E48" s="351"/>
      <c r="F48" s="351"/>
      <c r="G48" s="351"/>
      <c r="H48" s="351"/>
      <c r="I48" s="351"/>
      <c r="J48" s="398"/>
      <c r="K48" s="398"/>
      <c r="L48" s="398"/>
      <c r="M48" s="398"/>
      <c r="N48" s="398"/>
      <c r="O48" s="366"/>
    </row>
    <row r="49" spans="1:15" ht="17.25" customHeight="1">
      <c r="A49" s="333"/>
      <c r="B49" s="333"/>
      <c r="C49" s="399" t="str">
        <f t="shared" ref="C49:N49" si="2">C33</f>
        <v>2614-25_INTERP.LIBRAS_30hs</v>
      </c>
      <c r="D49" s="399" t="str">
        <f t="shared" si="2"/>
        <v>2614-25_INTERP.LIBRAS_20hs</v>
      </c>
      <c r="E49" s="400" t="str">
        <f t="shared" si="2"/>
        <v>A NÃO TEM MAIS POSTOS-00</v>
      </c>
      <c r="F49" s="400" t="str">
        <f t="shared" si="2"/>
        <v>A NÃO TEM MAIS POSTOS-11</v>
      </c>
      <c r="G49" s="400" t="str">
        <f t="shared" si="2"/>
        <v>A NÃO TEM MAIS POSTOS-22</v>
      </c>
      <c r="H49" s="400" t="str">
        <f t="shared" si="2"/>
        <v>A NÃO TEM MAIS POSTOS-33</v>
      </c>
      <c r="I49" s="400" t="str">
        <f t="shared" si="2"/>
        <v>A NÃO TEM MAIS POSTOS-44</v>
      </c>
      <c r="J49" s="401" t="str">
        <f t="shared" si="2"/>
        <v>A NÃO TEM MAIS POSTOS-55</v>
      </c>
      <c r="K49" s="401" t="str">
        <f t="shared" si="2"/>
        <v>A NÃO TEM MAIS POSTOS-66</v>
      </c>
      <c r="L49" s="401" t="str">
        <f t="shared" si="2"/>
        <v>A NÃO TEM MAIS POSTOS-77</v>
      </c>
      <c r="M49" s="401" t="str">
        <f t="shared" si="2"/>
        <v>A NÃO TEM MAIS POSTOS-88</v>
      </c>
      <c r="N49" s="401" t="str">
        <f t="shared" si="2"/>
        <v>A NÃO TEM MAIS POSTOS-99</v>
      </c>
      <c r="O49" s="366"/>
    </row>
    <row r="50" spans="1:15" ht="13.5" customHeight="1">
      <c r="A50" s="333"/>
      <c r="B50" s="402" t="s">
        <v>282</v>
      </c>
      <c r="C50" s="403">
        <v>6</v>
      </c>
      <c r="D50" s="403">
        <v>4</v>
      </c>
      <c r="E50" s="404">
        <v>8</v>
      </c>
      <c r="F50" s="404">
        <v>4</v>
      </c>
      <c r="G50" s="404">
        <v>8</v>
      </c>
      <c r="H50" s="404">
        <v>4</v>
      </c>
      <c r="I50" s="404">
        <v>8</v>
      </c>
      <c r="J50" s="405">
        <v>4</v>
      </c>
      <c r="K50" s="405">
        <v>8</v>
      </c>
      <c r="L50" s="405">
        <v>8</v>
      </c>
      <c r="M50" s="405">
        <v>8</v>
      </c>
      <c r="N50" s="405">
        <v>8</v>
      </c>
      <c r="O50" s="366"/>
    </row>
    <row r="51" spans="1:15" ht="13.5" customHeight="1">
      <c r="A51" s="333"/>
      <c r="B51" s="402" t="s">
        <v>283</v>
      </c>
      <c r="C51" s="403">
        <v>30</v>
      </c>
      <c r="D51" s="403">
        <v>20</v>
      </c>
      <c r="E51" s="406">
        <f>VLOOKUP(C14,CAMPUS.CONTRATANTE!$D$10:$HD$21,47,0)</f>
        <v>40</v>
      </c>
      <c r="F51" s="406">
        <f>VLOOKUP(C14,CAMPUS.CONTRATANTE!$D$10:$HD$21,64,0)</f>
        <v>44</v>
      </c>
      <c r="G51" s="406">
        <f>VLOOKUP(C14,CAMPUS.CONTRATANTE!$D$10:$HD$21,81,0)</f>
        <v>44</v>
      </c>
      <c r="H51" s="406">
        <f>VLOOKUP(C14,CAMPUS.CONTRATANTE!$D$10:$HD$21,98,0)</f>
        <v>44</v>
      </c>
      <c r="I51" s="406">
        <f>VLOOKUP(C14,CAMPUS.CONTRATANTE!$D$10:$HD$21,115,0)</f>
        <v>44</v>
      </c>
      <c r="J51" s="406">
        <f>VLOOKUP(C14,CAMPUS.CONTRATANTE!$D$10:$HD$21,132,0)</f>
        <v>44</v>
      </c>
      <c r="K51" s="406">
        <f>VLOOKUP(C14,CAMPUS.CONTRATANTE!$D$10:$HD$21,149,0)</f>
        <v>44</v>
      </c>
      <c r="L51" s="406">
        <f>VLOOKUP(C14,CAMPUS.CONTRATANTE!$D$10:$HD$21,166,0)</f>
        <v>44</v>
      </c>
      <c r="M51" s="406">
        <f>VLOOKUP(C14,CAMPUS.CONTRATANTE!$D$10:$HD$21,183,0)</f>
        <v>44</v>
      </c>
      <c r="N51" s="406">
        <f>VLOOKUP(C14,CAMPUS.CONTRATANTE!$D$10:$HD$21,200,0)</f>
        <v>44</v>
      </c>
      <c r="O51" s="366"/>
    </row>
    <row r="52" spans="1:15" ht="18.75" customHeight="1">
      <c r="A52" s="407"/>
      <c r="B52" s="408" t="s">
        <v>284</v>
      </c>
      <c r="C52" s="409">
        <f t="shared" ref="C52:D52" si="3">C51*5</f>
        <v>150</v>
      </c>
      <c r="D52" s="409">
        <f t="shared" si="3"/>
        <v>100</v>
      </c>
      <c r="E52" s="410">
        <f t="shared" ref="E52:N52" si="4">E51*5</f>
        <v>200</v>
      </c>
      <c r="F52" s="410">
        <f t="shared" si="4"/>
        <v>220</v>
      </c>
      <c r="G52" s="410">
        <f t="shared" si="4"/>
        <v>220</v>
      </c>
      <c r="H52" s="410">
        <f t="shared" si="4"/>
        <v>220</v>
      </c>
      <c r="I52" s="410">
        <f t="shared" si="4"/>
        <v>220</v>
      </c>
      <c r="J52" s="410">
        <f t="shared" si="4"/>
        <v>220</v>
      </c>
      <c r="K52" s="410">
        <f t="shared" si="4"/>
        <v>220</v>
      </c>
      <c r="L52" s="410">
        <f t="shared" si="4"/>
        <v>220</v>
      </c>
      <c r="M52" s="410">
        <f t="shared" si="4"/>
        <v>220</v>
      </c>
      <c r="N52" s="410">
        <f t="shared" si="4"/>
        <v>220</v>
      </c>
      <c r="O52" s="411"/>
    </row>
    <row r="53" spans="1:15" ht="6.75" customHeight="1">
      <c r="A53" s="333"/>
      <c r="B53" s="358"/>
      <c r="C53" s="412"/>
      <c r="D53" s="412"/>
      <c r="E53" s="413"/>
      <c r="F53" s="413"/>
      <c r="G53" s="413"/>
      <c r="H53" s="413"/>
      <c r="I53" s="413"/>
      <c r="J53" s="414"/>
      <c r="K53" s="414"/>
      <c r="L53" s="414"/>
      <c r="M53" s="414"/>
      <c r="N53" s="414"/>
      <c r="O53" s="366"/>
    </row>
    <row r="54" spans="1:15" ht="12.75" customHeight="1">
      <c r="A54" s="333"/>
      <c r="B54" s="1010" t="s">
        <v>285</v>
      </c>
      <c r="C54" s="960"/>
      <c r="D54" s="960"/>
      <c r="E54" s="397"/>
      <c r="F54" s="397"/>
      <c r="G54" s="397"/>
      <c r="H54" s="397"/>
      <c r="I54" s="397"/>
      <c r="J54" s="290"/>
      <c r="K54" s="290"/>
      <c r="L54" s="290"/>
      <c r="M54" s="290"/>
      <c r="N54" s="290"/>
      <c r="O54" s="366"/>
    </row>
    <row r="55" spans="1:15" ht="9.75" customHeight="1">
      <c r="A55" s="333"/>
      <c r="B55" s="415"/>
      <c r="C55" s="416"/>
      <c r="D55" s="416"/>
      <c r="E55" s="417"/>
      <c r="F55" s="417"/>
      <c r="G55" s="417"/>
      <c r="H55" s="417"/>
      <c r="I55" s="417"/>
      <c r="J55" s="418"/>
      <c r="K55" s="418"/>
      <c r="L55" s="418"/>
      <c r="M55" s="418"/>
      <c r="N55" s="418"/>
      <c r="O55" s="366"/>
    </row>
    <row r="56" spans="1:15" ht="27" customHeight="1">
      <c r="A56" s="333"/>
      <c r="B56" s="333"/>
      <c r="C56" s="399" t="str">
        <f t="shared" ref="C56:N56" si="5">C49</f>
        <v>2614-25_INTERP.LIBRAS_30hs</v>
      </c>
      <c r="D56" s="399" t="str">
        <f t="shared" si="5"/>
        <v>2614-25_INTERP.LIBRAS_20hs</v>
      </c>
      <c r="E56" s="400" t="str">
        <f t="shared" si="5"/>
        <v>A NÃO TEM MAIS POSTOS-00</v>
      </c>
      <c r="F56" s="400" t="str">
        <f t="shared" si="5"/>
        <v>A NÃO TEM MAIS POSTOS-11</v>
      </c>
      <c r="G56" s="400" t="str">
        <f t="shared" si="5"/>
        <v>A NÃO TEM MAIS POSTOS-22</v>
      </c>
      <c r="H56" s="400" t="str">
        <f t="shared" si="5"/>
        <v>A NÃO TEM MAIS POSTOS-33</v>
      </c>
      <c r="I56" s="400" t="str">
        <f t="shared" si="5"/>
        <v>A NÃO TEM MAIS POSTOS-44</v>
      </c>
      <c r="J56" s="401" t="str">
        <f t="shared" si="5"/>
        <v>A NÃO TEM MAIS POSTOS-55</v>
      </c>
      <c r="K56" s="401" t="str">
        <f t="shared" si="5"/>
        <v>A NÃO TEM MAIS POSTOS-66</v>
      </c>
      <c r="L56" s="401" t="str">
        <f t="shared" si="5"/>
        <v>A NÃO TEM MAIS POSTOS-77</v>
      </c>
      <c r="M56" s="401" t="str">
        <f t="shared" si="5"/>
        <v>A NÃO TEM MAIS POSTOS-88</v>
      </c>
      <c r="N56" s="401" t="str">
        <f t="shared" si="5"/>
        <v>A NÃO TEM MAIS POSTOS-99</v>
      </c>
      <c r="O56" s="366"/>
    </row>
    <row r="57" spans="1:15" ht="15.75" customHeight="1">
      <c r="A57" s="333"/>
      <c r="B57" s="402" t="s">
        <v>286</v>
      </c>
      <c r="C57" s="419">
        <v>0.03</v>
      </c>
      <c r="D57" s="419">
        <f t="shared" ref="D57:N57" si="6">C57</f>
        <v>0.03</v>
      </c>
      <c r="E57" s="420">
        <f t="shared" si="6"/>
        <v>0.03</v>
      </c>
      <c r="F57" s="420">
        <f t="shared" si="6"/>
        <v>0.03</v>
      </c>
      <c r="G57" s="420">
        <f t="shared" si="6"/>
        <v>0.03</v>
      </c>
      <c r="H57" s="420">
        <f t="shared" si="6"/>
        <v>0.03</v>
      </c>
      <c r="I57" s="420">
        <f t="shared" si="6"/>
        <v>0.03</v>
      </c>
      <c r="J57" s="421">
        <f t="shared" si="6"/>
        <v>0.03</v>
      </c>
      <c r="K57" s="421">
        <f t="shared" si="6"/>
        <v>0.03</v>
      </c>
      <c r="L57" s="421">
        <f t="shared" si="6"/>
        <v>0.03</v>
      </c>
      <c r="M57" s="421">
        <f t="shared" si="6"/>
        <v>0.03</v>
      </c>
      <c r="N57" s="421">
        <f t="shared" si="6"/>
        <v>0.03</v>
      </c>
      <c r="O57" s="366"/>
    </row>
    <row r="58" spans="1:15" ht="15.75" customHeight="1">
      <c r="A58" s="333"/>
      <c r="B58" s="402" t="s">
        <v>287</v>
      </c>
      <c r="C58" s="422">
        <v>1</v>
      </c>
      <c r="D58" s="422">
        <f t="shared" ref="D58:N58" si="7">C58</f>
        <v>1</v>
      </c>
      <c r="E58" s="423">
        <f t="shared" si="7"/>
        <v>1</v>
      </c>
      <c r="F58" s="423">
        <f t="shared" si="7"/>
        <v>1</v>
      </c>
      <c r="G58" s="423">
        <f t="shared" si="7"/>
        <v>1</v>
      </c>
      <c r="H58" s="423">
        <f t="shared" si="7"/>
        <v>1</v>
      </c>
      <c r="I58" s="423">
        <f t="shared" si="7"/>
        <v>1</v>
      </c>
      <c r="J58" s="424">
        <f t="shared" si="7"/>
        <v>1</v>
      </c>
      <c r="K58" s="424">
        <f t="shared" si="7"/>
        <v>1</v>
      </c>
      <c r="L58" s="424">
        <f t="shared" si="7"/>
        <v>1</v>
      </c>
      <c r="M58" s="424">
        <f t="shared" si="7"/>
        <v>1</v>
      </c>
      <c r="N58" s="424">
        <f t="shared" si="7"/>
        <v>1</v>
      </c>
      <c r="O58" s="366"/>
    </row>
    <row r="59" spans="1:15" ht="15.75" customHeight="1">
      <c r="A59" s="333"/>
      <c r="B59" s="358"/>
      <c r="C59" s="425"/>
      <c r="D59" s="425"/>
      <c r="E59" s="426"/>
      <c r="F59" s="426"/>
      <c r="G59" s="426"/>
      <c r="H59" s="426"/>
      <c r="I59" s="426"/>
      <c r="J59" s="427"/>
      <c r="K59" s="427"/>
      <c r="L59" s="427"/>
      <c r="M59" s="427"/>
      <c r="N59" s="427"/>
      <c r="O59" s="366"/>
    </row>
    <row r="60" spans="1:15" ht="15.75" customHeight="1">
      <c r="A60" s="333"/>
      <c r="B60" s="402" t="s">
        <v>288</v>
      </c>
      <c r="C60" s="428">
        <f>IF(C52&gt;199,VLOOKUP(C35,'DADOS-CADASTRAIS'!C5:O102,4,0)*1,0)</f>
        <v>0</v>
      </c>
      <c r="D60" s="428">
        <f>IF(D52&gt;199,VLOOKUP(D35,'DADOS-CADASTRAIS'!C5:O102,4,0)*1,0)</f>
        <v>0</v>
      </c>
      <c r="E60" s="429">
        <f>IF(E52&gt;199,VLOOKUP(E35,'DADOS-CADASTRAIS'!C5:O102,4,0)*1,0)</f>
        <v>20.18</v>
      </c>
      <c r="F60" s="429">
        <f>IF(F52&gt;199,VLOOKUP(F35,'DADOS-CADASTRAIS'!C5:O102,4,0)*1,0)</f>
        <v>20.18</v>
      </c>
      <c r="G60" s="429">
        <f>IF(G52&gt;199,VLOOKUP(G35,'DADOS-CADASTRAIS'!C5:O102,4,0)*1,0)</f>
        <v>20.18</v>
      </c>
      <c r="H60" s="429">
        <f>IF(H52&gt;199,VLOOKUP(H35,'DADOS-CADASTRAIS'!C5:O102,4,0)*1,0)</f>
        <v>20.18</v>
      </c>
      <c r="I60" s="429">
        <f>IF(I52&gt;199,VLOOKUP(I35,'DADOS-CADASTRAIS'!C5:O102,4,0)*1,0)</f>
        <v>20.18</v>
      </c>
      <c r="J60" s="389">
        <f>IF(J52&gt;199,VLOOKUP(J35,'DADOS-CADASTRAIS'!C5:O102,4,0)*1,0)</f>
        <v>0</v>
      </c>
      <c r="K60" s="389">
        <f>IF(K52&gt;199,VLOOKUP(K35,'DADOS-CADASTRAIS'!C5:O102,4,0)*1,0)</f>
        <v>0</v>
      </c>
      <c r="L60" s="389">
        <f>IF(L52&gt;199,VLOOKUP(L35,'DADOS-CADASTRAIS'!C5:O102,4,0)*1,0)</f>
        <v>0</v>
      </c>
      <c r="M60" s="389">
        <f>IF(L52&gt;199,VLOOKUP(L35,'DADOS-CADASTRAIS'!C5:O102,4,0)*1,0)</f>
        <v>0</v>
      </c>
      <c r="N60" s="389">
        <f>IF(L52&gt;199,VLOOKUP(L35,'DADOS-CADASTRAIS'!C5:O102,4,0)*1,0)</f>
        <v>0</v>
      </c>
      <c r="O60" s="366"/>
    </row>
    <row r="61" spans="1:15" ht="15.75" customHeight="1">
      <c r="A61" s="333"/>
      <c r="B61" s="402" t="s">
        <v>289</v>
      </c>
      <c r="C61" s="430">
        <f>VLOOKUP(C35,'DADOS-CADASTRAIS'!C6:O60,6,0)</f>
        <v>0</v>
      </c>
      <c r="D61" s="430">
        <f>VLOOKUP(D35,'DADOS-CADASTRAIS'!C6:O120,6,0)</f>
        <v>0</v>
      </c>
      <c r="E61" s="420">
        <f>VLOOKUP(E35,'DADOS-CADASTRAIS'!C6:O60,6,0)</f>
        <v>0.19</v>
      </c>
      <c r="F61" s="420">
        <f>VLOOKUP(F35,'DADOS-CADASTRAIS'!C6:O60,6,0)</f>
        <v>0.19</v>
      </c>
      <c r="G61" s="420">
        <f>VLOOKUP(G35,'DADOS-CADASTRAIS'!C6:O60,6,0)</f>
        <v>0.19</v>
      </c>
      <c r="H61" s="420">
        <f>VLOOKUP(H35,'DADOS-CADASTRAIS'!C6:R60,6,0)</f>
        <v>0.19</v>
      </c>
      <c r="I61" s="420">
        <f>VLOOKUP(I35,'DADOS-CADASTRAIS'!C6:R60,6,0)</f>
        <v>0.19</v>
      </c>
      <c r="J61" s="421">
        <f>VLOOKUP(J35,'DADOS-CADASTRAIS'!C6:O60,6,0)</f>
        <v>0</v>
      </c>
      <c r="K61" s="421">
        <f>VLOOKUP(K35,'DADOS-CADASTRAIS'!C6:O60,6,0)</f>
        <v>0</v>
      </c>
      <c r="L61" s="421">
        <f>VLOOKUP(L35,'DADOS-CADASTRAIS'!C6:O60,6,0)</f>
        <v>0</v>
      </c>
      <c r="M61" s="421">
        <f>IF(L52&gt;199,VLOOKUP(L35,'DADOS-CADASTRAIS'!C5:O102,4,0)*1,0)</f>
        <v>0</v>
      </c>
      <c r="N61" s="421">
        <f>IF(L52&gt;199,VLOOKUP(L35,'DADOS-CADASTRAIS'!C5:O102,4,0)*1,0)</f>
        <v>0</v>
      </c>
      <c r="O61" s="366"/>
    </row>
    <row r="62" spans="1:15" ht="15.75" customHeight="1">
      <c r="A62" s="333"/>
      <c r="B62" s="402" t="s">
        <v>290</v>
      </c>
      <c r="C62" s="431">
        <f>VLOOKUP(C14,CAMPUS.CONTRATANTE!$D$10:$HD$21,17,0)</f>
        <v>0</v>
      </c>
      <c r="D62" s="431">
        <f>VLOOKUP(C14,CAMPUS.CONTRATANTE!$D$10:$HD$21,34,0)</f>
        <v>0</v>
      </c>
      <c r="E62" s="432">
        <f>VLOOKUP(C14,CAMPUS.CONTRATANTE!$D$10:$HD$21,51,0)</f>
        <v>25</v>
      </c>
      <c r="F62" s="433">
        <f>VLOOKUP(C14,CAMPUS.CONTRATANTE!$D$10:$HD$21,68,0)</f>
        <v>22</v>
      </c>
      <c r="G62" s="432">
        <f>VLOOKUP(C14,CAMPUS.CONTRATANTE!$D$10:$HD$21,85,0)</f>
        <v>22</v>
      </c>
      <c r="H62" s="434">
        <f>VLOOKUP(C14,CAMPUS.CONTRATANTE!$D$10:$HD$21,102,0)</f>
        <v>22</v>
      </c>
      <c r="I62" s="434">
        <f>VLOOKUP(C14,CAMPUS.CONTRATANTE!$D$10:$HD$21,119,0)</f>
        <v>22</v>
      </c>
      <c r="J62" s="414">
        <f t="shared" ref="J62:N62" si="8">I62</f>
        <v>22</v>
      </c>
      <c r="K62" s="414">
        <f t="shared" si="8"/>
        <v>22</v>
      </c>
      <c r="L62" s="414">
        <f t="shared" si="8"/>
        <v>22</v>
      </c>
      <c r="M62" s="414">
        <f t="shared" si="8"/>
        <v>22</v>
      </c>
      <c r="N62" s="414">
        <f t="shared" si="8"/>
        <v>22</v>
      </c>
      <c r="O62" s="366"/>
    </row>
    <row r="63" spans="1:15" ht="12.75" customHeight="1">
      <c r="A63" s="333"/>
      <c r="B63" s="402" t="s">
        <v>291</v>
      </c>
      <c r="C63" s="431">
        <f>IF(C52&lt;199,VLOOKUP(C35,'DADOS-CADASTRAIS'!C5:O102,5,0)*1,0)</f>
        <v>0</v>
      </c>
      <c r="D63" s="431">
        <f>IF(D52&lt;199,VLOOKUP(D35,'DADOS-CADASTRAIS'!C5:O102,5,0)*1,0)</f>
        <v>0</v>
      </c>
      <c r="E63" s="429">
        <f>IF(E52&lt;199,VLOOKUP(E35,'DADOS-CADASTRAIS'!C5:O102,5,0)*1,0)</f>
        <v>0</v>
      </c>
      <c r="F63" s="429">
        <f>IF(F52&lt;199,VLOOKUP(F35,'DADOS-CADASTRAIS'!C5:O102,5,0)*1,0)</f>
        <v>0</v>
      </c>
      <c r="G63" s="429">
        <f>IF(G52&lt;199,VLOOKUP(G35,'DADOS-CADASTRAIS'!C5:O102,5,0)*1,0)</f>
        <v>0</v>
      </c>
      <c r="H63" s="429">
        <f>IF(H52&lt;199,VLOOKUP(H35,'DADOS-CADASTRAIS'!C5:O102,5,0)*1,0)</f>
        <v>0</v>
      </c>
      <c r="I63" s="429">
        <f>IF(I52&lt;199,VLOOKUP(I35,'DADOS-CADASTRAIS'!C5:O102,5,0)*1,0)</f>
        <v>0</v>
      </c>
      <c r="J63" s="389">
        <f>IF(J52&lt;199,VLOOKUP(J35,'DADOS-CADASTRAIS'!C5:O102,5,0)*1,0)</f>
        <v>0</v>
      </c>
      <c r="K63" s="389">
        <f>IF(K52&lt;199,VLOOKUP(K35,'DADOS-CADASTRAIS'!C5:O102,5,0)*1,0)</f>
        <v>0</v>
      </c>
      <c r="L63" s="389">
        <f>IF(L52&lt;199,VLOOKUP(L35,'DADOS-CADASTRAIS'!C5:O102,5,0)*1,0)</f>
        <v>0</v>
      </c>
      <c r="M63" s="389">
        <f>IF(M52&lt;199,VLOOKUP(M35,'DADOS-CADASTRAIS'!C5:O102,5,0)*1,0)</f>
        <v>0</v>
      </c>
      <c r="N63" s="389">
        <f>IF(N52&lt;199,VLOOKUP(N35,'DADOS-CADASTRAIS'!C5:O102,5,0)*1,0)</f>
        <v>0</v>
      </c>
      <c r="O63" s="366"/>
    </row>
    <row r="64" spans="1:15" ht="13.5" customHeight="1">
      <c r="A64" s="333"/>
      <c r="B64" s="435" t="s">
        <v>292</v>
      </c>
      <c r="C64" s="436">
        <f>IF(D52&gt;199,VLOOKUP(C35,'DADOS-CADASTRAIS'!C5:O102,12,0)*1,0)</f>
        <v>0</v>
      </c>
      <c r="D64" s="436">
        <f>VLOOKUP(D35,'DADOS-CADASTRAIS'!C5:R102,12,0)</f>
        <v>0</v>
      </c>
      <c r="E64" s="437">
        <f>VLOOKUP(E35,'DADOS-CADASTRAIS'!C5:O102,12,0)</f>
        <v>0</v>
      </c>
      <c r="F64" s="437">
        <f>VLOOKUP(F35,'DADOS-CADASTRAIS'!C5:O102,12,0)</f>
        <v>0</v>
      </c>
      <c r="G64" s="437">
        <f>VLOOKUP(G35,'DADOS-CADASTRAIS'!C5:O102,12,0)</f>
        <v>0</v>
      </c>
      <c r="H64" s="437">
        <f>VLOOKUP(H35,'DADOS-CADASTRAIS'!C5:O102,12,0)</f>
        <v>0</v>
      </c>
      <c r="I64" s="437">
        <f>VLOOKUP(I35,'DADOS-CADASTRAIS'!C5:O102,12,0)</f>
        <v>0</v>
      </c>
      <c r="J64" s="389"/>
      <c r="K64" s="389"/>
      <c r="L64" s="389"/>
      <c r="M64" s="389"/>
      <c r="N64" s="389"/>
      <c r="O64" s="366"/>
    </row>
    <row r="65" spans="1:15" ht="14.25" customHeight="1">
      <c r="A65" s="333"/>
      <c r="B65" s="438" t="s">
        <v>293</v>
      </c>
      <c r="C65" s="439">
        <f>ROUND(VLOOKUP($C$14,CAMPUS.CONTRATANTE!$D$10:$HD$21,14,0)*C66,2)*C67</f>
        <v>0</v>
      </c>
      <c r="D65" s="439">
        <f>ROUND(VLOOKUP($C$14,CAMPUS.CONTRATANTE!$D$10:$HD$21,31,0)*C66,2)*D67</f>
        <v>0</v>
      </c>
      <c r="E65" s="440">
        <f>ROUND(VLOOKUP($C$14,CAMPUS.CONTRATANTE!$D$10:$HD$21,48,0)*C66,2)*E67</f>
        <v>0</v>
      </c>
      <c r="F65" s="440">
        <f>ROUND(VLOOKUP($C$14,CAMPUS.CONTRATANTE!$D$10:$HD$21,65,0)*C66,2)</f>
        <v>0</v>
      </c>
      <c r="G65" s="440">
        <f>ROUND(VLOOKUP($C$14,CAMPUS.CONTRATANTE!$D$10:$HD$21,82,0)*C66,2)</f>
        <v>0</v>
      </c>
      <c r="H65" s="440">
        <f>ROUND(VLOOKUP($C$14,CAMPUS.CONTRATANTE!$D$10:$HD$21,99,0)*C66,2)</f>
        <v>0</v>
      </c>
      <c r="I65" s="440">
        <f>ROUND(VLOOKUP($C$14,CAMPUS.CONTRATANTE!$D$10:$HD$21,116,0)*C66,2)</f>
        <v>0</v>
      </c>
      <c r="J65" s="441">
        <f>ROUND(VLOOKUP($C$14,CAMPUS.CONTRATANTE!$D$10:$HD$21,133,0)*C66,2)</f>
        <v>0</v>
      </c>
      <c r="K65" s="441">
        <f>ROUND(VLOOKUP($C$14,CAMPUS.CONTRATANTE!$D$10:$HD$21,150,0)*C66,2)</f>
        <v>0</v>
      </c>
      <c r="L65" s="441">
        <f>ROUND(VLOOKUP($C$14,CAMPUS.CONTRATANTE!$D$10:$HD$21,167,0)*C66,2)</f>
        <v>0</v>
      </c>
      <c r="M65" s="441">
        <f>ROUND(VLOOKUP($C$14,CAMPUS.CONTRATANTE!$D$10:$HD$21,184,0)*C66,2)</f>
        <v>0</v>
      </c>
      <c r="N65" s="441">
        <f>ROUND(VLOOKUP($C$14,CAMPUS.CONTRATANTE!$D$10:$HD$21,202,0)*C66,2)</f>
        <v>0</v>
      </c>
      <c r="O65" s="366"/>
    </row>
    <row r="66" spans="1:15" ht="14.25" customHeight="1">
      <c r="A66" s="333"/>
      <c r="B66" s="402" t="s">
        <v>294</v>
      </c>
      <c r="C66" s="442">
        <v>0</v>
      </c>
      <c r="D66" s="442">
        <v>0</v>
      </c>
      <c r="E66" s="443">
        <f>IF(C14="SAO-VICENTE-DO-SUL",0,4)</f>
        <v>4</v>
      </c>
      <c r="F66" s="443">
        <v>0</v>
      </c>
      <c r="G66" s="443">
        <v>0</v>
      </c>
      <c r="H66" s="443">
        <v>0</v>
      </c>
      <c r="I66" s="443">
        <v>0</v>
      </c>
      <c r="J66" s="444">
        <v>0</v>
      </c>
      <c r="K66" s="444">
        <v>4</v>
      </c>
      <c r="L66" s="444">
        <v>0</v>
      </c>
      <c r="M66" s="444">
        <v>0</v>
      </c>
      <c r="N66" s="444">
        <v>0</v>
      </c>
      <c r="O66" s="366"/>
    </row>
    <row r="67" spans="1:15" ht="14.25" customHeight="1">
      <c r="A67" s="333"/>
      <c r="B67" s="445" t="s">
        <v>295</v>
      </c>
      <c r="C67" s="446">
        <f>ROUND(VLOOKUP($C$14,CAMPUS.CONTRATANTE!$D$10:$HD$21,19,0),2)</f>
        <v>0</v>
      </c>
      <c r="D67" s="446">
        <f>ROUND(VLOOKUP($C$14,CAMPUS.CONTRATANTE!$D$10:$HD$21,36,0),2)</f>
        <v>0</v>
      </c>
      <c r="E67" s="447">
        <f>ROUND(VLOOKUP($C$14,CAMPUS.CONTRATANTE!$D$10:$HD$21,53,0),2)</f>
        <v>1</v>
      </c>
      <c r="F67" s="447"/>
      <c r="G67" s="447"/>
      <c r="H67" s="447"/>
      <c r="I67" s="447"/>
      <c r="J67" s="444"/>
      <c r="K67" s="444"/>
      <c r="L67" s="444"/>
      <c r="M67" s="444"/>
      <c r="N67" s="444"/>
      <c r="O67" s="366"/>
    </row>
    <row r="68" spans="1:15" ht="15" customHeight="1">
      <c r="A68" s="333"/>
      <c r="B68" s="438" t="s">
        <v>296</v>
      </c>
      <c r="C68" s="448">
        <f>ROUND(VLOOKUP($C$14,CAMPUS.CONTRATANTE!$D$10:$HD$21,15,0)*C69,2)*C71</f>
        <v>0</v>
      </c>
      <c r="D68" s="448">
        <f>ROUND(VLOOKUP($C$14,CAMPUS.CONTRATANTE!$D$10:$HD$21,32,0)*C69,2)*D71</f>
        <v>0</v>
      </c>
      <c r="E68" s="449">
        <f>ROUND(VLOOKUP($C$14,CAMPUS.CONTRATANTE!$D$10:$HD$21,49,0)*C69,2)</f>
        <v>0</v>
      </c>
      <c r="F68" s="449">
        <f>ROUND(VLOOKUP($C$14,CAMPUS.CONTRATANTE!$D$10:$HD$21,66,0)*C69,2)</f>
        <v>0</v>
      </c>
      <c r="G68" s="449">
        <f>ROUND(VLOOKUP($C$14,CAMPUS.CONTRATANTE!$D$10:$HD$21,83,0)*C69,2)</f>
        <v>0</v>
      </c>
      <c r="H68" s="449">
        <f>ROUND(VLOOKUP($C$14,CAMPUS.CONTRATANTE!$D$10:$HD$21,100,0)*C69,2)</f>
        <v>0</v>
      </c>
      <c r="I68" s="449">
        <f>ROUND(VLOOKUP($C$14,CAMPUS.CONTRATANTE!$D$10:$HD$21,117,0)*C69,2)</f>
        <v>0</v>
      </c>
      <c r="J68" s="389">
        <f>ROUND(VLOOKUP($C$14,CAMPUS.CONTRATANTE!$D$10:$HD$21,134,0)*C69,2)</f>
        <v>0</v>
      </c>
      <c r="K68" s="389">
        <f>ROUND(VLOOKUP($C$14,CAMPUS.CONTRATANTE!$D$10:$HD$21,151,0)*C69,2)</f>
        <v>0</v>
      </c>
      <c r="L68" s="389">
        <f>ROUND(VLOOKUP($C$14,CAMPUS.CONTRATANTE!$D$10:$HD$21,168,0)*C69,2)</f>
        <v>0</v>
      </c>
      <c r="M68" s="389">
        <f>ROUND(VLOOKUP($C$14,CAMPUS.CONTRATANTE!$D$10:$HD$21,185,0)*C69,2)</f>
        <v>0</v>
      </c>
      <c r="N68" s="389">
        <f>ROUND(VLOOKUP($C$14,CAMPUS.CONTRATANTE!$D$10:$HD$21,202,0)*C69,2)</f>
        <v>0</v>
      </c>
      <c r="O68" s="366"/>
    </row>
    <row r="69" spans="1:15" ht="14.25" customHeight="1">
      <c r="A69" s="333"/>
      <c r="B69" s="450" t="s">
        <v>297</v>
      </c>
      <c r="C69" s="442">
        <v>0</v>
      </c>
      <c r="D69" s="442">
        <v>0</v>
      </c>
      <c r="E69" s="451">
        <f>IF(C14="SAO-VICENTE-DO-SUL",(4*52+8*12)/64,8)</f>
        <v>8</v>
      </c>
      <c r="F69" s="451">
        <v>0</v>
      </c>
      <c r="G69" s="451">
        <v>0</v>
      </c>
      <c r="H69" s="451">
        <v>0</v>
      </c>
      <c r="I69" s="451">
        <v>0</v>
      </c>
      <c r="J69" s="414">
        <v>0</v>
      </c>
      <c r="K69" s="414">
        <v>0</v>
      </c>
      <c r="L69" s="414">
        <v>0</v>
      </c>
      <c r="M69" s="414">
        <v>0</v>
      </c>
      <c r="N69" s="414">
        <v>0</v>
      </c>
      <c r="O69" s="366"/>
    </row>
    <row r="70" spans="1:15" ht="14.25" customHeight="1">
      <c r="A70" s="333"/>
      <c r="B70" s="452" t="s">
        <v>298</v>
      </c>
      <c r="C70" s="453" t="str">
        <f>VLOOKUP(C14,CAMPUS.CONTRATANTE!$D$10:$HD$21,5,0)</f>
        <v>N</v>
      </c>
      <c r="D70" s="453" t="str">
        <f>VLOOKUP(C14,CAMPUS.CONTRATANTE!$D$10:$HD$22,22,0)</f>
        <v>N</v>
      </c>
      <c r="E70" s="454" t="str">
        <f>VLOOKUP(C14,CAMPUS.CONTRATANTE!$D$10:$HD$22,39,0)</f>
        <v>N</v>
      </c>
      <c r="F70" s="454" t="str">
        <f>VLOOKUP(C14,CAMPUS.CONTRATANTE!$D$10:$HD$22,56,0)</f>
        <v>N</v>
      </c>
      <c r="G70" s="454" t="str">
        <f>VLOOKUP(C14,CAMPUS.CONTRATANTE!$D$10:$HD$22,73,0)</f>
        <v>S</v>
      </c>
      <c r="H70" s="454" t="str">
        <f>VLOOKUP(C14,CAMPUS.CONTRATANTE!$D$10:$HD$22,90,0)</f>
        <v>S</v>
      </c>
      <c r="I70" s="454" t="str">
        <f>VLOOKUP(C14,CAMPUS.CONTRATANTE!$D$10:$HD$22,107,0)</f>
        <v>S</v>
      </c>
      <c r="J70" s="389" t="str">
        <f>VLOOKUP(C14,CAMPUS.CONTRATANTE!$D$10:$HD$22,124,0)</f>
        <v>N</v>
      </c>
      <c r="K70" s="389" t="str">
        <f>VLOOKUP(C14,CAMPUS.CONTRATANTE!$D$10:$HD$22,141,0)</f>
        <v>N</v>
      </c>
      <c r="L70" s="389" t="str">
        <f>VLOOKUP(C14,CAMPUS.CONTRATANTE!$D$10:$HD$22,158,0)</f>
        <v>N</v>
      </c>
      <c r="M70" s="389" t="str">
        <f>VLOOKUP(C14,CAMPUS.CONTRATANTE!$D$10:$HD$22,175,0)</f>
        <v>N</v>
      </c>
      <c r="N70" s="389" t="str">
        <f>VLOOKUP(C14,CAMPUS.CONTRATANTE!$D$10:$HD$22,192,0)</f>
        <v>N</v>
      </c>
      <c r="O70" s="366"/>
    </row>
    <row r="71" spans="1:15" ht="13.5" customHeight="1">
      <c r="A71" s="333"/>
      <c r="B71" s="445" t="s">
        <v>299</v>
      </c>
      <c r="C71" s="446">
        <f>ROUND(VLOOKUP($C$14,CAMPUS.CONTRATANTE!$D$10:$HD$21,20,0),2)</f>
        <v>0</v>
      </c>
      <c r="D71" s="446">
        <f>ROUND(VLOOKUP($C$14,CAMPUS.CONTRATANTE!$D$10:$HD$21,37,0),2)</f>
        <v>0</v>
      </c>
      <c r="E71" s="447">
        <f>ROUND(VLOOKUP($C$14,CAMPUS.CONTRATANTE!$D$10:$HD$21,54,0),2)</f>
        <v>1</v>
      </c>
      <c r="F71" s="447"/>
      <c r="G71" s="447"/>
      <c r="H71" s="447"/>
      <c r="I71" s="447"/>
      <c r="J71" s="389"/>
      <c r="K71" s="389"/>
      <c r="L71" s="389"/>
      <c r="M71" s="389"/>
      <c r="N71" s="389"/>
      <c r="O71" s="366"/>
    </row>
    <row r="72" spans="1:15" ht="15" customHeight="1">
      <c r="A72" s="333"/>
      <c r="B72" s="455" t="s">
        <v>300</v>
      </c>
      <c r="C72" s="428">
        <f>VLOOKUP(C14,CAMPUS.CONTRATANTE!$D$10:$BE$21,2,0)</f>
        <v>0</v>
      </c>
      <c r="D72" s="428">
        <f t="shared" ref="D72:N72" si="9">C72</f>
        <v>0</v>
      </c>
      <c r="E72" s="429">
        <f t="shared" si="9"/>
        <v>0</v>
      </c>
      <c r="F72" s="429">
        <f t="shared" si="9"/>
        <v>0</v>
      </c>
      <c r="G72" s="429">
        <f t="shared" si="9"/>
        <v>0</v>
      </c>
      <c r="H72" s="429">
        <f t="shared" si="9"/>
        <v>0</v>
      </c>
      <c r="I72" s="429">
        <f t="shared" si="9"/>
        <v>0</v>
      </c>
      <c r="J72" s="456">
        <f t="shared" si="9"/>
        <v>0</v>
      </c>
      <c r="K72" s="456">
        <f t="shared" si="9"/>
        <v>0</v>
      </c>
      <c r="L72" s="456">
        <f t="shared" si="9"/>
        <v>0</v>
      </c>
      <c r="M72" s="456">
        <f t="shared" si="9"/>
        <v>0</v>
      </c>
      <c r="N72" s="456">
        <f t="shared" si="9"/>
        <v>0</v>
      </c>
      <c r="O72" s="366"/>
    </row>
    <row r="73" spans="1:15" ht="15" customHeight="1">
      <c r="A73" s="333"/>
      <c r="B73" s="402" t="s">
        <v>301</v>
      </c>
      <c r="C73" s="457">
        <v>2</v>
      </c>
      <c r="D73" s="457">
        <f t="shared" ref="D73:N73" si="10">C73</f>
        <v>2</v>
      </c>
      <c r="E73" s="432">
        <f t="shared" si="10"/>
        <v>2</v>
      </c>
      <c r="F73" s="432">
        <f t="shared" si="10"/>
        <v>2</v>
      </c>
      <c r="G73" s="432">
        <f t="shared" si="10"/>
        <v>2</v>
      </c>
      <c r="H73" s="432">
        <f t="shared" si="10"/>
        <v>2</v>
      </c>
      <c r="I73" s="432">
        <f t="shared" si="10"/>
        <v>2</v>
      </c>
      <c r="J73" s="414">
        <f t="shared" si="10"/>
        <v>2</v>
      </c>
      <c r="K73" s="414">
        <f t="shared" si="10"/>
        <v>2</v>
      </c>
      <c r="L73" s="414">
        <f t="shared" si="10"/>
        <v>2</v>
      </c>
      <c r="M73" s="414">
        <f t="shared" si="10"/>
        <v>2</v>
      </c>
      <c r="N73" s="414">
        <f t="shared" si="10"/>
        <v>2</v>
      </c>
      <c r="O73" s="366"/>
    </row>
    <row r="74" spans="1:15" ht="15" customHeight="1">
      <c r="A74" s="333"/>
      <c r="B74" s="402" t="s">
        <v>302</v>
      </c>
      <c r="C74" s="457">
        <f>VLOOKUP(C14,CAMPUS.CONTRATANTE!$D$10:$HD$22,16,0)</f>
        <v>0</v>
      </c>
      <c r="D74" s="457">
        <f>VLOOKUP(C14,CAMPUS.CONTRATANTE!$D$10:$HD$22,33,0)</f>
        <v>0</v>
      </c>
      <c r="E74" s="432">
        <f>VLOOKUP(C14,CAMPUS.CONTRATANTE!$D$10:$HD$22,50,0)</f>
        <v>25</v>
      </c>
      <c r="F74" s="432">
        <f>VLOOKUP(C14,CAMPUS.CONTRATANTE!$D$10:$HD$22,67,0)</f>
        <v>22</v>
      </c>
      <c r="G74" s="432">
        <f>VLOOKUP(C14,CAMPUS.CONTRATANTE!$D$10:$HD$22,84,0)</f>
        <v>22</v>
      </c>
      <c r="H74" s="432">
        <f>VLOOKUP(C14,CAMPUS.CONTRATANTE!$D$10:$HD$22,101,0)</f>
        <v>22</v>
      </c>
      <c r="I74" s="432">
        <f>VLOOKUP(C14,CAMPUS.CONTRATANTE!$D$10:$HD$22,118,0)</f>
        <v>22</v>
      </c>
      <c r="J74" s="414">
        <f>VLOOKUP(C14,CAMPUS.CONTRATANTE!$D$10:$HD$22,135,0)</f>
        <v>22</v>
      </c>
      <c r="K74" s="414">
        <f>VLOOKUP(C14,CAMPUS.CONTRATANTE!$D$10:$HD$22,152,0)</f>
        <v>22</v>
      </c>
      <c r="L74" s="414">
        <f>VLOOKUP(C14,CAMPUS.CONTRATANTE!$D$10:$HD$22,169,0)</f>
        <v>9</v>
      </c>
      <c r="M74" s="414">
        <f>VLOOKUP(C14,CAMPUS.CONTRATANTE!$D$10:$HD$22,186,0)</f>
        <v>0</v>
      </c>
      <c r="N74" s="414">
        <f>VLOOKUP(C14,CAMPUS.CONTRATANTE!$D$10:$HD$22,203,0)</f>
        <v>0</v>
      </c>
      <c r="O74" s="366"/>
    </row>
    <row r="75" spans="1:15" ht="16.5" customHeight="1">
      <c r="A75" s="333"/>
      <c r="B75" s="402" t="s">
        <v>303</v>
      </c>
      <c r="C75" s="388">
        <f>VLOOKUP(C35,'DADOS-CADASTRAIS'!C6:O60,7,0)</f>
        <v>0</v>
      </c>
      <c r="D75" s="388">
        <f>VLOOKUP(D35,'DADOS-CADASTRAIS'!C6:O60,7,0)</f>
        <v>0</v>
      </c>
      <c r="E75" s="458">
        <f>VLOOKUP(E35,'DADOS-CADASTRAIS'!C6:O60,7,0)</f>
        <v>0.06</v>
      </c>
      <c r="F75" s="458">
        <f>VLOOKUP(E35,'DADOS-CADASTRAIS'!C6:O60,7,0)</f>
        <v>0.06</v>
      </c>
      <c r="G75" s="458">
        <f>VLOOKUP(G35,'DADOS-CADASTRAIS'!C6:O60,7,0)</f>
        <v>0.06</v>
      </c>
      <c r="H75" s="458">
        <f>VLOOKUP(H35,'DADOS-CADASTRAIS'!C6:O60,7,0)</f>
        <v>0.06</v>
      </c>
      <c r="I75" s="458">
        <f>VLOOKUP(I35,'DADOS-CADASTRAIS'!C6:O60,7,0)</f>
        <v>0.06</v>
      </c>
      <c r="J75" s="383">
        <f>VLOOKUP(J35,'DADOS-CADASTRAIS'!C6:O60,7,0)</f>
        <v>0.06</v>
      </c>
      <c r="K75" s="383">
        <f>VLOOKUP(K35,'DADOS-CADASTRAIS'!C6:O60,7,0)</f>
        <v>0.06</v>
      </c>
      <c r="L75" s="383">
        <f>VLOOKUP(L35,'DADOS-CADASTRAIS'!C6:O60,7,0)</f>
        <v>0.06</v>
      </c>
      <c r="M75" s="383">
        <f>VLOOKUP(L35,'DADOS-CADASTRAIS'!C6:O60,7,0)</f>
        <v>0.06</v>
      </c>
      <c r="N75" s="383">
        <f>VLOOKUP(L35,'DADOS-CADASTRAIS'!C6:O60,7,0)</f>
        <v>0.06</v>
      </c>
      <c r="O75" s="366"/>
    </row>
    <row r="76" spans="1:15" ht="14.25" customHeight="1">
      <c r="A76" s="333"/>
      <c r="B76" s="402" t="s">
        <v>304</v>
      </c>
      <c r="C76" s="428">
        <f>VLOOKUP(C35,'DADOS-CADASTRAIS'!C6:O60,9,0)</f>
        <v>0</v>
      </c>
      <c r="D76" s="428">
        <f>VLOOKUP(D35,'DADOS-CADASTRAIS'!C6:O60,9,0)</f>
        <v>0</v>
      </c>
      <c r="E76" s="429">
        <f>VLOOKUP(E35,'DADOS-CADASTRAIS'!C6:O60,9,0)</f>
        <v>0</v>
      </c>
      <c r="F76" s="429">
        <f>VLOOKUP(F35,'DADOS-CADASTRAIS'!C6:O60,9,0)</f>
        <v>17.32</v>
      </c>
      <c r="G76" s="429">
        <f>VLOOKUP(H35,'DADOS-CADASTRAIS'!C6:O60,9,0)</f>
        <v>17.32</v>
      </c>
      <c r="H76" s="429">
        <f>VLOOKUP(H35,'DADOS-CADASTRAIS'!C6:O60,9,0)</f>
        <v>17.32</v>
      </c>
      <c r="I76" s="429">
        <f>VLOOKUP(I35,'DADOS-CADASTRAIS'!C6:O60,9,0)</f>
        <v>17.32</v>
      </c>
      <c r="J76" s="389">
        <f>VLOOKUP(J35,'DADOS-CADASTRAIS'!C6:O60,9,0)</f>
        <v>0</v>
      </c>
      <c r="K76" s="389">
        <f>VLOOKUP(K35,'DADOS-CADASTRAIS'!C6:O60,9,0)</f>
        <v>0</v>
      </c>
      <c r="L76" s="389">
        <f>VLOOKUP(L35,'DADOS-CADASTRAIS'!C6:O60,9,0)</f>
        <v>0</v>
      </c>
      <c r="M76" s="389">
        <f>VLOOKUP(L35,'DADOS-CADASTRAIS'!C6:O60,7,0)</f>
        <v>0.06</v>
      </c>
      <c r="N76" s="389">
        <f>VLOOKUP(L35,'DADOS-CADASTRAIS'!C6:O60,7,0)</f>
        <v>0.06</v>
      </c>
      <c r="O76" s="366"/>
    </row>
    <row r="77" spans="1:15" ht="14.25" customHeight="1">
      <c r="A77" s="333"/>
      <c r="B77" s="402" t="s">
        <v>305</v>
      </c>
      <c r="C77" s="428">
        <f>IF(VLOOKUP(C35,'DADOS-CADASTRAIS'!C5:R60,10,0)="S",'2614-25_INTERP.LIBRAS_30hs'!J58*26*0.00023,0)</f>
        <v>0</v>
      </c>
      <c r="D77" s="428">
        <f>IF(VLOOKUP(D35,'DADOS-CADASTRAIS'!C5:R60,10,0)="S",'2614-25_INTERP.LIBRAS_20hs'!J58*26*0.00023,0)</f>
        <v>0</v>
      </c>
      <c r="E77" s="429">
        <f>IF(VLOOKUP(E35,'DADOS-CADASTRAIS'!C5:R60,10,0)="S",'A NÃO TEM MAIS POSTOS-00'!J58*26*0.00023,0)</f>
        <v>0</v>
      </c>
      <c r="F77" s="429">
        <f>IF(VLOOKUP(F35,'DADOS-CADASTRAIS'!C5:R60,10,0)="S",'A NÃO TEM MAIS POSTOS-11'!J58*26*0.00023,0)</f>
        <v>0</v>
      </c>
      <c r="G77" s="429">
        <f>IF(VLOOKUP(G35,'DADOS-CADASTRAIS'!C5:R60,10,0)="S",'A NÃO TEM MAIS POSTOS-22'!J58*26*0.00023,0)</f>
        <v>0</v>
      </c>
      <c r="H77" s="429">
        <f>IF(VLOOKUP(H35,'DADOS-CADASTRAIS'!C5:R60,10,0)="S",'A NÃO TEM MAIS POSTOS-33'!J58*26*0.00023,0)</f>
        <v>0</v>
      </c>
      <c r="I77" s="429">
        <f>IF(VLOOKUP(I35,'DADOS-CADASTRAIS'!C5:R60,10,0)="S",'A NÃO TEM MAIS POSTOS-44'!J58*26*0.00023,0)</f>
        <v>0</v>
      </c>
      <c r="J77" s="389">
        <f>VLOOKUP(J35,'DADOS-CADASTRAIS'!C5:L18,10,0)</f>
        <v>0</v>
      </c>
      <c r="K77" s="389">
        <f>VLOOKUP(K35,'DADOS-CADASTRAIS'!C5:L18,10,0)</f>
        <v>0</v>
      </c>
      <c r="L77" s="389">
        <f>VLOOKUP(L35,'DADOS-CADASTRAIS'!C5:L18,10,0)</f>
        <v>0</v>
      </c>
      <c r="M77" s="389">
        <f>VLOOKUP(L35,'DADOS-CADASTRAIS'!C6:O60,7,0)</f>
        <v>0.06</v>
      </c>
      <c r="N77" s="389">
        <f>VLOOKUP(L35,'DADOS-CADASTRAIS'!C6:O60,7,0)</f>
        <v>0.06</v>
      </c>
      <c r="O77" s="366"/>
    </row>
    <row r="78" spans="1:15" ht="18" customHeight="1">
      <c r="A78" s="333"/>
      <c r="B78" s="358" t="s">
        <v>306</v>
      </c>
      <c r="C78" s="428">
        <f>IF(VLOOKUP(C35,'DADOS-CADASTRAIS'!C5:R60,10,0)="S",('2614-25_INTERP.LIBRAS_30hs'!J47*0.0052066)/12,2)*0</f>
        <v>0</v>
      </c>
      <c r="D78" s="428">
        <f>IF(VLOOKUP(C35,'DADOS-CADASTRAIS'!C5:O60,11,0)="S",('2614-25_INTERP.LIBRAS_20hs'!J47*0.0052066)/12,2)*0</f>
        <v>0</v>
      </c>
      <c r="E78" s="429">
        <f>IF(VLOOKUP(C35,'DADOS-CADASTRAIS'!C5:O60,10,0)="S",'2614-25_INTERP.LIBRAS_20hs'!J58*26*0.00023,0)*0</f>
        <v>0</v>
      </c>
      <c r="F78" s="429">
        <f>IF(VLOOKUP(D35,'DADOS-CADASTRAIS'!C5:R60,10,0)="S",'2614-25_INTERP.LIBRAS_20hs'!K58*26*0.00023,0)*0</f>
        <v>0</v>
      </c>
      <c r="G78" s="429">
        <f>IF(VLOOKUP(E35,'DADOS-CADASTRAIS'!C5:S60,10,0)="S",'2614-25_INTERP.LIBRAS_20hs'!L58*26*0.00023,0)*0</f>
        <v>0</v>
      </c>
      <c r="H78" s="429">
        <f>IF(VLOOKUP(E35,'DADOS-CADASTRAIS'!C5:R60,10,0)="S",'2614-25_INTERP.LIBRAS_20hs'!L58*26*0.00023,0)</f>
        <v>0</v>
      </c>
      <c r="I78" s="429">
        <f>IF(VLOOKUP(E35,'DADOS-CADASTRAIS'!C5:R60,10,0)="S",'2614-25_INTERP.LIBRAS_20hs'!L58*26*0.00023,0)</f>
        <v>0</v>
      </c>
      <c r="J78" s="389">
        <f>VLOOKUP(J35,'DADOS-CADASTRAIS'!C6:M19,11,0)</f>
        <v>0</v>
      </c>
      <c r="K78" s="389">
        <f>VLOOKUP(K35,'DADOS-CADASTRAIS'!C6:M19,11,0)</f>
        <v>0</v>
      </c>
      <c r="L78" s="389">
        <f>VLOOKUP(L35,'DADOS-CADASTRAIS'!C6:M19,11,0)</f>
        <v>0</v>
      </c>
      <c r="M78" s="389">
        <f>VLOOKUP(L35,'DADOS-CADASTRAIS'!C6:O60,7,0)</f>
        <v>0.06</v>
      </c>
      <c r="N78" s="389">
        <f>VLOOKUP(L35,'DADOS-CADASTRAIS'!C6:O60,7,0)</f>
        <v>0.06</v>
      </c>
      <c r="O78" s="366"/>
    </row>
    <row r="79" spans="1:15" ht="18" customHeight="1">
      <c r="A79" s="333"/>
      <c r="B79" s="459" t="s">
        <v>307</v>
      </c>
      <c r="C79" s="428">
        <f>VLOOKUP(C35,'DADOS-CADASTRAIS'!C5:R60,13,0)</f>
        <v>0</v>
      </c>
      <c r="D79" s="428">
        <f>VLOOKUP(D35,'DADOS-CADASTRAIS'!C5:R60,13,0)</f>
        <v>0</v>
      </c>
      <c r="E79" s="429">
        <f>VLOOKUP(E35,'DADOS-CADASTRAIS'!C5:R60,13,0)</f>
        <v>0</v>
      </c>
      <c r="F79" s="429">
        <f>VLOOKUP(F35,'DADOS-CADASTRAIS'!C5:R60,13,0)</f>
        <v>0</v>
      </c>
      <c r="G79" s="429">
        <f>VLOOKUP(G35,'DADOS-CADASTRAIS'!C5:R60,13,0)</f>
        <v>0</v>
      </c>
      <c r="H79" s="429">
        <f>VLOOKUP(H35,'DADOS-CADASTRAIS'!C5:R60,13,0)</f>
        <v>0</v>
      </c>
      <c r="I79" s="429">
        <f>VLOOKUP(I35,'DADOS-CADASTRAIS'!C5:R60,13,0)</f>
        <v>0</v>
      </c>
      <c r="J79" s="396"/>
      <c r="K79" s="396"/>
      <c r="L79" s="396"/>
      <c r="M79" s="396"/>
      <c r="N79" s="396"/>
      <c r="O79" s="366"/>
    </row>
    <row r="80" spans="1:15" ht="18" customHeight="1">
      <c r="A80" s="333"/>
      <c r="B80" s="460" t="s">
        <v>308</v>
      </c>
      <c r="C80" s="428"/>
      <c r="D80" s="461"/>
      <c r="E80" s="429"/>
      <c r="F80" s="429"/>
      <c r="G80" s="429">
        <f>VLOOKUP(G35,'DADOS-CADASTRAIS'!C6:R60,14,0)</f>
        <v>0</v>
      </c>
      <c r="H80" s="429"/>
      <c r="I80" s="429"/>
      <c r="J80" s="398"/>
      <c r="K80" s="398"/>
      <c r="L80" s="398"/>
      <c r="M80" s="398"/>
      <c r="N80" s="398"/>
      <c r="O80" s="366"/>
    </row>
    <row r="81" spans="1:15" ht="46.5" customHeight="1">
      <c r="A81" s="333"/>
      <c r="B81" s="462" t="s">
        <v>309</v>
      </c>
      <c r="C81" s="463" t="s">
        <v>129</v>
      </c>
      <c r="D81" s="463" t="s">
        <v>129</v>
      </c>
      <c r="E81" s="464"/>
      <c r="F81" s="464"/>
      <c r="G81" s="464"/>
      <c r="H81" s="464"/>
      <c r="I81" s="464"/>
      <c r="J81" s="290"/>
      <c r="K81" s="290"/>
      <c r="L81" s="290"/>
      <c r="M81" s="290"/>
      <c r="N81" s="290"/>
      <c r="O81" s="366"/>
    </row>
    <row r="82" spans="1:15" ht="12.75" customHeight="1">
      <c r="A82" s="333"/>
      <c r="B82" s="1014" t="s">
        <v>310</v>
      </c>
      <c r="C82" s="1015"/>
      <c r="D82" s="1015"/>
      <c r="E82" s="397"/>
      <c r="F82" s="397"/>
      <c r="G82" s="397"/>
      <c r="H82" s="397"/>
      <c r="I82" s="397"/>
      <c r="J82" s="398"/>
      <c r="K82" s="398"/>
      <c r="L82" s="398"/>
      <c r="M82" s="398"/>
      <c r="N82" s="398"/>
      <c r="O82" s="366"/>
    </row>
    <row r="83" spans="1:15" ht="15.75" customHeight="1">
      <c r="A83" s="333"/>
      <c r="B83" s="1009" t="str">
        <f>C11</f>
        <v xml:space="preserve"> S E R V I Ç O S     -    INTERPRETE DE LIBRAS e SINAIS </v>
      </c>
      <c r="C83" s="947"/>
      <c r="D83" s="947"/>
      <c r="E83" s="282"/>
      <c r="F83" s="282"/>
      <c r="G83" s="282"/>
      <c r="H83" s="282"/>
      <c r="I83" s="282"/>
      <c r="J83" s="290"/>
      <c r="K83" s="290"/>
      <c r="L83" s="290"/>
      <c r="M83" s="290"/>
      <c r="N83" s="290"/>
      <c r="O83" s="366"/>
    </row>
    <row r="84" spans="1:15" ht="24" customHeight="1">
      <c r="A84" s="333"/>
      <c r="B84" s="333"/>
      <c r="C84" s="399" t="str">
        <f t="shared" ref="C84:N84" si="11">C56</f>
        <v>2614-25_INTERP.LIBRAS_30hs</v>
      </c>
      <c r="D84" s="399" t="str">
        <f t="shared" si="11"/>
        <v>2614-25_INTERP.LIBRAS_20hs</v>
      </c>
      <c r="E84" s="400" t="str">
        <f t="shared" si="11"/>
        <v>A NÃO TEM MAIS POSTOS-00</v>
      </c>
      <c r="F84" s="400" t="str">
        <f t="shared" si="11"/>
        <v>A NÃO TEM MAIS POSTOS-11</v>
      </c>
      <c r="G84" s="400" t="str">
        <f t="shared" si="11"/>
        <v>A NÃO TEM MAIS POSTOS-22</v>
      </c>
      <c r="H84" s="400" t="str">
        <f t="shared" si="11"/>
        <v>A NÃO TEM MAIS POSTOS-33</v>
      </c>
      <c r="I84" s="400" t="str">
        <f t="shared" si="11"/>
        <v>A NÃO TEM MAIS POSTOS-44</v>
      </c>
      <c r="J84" s="401" t="str">
        <f t="shared" si="11"/>
        <v>A NÃO TEM MAIS POSTOS-55</v>
      </c>
      <c r="K84" s="401" t="str">
        <f t="shared" si="11"/>
        <v>A NÃO TEM MAIS POSTOS-66</v>
      </c>
      <c r="L84" s="401" t="str">
        <f t="shared" si="11"/>
        <v>A NÃO TEM MAIS POSTOS-77</v>
      </c>
      <c r="M84" s="401" t="str">
        <f t="shared" si="11"/>
        <v>A NÃO TEM MAIS POSTOS-88</v>
      </c>
      <c r="N84" s="401" t="str">
        <f t="shared" si="11"/>
        <v>A NÃO TEM MAIS POSTOS-99</v>
      </c>
      <c r="O84" s="366"/>
    </row>
    <row r="85" spans="1:15" ht="15" customHeight="1">
      <c r="A85" s="333"/>
      <c r="B85" s="358" t="s">
        <v>311</v>
      </c>
      <c r="C85" s="465">
        <v>0.06</v>
      </c>
      <c r="D85" s="465">
        <v>0.06</v>
      </c>
      <c r="E85" s="466">
        <v>0.06</v>
      </c>
      <c r="F85" s="466">
        <v>0.06</v>
      </c>
      <c r="G85" s="466">
        <v>0.06</v>
      </c>
      <c r="H85" s="466">
        <v>0.06</v>
      </c>
      <c r="I85" s="466">
        <v>0.06</v>
      </c>
      <c r="J85" s="380">
        <v>0.06</v>
      </c>
      <c r="K85" s="380">
        <v>0.06</v>
      </c>
      <c r="L85" s="380">
        <v>0.06</v>
      </c>
      <c r="M85" s="380">
        <v>0.06</v>
      </c>
      <c r="N85" s="380">
        <v>0.06</v>
      </c>
      <c r="O85" s="366"/>
    </row>
    <row r="86" spans="1:15" ht="15" customHeight="1">
      <c r="A86" s="333"/>
      <c r="B86" s="358" t="s">
        <v>312</v>
      </c>
      <c r="C86" s="467">
        <v>0.06</v>
      </c>
      <c r="D86" s="467">
        <v>0.06</v>
      </c>
      <c r="E86" s="468">
        <v>0.06</v>
      </c>
      <c r="F86" s="468">
        <v>0.06</v>
      </c>
      <c r="G86" s="468">
        <v>0.06</v>
      </c>
      <c r="H86" s="468">
        <v>0.06</v>
      </c>
      <c r="I86" s="468">
        <v>0.06</v>
      </c>
      <c r="J86" s="380">
        <v>0.06</v>
      </c>
      <c r="K86" s="380">
        <v>0.06</v>
      </c>
      <c r="L86" s="380">
        <v>0.06</v>
      </c>
      <c r="M86" s="380">
        <v>0.06</v>
      </c>
      <c r="N86" s="380">
        <v>0.06</v>
      </c>
      <c r="O86" s="366"/>
    </row>
    <row r="87" spans="1:15" ht="15" customHeight="1">
      <c r="A87" s="333"/>
      <c r="B87" s="358" t="s">
        <v>313</v>
      </c>
      <c r="C87" s="469">
        <f>VLOOKUP(C14,CAMPUS.CONTRATANTE!$D$10:$BE$21,3,0)/100</f>
        <v>0.03</v>
      </c>
      <c r="D87" s="469">
        <f t="shared" ref="D87:N87" si="12">C87</f>
        <v>0.03</v>
      </c>
      <c r="E87" s="470">
        <f t="shared" si="12"/>
        <v>0.03</v>
      </c>
      <c r="F87" s="470">
        <f t="shared" si="12"/>
        <v>0.03</v>
      </c>
      <c r="G87" s="470">
        <f t="shared" si="12"/>
        <v>0.03</v>
      </c>
      <c r="H87" s="470">
        <f t="shared" si="12"/>
        <v>0.03</v>
      </c>
      <c r="I87" s="470">
        <f t="shared" si="12"/>
        <v>0.03</v>
      </c>
      <c r="J87" s="380">
        <f t="shared" si="12"/>
        <v>0.03</v>
      </c>
      <c r="K87" s="380">
        <f t="shared" si="12"/>
        <v>0.03</v>
      </c>
      <c r="L87" s="380">
        <f t="shared" si="12"/>
        <v>0.03</v>
      </c>
      <c r="M87" s="380">
        <f t="shared" si="12"/>
        <v>0.03</v>
      </c>
      <c r="N87" s="380">
        <f t="shared" si="12"/>
        <v>0.03</v>
      </c>
      <c r="O87" s="366"/>
    </row>
    <row r="88" spans="1:15" ht="12.75" customHeight="1">
      <c r="A88" s="333"/>
      <c r="B88" s="358"/>
      <c r="C88" s="333"/>
      <c r="D88" s="333"/>
      <c r="E88" s="471"/>
      <c r="F88" s="471"/>
      <c r="G88" s="471"/>
      <c r="H88" s="471"/>
      <c r="I88" s="471"/>
      <c r="J88" s="398"/>
      <c r="K88" s="398"/>
      <c r="L88" s="398"/>
      <c r="M88" s="398"/>
      <c r="N88" s="398"/>
      <c r="O88" s="366"/>
    </row>
    <row r="89" spans="1:15" ht="12.75" customHeight="1">
      <c r="A89" s="333"/>
      <c r="B89" s="1010" t="s">
        <v>314</v>
      </c>
      <c r="C89" s="960"/>
      <c r="D89" s="960"/>
      <c r="E89" s="397"/>
      <c r="F89" s="397"/>
      <c r="G89" s="397"/>
      <c r="H89" s="397"/>
      <c r="I89" s="397"/>
      <c r="J89" s="472"/>
      <c r="K89" s="472"/>
      <c r="L89" s="472"/>
      <c r="M89" s="472"/>
      <c r="N89" s="472"/>
      <c r="O89" s="366"/>
    </row>
    <row r="90" spans="1:15" ht="12.75" customHeight="1">
      <c r="A90" s="333"/>
      <c r="B90" s="333"/>
      <c r="C90" s="333"/>
      <c r="D90" s="333"/>
      <c r="E90" s="333"/>
      <c r="F90" s="333"/>
      <c r="G90" s="333"/>
      <c r="H90" s="333"/>
      <c r="I90" s="333"/>
      <c r="J90" s="398"/>
      <c r="K90" s="398"/>
      <c r="L90" s="398"/>
      <c r="M90" s="398"/>
      <c r="N90" s="398"/>
      <c r="O90" s="366"/>
    </row>
    <row r="91" spans="1:15" ht="24" customHeight="1">
      <c r="A91" s="333"/>
      <c r="B91" s="333"/>
      <c r="C91" s="399" t="str">
        <f t="shared" ref="C91:N91" si="13">C84</f>
        <v>2614-25_INTERP.LIBRAS_30hs</v>
      </c>
      <c r="D91" s="399" t="str">
        <f t="shared" si="13"/>
        <v>2614-25_INTERP.LIBRAS_20hs</v>
      </c>
      <c r="E91" s="400" t="str">
        <f t="shared" si="13"/>
        <v>A NÃO TEM MAIS POSTOS-00</v>
      </c>
      <c r="F91" s="400" t="str">
        <f t="shared" si="13"/>
        <v>A NÃO TEM MAIS POSTOS-11</v>
      </c>
      <c r="G91" s="400" t="str">
        <f t="shared" si="13"/>
        <v>A NÃO TEM MAIS POSTOS-22</v>
      </c>
      <c r="H91" s="400" t="str">
        <f t="shared" si="13"/>
        <v>A NÃO TEM MAIS POSTOS-33</v>
      </c>
      <c r="I91" s="400" t="str">
        <f t="shared" si="13"/>
        <v>A NÃO TEM MAIS POSTOS-44</v>
      </c>
      <c r="J91" s="401" t="str">
        <f t="shared" si="13"/>
        <v>A NÃO TEM MAIS POSTOS-55</v>
      </c>
      <c r="K91" s="401" t="str">
        <f t="shared" si="13"/>
        <v>A NÃO TEM MAIS POSTOS-66</v>
      </c>
      <c r="L91" s="401" t="str">
        <f t="shared" si="13"/>
        <v>A NÃO TEM MAIS POSTOS-77</v>
      </c>
      <c r="M91" s="401" t="str">
        <f t="shared" si="13"/>
        <v>A NÃO TEM MAIS POSTOS-88</v>
      </c>
      <c r="N91" s="401" t="str">
        <f t="shared" si="13"/>
        <v>A NÃO TEM MAIS POSTOS-99</v>
      </c>
      <c r="O91" s="366"/>
    </row>
    <row r="92" spans="1:15" ht="16.5" customHeight="1">
      <c r="A92" s="333"/>
      <c r="B92" s="358" t="s">
        <v>315</v>
      </c>
      <c r="C92" s="473">
        <f>VLOOKUP(C14,CAMPUS.CONTRATANTE!$D$10:$HC$21,4,0)</f>
        <v>2</v>
      </c>
      <c r="D92" s="473">
        <f>VLOOKUP(C14,CAMPUS.CONTRATANTE!$D$10:$HC$21,21,0)</f>
        <v>0</v>
      </c>
      <c r="E92" s="474">
        <f>VLOOKUP(C14,CAMPUS.CONTRATANTE!$D$10:$HC$21,38,0)</f>
        <v>0</v>
      </c>
      <c r="F92" s="474">
        <f>VLOOKUP(C14,CAMPUS.CONTRATANTE!$D$10:$HC$21,55,0)</f>
        <v>0</v>
      </c>
      <c r="G92" s="474">
        <f>VLOOKUP(C14,CAMPUS.CONTRATANTE!$D$10:$HC$21,72,0)</f>
        <v>0</v>
      </c>
      <c r="H92" s="474">
        <f>VLOOKUP(C14,CAMPUS.CONTRATANTE!$D$10:$HC$21,89,0)</f>
        <v>0</v>
      </c>
      <c r="I92" s="474">
        <f>VLOOKUP(C14,CAMPUS.CONTRATANTE!$D$10:$HC$21,106,0)</f>
        <v>0</v>
      </c>
      <c r="J92" s="475">
        <f>VLOOKUP(C14,CAMPUS.CONTRATANTE!$D$10:$HC$21,123,0)</f>
        <v>0</v>
      </c>
      <c r="K92" s="475">
        <f>VLOOKUP(C14,CAMPUS.CONTRATANTE!$D$10:$HC$21,140,0)</f>
        <v>0</v>
      </c>
      <c r="L92" s="475">
        <f>VLOOKUP(C14,CAMPUS.CONTRATANTE!$D$10:$HC$21,157,0)</f>
        <v>0</v>
      </c>
      <c r="M92" s="475">
        <f>VLOOKUP(C14,CAMPUS.CONTRATANTE!$D$10:$HC$21,174,0)</f>
        <v>0</v>
      </c>
      <c r="N92" s="475">
        <f>VLOOKUP(C14,CAMPUS.CONTRATANTE!$D$10:$HC$21,191,0)</f>
        <v>0</v>
      </c>
      <c r="O92" s="366"/>
    </row>
    <row r="93" spans="1:15" ht="22.5" customHeight="1">
      <c r="A93" s="333"/>
      <c r="B93" s="358" t="s">
        <v>316</v>
      </c>
      <c r="C93" s="476">
        <v>1</v>
      </c>
      <c r="D93" s="476">
        <v>1</v>
      </c>
      <c r="E93" s="477">
        <v>1</v>
      </c>
      <c r="F93" s="477">
        <v>1</v>
      </c>
      <c r="G93" s="477">
        <v>1</v>
      </c>
      <c r="H93" s="477">
        <v>1</v>
      </c>
      <c r="I93" s="477">
        <v>1</v>
      </c>
      <c r="J93" s="478">
        <v>1</v>
      </c>
      <c r="K93" s="478">
        <v>1</v>
      </c>
      <c r="L93" s="478">
        <v>1</v>
      </c>
      <c r="M93" s="478">
        <v>1</v>
      </c>
      <c r="N93" s="478">
        <v>1</v>
      </c>
      <c r="O93" s="366"/>
    </row>
    <row r="94" spans="1:15" ht="16.5" customHeight="1">
      <c r="A94" s="333"/>
      <c r="B94" s="479" t="s">
        <v>317</v>
      </c>
      <c r="C94" s="480">
        <v>30</v>
      </c>
      <c r="D94" s="480">
        <v>30</v>
      </c>
      <c r="E94" s="477">
        <v>30</v>
      </c>
      <c r="F94" s="477">
        <v>30</v>
      </c>
      <c r="G94" s="477">
        <v>30</v>
      </c>
      <c r="H94" s="477">
        <v>30</v>
      </c>
      <c r="I94" s="477">
        <v>30</v>
      </c>
      <c r="J94" s="478">
        <f t="shared" ref="J94:N94" si="14">I94</f>
        <v>30</v>
      </c>
      <c r="K94" s="478">
        <f t="shared" si="14"/>
        <v>30</v>
      </c>
      <c r="L94" s="478">
        <f t="shared" si="14"/>
        <v>30</v>
      </c>
      <c r="M94" s="478">
        <f t="shared" si="14"/>
        <v>30</v>
      </c>
      <c r="N94" s="478">
        <f t="shared" si="14"/>
        <v>30</v>
      </c>
      <c r="O94" s="366"/>
    </row>
    <row r="95" spans="1:15" ht="12.75" customHeight="1">
      <c r="A95" s="333"/>
      <c r="B95" s="333"/>
      <c r="C95" s="333"/>
      <c r="D95" s="333"/>
      <c r="E95" s="333"/>
      <c r="F95" s="366"/>
      <c r="G95" s="366"/>
      <c r="H95" s="366"/>
      <c r="I95" s="366"/>
      <c r="J95" s="366"/>
      <c r="K95" s="366"/>
      <c r="L95" s="366"/>
      <c r="M95" s="366"/>
      <c r="N95" s="366"/>
      <c r="O95" s="366"/>
    </row>
    <row r="96" spans="1:15" ht="12.75" customHeight="1">
      <c r="A96" s="333"/>
      <c r="B96" s="333"/>
      <c r="C96" s="333"/>
      <c r="D96" s="333"/>
      <c r="E96" s="333"/>
      <c r="F96" s="366"/>
      <c r="G96" s="366"/>
      <c r="H96" s="366"/>
      <c r="I96" s="366"/>
      <c r="J96" s="366"/>
      <c r="K96" s="366"/>
      <c r="L96" s="366"/>
      <c r="M96" s="366"/>
      <c r="N96" s="366"/>
      <c r="O96" s="366"/>
    </row>
    <row r="97" spans="1:15" ht="12.75" customHeight="1">
      <c r="A97" s="333"/>
      <c r="B97" s="333"/>
      <c r="C97" s="333"/>
      <c r="D97" s="333"/>
      <c r="E97" s="333"/>
      <c r="F97" s="366"/>
      <c r="G97" s="366"/>
      <c r="H97" s="366"/>
      <c r="I97" s="366"/>
      <c r="J97" s="366"/>
      <c r="K97" s="366"/>
      <c r="L97" s="366"/>
      <c r="M97" s="366"/>
      <c r="N97" s="366"/>
      <c r="O97" s="366"/>
    </row>
    <row r="98" spans="1:15" ht="12.75" customHeight="1">
      <c r="A98" s="333"/>
      <c r="B98" s="333"/>
      <c r="C98" s="333"/>
      <c r="D98" s="333"/>
      <c r="E98" s="333"/>
      <c r="F98" s="366"/>
      <c r="G98" s="366"/>
      <c r="H98" s="366"/>
      <c r="I98" s="366"/>
      <c r="J98" s="366"/>
      <c r="K98" s="366"/>
      <c r="L98" s="366"/>
      <c r="M98" s="366"/>
      <c r="N98" s="366"/>
      <c r="O98" s="366"/>
    </row>
    <row r="99" spans="1:15" ht="12.75" customHeight="1">
      <c r="A99" s="333"/>
      <c r="B99" s="333"/>
      <c r="C99" s="333"/>
      <c r="D99" s="333"/>
      <c r="E99" s="333"/>
      <c r="F99" s="366"/>
      <c r="G99" s="366"/>
      <c r="H99" s="366"/>
      <c r="I99" s="366"/>
      <c r="J99" s="366"/>
      <c r="K99" s="366"/>
      <c r="L99" s="366"/>
      <c r="M99" s="366"/>
      <c r="N99" s="366"/>
      <c r="O99" s="366"/>
    </row>
    <row r="100" spans="1:15" ht="12.75" customHeight="1">
      <c r="A100" s="333"/>
      <c r="B100" s="333"/>
      <c r="C100" s="333"/>
      <c r="D100" s="333"/>
      <c r="E100" s="333"/>
      <c r="F100" s="366"/>
      <c r="G100" s="366"/>
      <c r="H100" s="366"/>
      <c r="I100" s="366"/>
      <c r="J100" s="366"/>
      <c r="K100" s="366"/>
      <c r="L100" s="366"/>
      <c r="M100" s="366"/>
      <c r="N100" s="366"/>
      <c r="O100" s="366"/>
    </row>
    <row r="101" spans="1:15" ht="12.75" customHeight="1">
      <c r="A101" s="333"/>
      <c r="B101" s="333"/>
      <c r="C101" s="333"/>
      <c r="D101" s="333"/>
      <c r="E101" s="333"/>
      <c r="F101" s="366"/>
      <c r="G101" s="366"/>
      <c r="H101" s="366"/>
      <c r="I101" s="366"/>
      <c r="J101" s="366"/>
      <c r="K101" s="366"/>
      <c r="L101" s="366"/>
      <c r="M101" s="366"/>
      <c r="N101" s="366"/>
      <c r="O101" s="366"/>
    </row>
    <row r="102" spans="1:15" ht="12.75" customHeight="1">
      <c r="A102" s="333"/>
      <c r="B102" s="333"/>
      <c r="C102" s="333"/>
      <c r="D102" s="333"/>
      <c r="E102" s="333"/>
      <c r="F102" s="366"/>
      <c r="G102" s="366"/>
      <c r="H102" s="366"/>
      <c r="I102" s="366"/>
      <c r="J102" s="366"/>
      <c r="K102" s="366"/>
      <c r="L102" s="366"/>
      <c r="M102" s="366"/>
      <c r="N102" s="366"/>
      <c r="O102" s="366"/>
    </row>
    <row r="103" spans="1:15" ht="12.75" customHeight="1">
      <c r="A103" s="333"/>
      <c r="B103" s="333"/>
      <c r="C103" s="333"/>
      <c r="D103" s="333"/>
      <c r="E103" s="333"/>
      <c r="F103" s="366"/>
      <c r="G103" s="366"/>
      <c r="H103" s="366"/>
      <c r="I103" s="366"/>
      <c r="J103" s="366"/>
      <c r="K103" s="366"/>
      <c r="L103" s="366"/>
      <c r="M103" s="366"/>
      <c r="N103" s="366"/>
      <c r="O103" s="366"/>
    </row>
    <row r="104" spans="1:15" ht="12.75" customHeight="1">
      <c r="A104" s="333"/>
      <c r="B104" s="333"/>
      <c r="C104" s="333"/>
      <c r="D104" s="333"/>
      <c r="E104" s="333"/>
      <c r="F104" s="366"/>
      <c r="G104" s="366"/>
      <c r="H104" s="366"/>
      <c r="I104" s="366"/>
      <c r="J104" s="366"/>
      <c r="K104" s="366"/>
      <c r="L104" s="366"/>
      <c r="M104" s="366"/>
      <c r="N104" s="366"/>
      <c r="O104" s="366"/>
    </row>
    <row r="105" spans="1:15" ht="12.75" customHeight="1">
      <c r="A105" s="333"/>
      <c r="B105" s="333"/>
      <c r="C105" s="333"/>
      <c r="D105" s="333"/>
      <c r="E105" s="333"/>
      <c r="F105" s="366"/>
      <c r="G105" s="366"/>
      <c r="H105" s="366"/>
      <c r="I105" s="366"/>
      <c r="J105" s="366"/>
      <c r="K105" s="366"/>
      <c r="L105" s="366"/>
      <c r="M105" s="366"/>
      <c r="N105" s="366"/>
      <c r="O105" s="366"/>
    </row>
    <row r="106" spans="1:15" ht="12.75" customHeight="1">
      <c r="A106" s="333"/>
      <c r="B106" s="333"/>
      <c r="C106" s="333"/>
      <c r="D106" s="333"/>
      <c r="E106" s="333"/>
      <c r="F106" s="366"/>
      <c r="G106" s="366"/>
      <c r="H106" s="366"/>
      <c r="I106" s="366"/>
      <c r="J106" s="366"/>
      <c r="K106" s="366"/>
      <c r="L106" s="366"/>
      <c r="M106" s="366"/>
      <c r="N106" s="366"/>
      <c r="O106" s="366"/>
    </row>
    <row r="107" spans="1:15" ht="12.75" customHeight="1">
      <c r="A107" s="333"/>
      <c r="B107" s="333"/>
      <c r="C107" s="333"/>
      <c r="D107" s="333"/>
      <c r="E107" s="333"/>
      <c r="F107" s="366"/>
      <c r="G107" s="366"/>
      <c r="H107" s="366"/>
      <c r="I107" s="366"/>
      <c r="J107" s="366"/>
      <c r="K107" s="366"/>
      <c r="L107" s="366"/>
      <c r="M107" s="366"/>
      <c r="N107" s="366"/>
      <c r="O107" s="366"/>
    </row>
    <row r="108" spans="1:15" ht="12.75" customHeight="1">
      <c r="A108" s="333"/>
      <c r="B108" s="333"/>
      <c r="C108" s="333"/>
      <c r="D108" s="333"/>
      <c r="E108" s="333"/>
      <c r="F108" s="366"/>
      <c r="G108" s="366"/>
      <c r="H108" s="366"/>
      <c r="I108" s="366"/>
      <c r="J108" s="366"/>
      <c r="K108" s="366"/>
      <c r="L108" s="366"/>
      <c r="M108" s="366"/>
      <c r="N108" s="366"/>
      <c r="O108" s="366"/>
    </row>
    <row r="109" spans="1:15" ht="12.75" customHeight="1">
      <c r="A109" s="333"/>
      <c r="B109" s="333"/>
      <c r="C109" s="333"/>
      <c r="D109" s="333"/>
      <c r="E109" s="333"/>
      <c r="F109" s="366"/>
      <c r="G109" s="366"/>
      <c r="H109" s="366"/>
      <c r="I109" s="366"/>
      <c r="J109" s="366"/>
      <c r="K109" s="366"/>
      <c r="L109" s="366"/>
      <c r="M109" s="366"/>
      <c r="N109" s="366"/>
      <c r="O109" s="366"/>
    </row>
    <row r="110" spans="1:15" ht="12.75" customHeight="1">
      <c r="A110" s="333"/>
      <c r="B110" s="333"/>
      <c r="C110" s="333"/>
      <c r="D110" s="333"/>
      <c r="E110" s="333"/>
      <c r="F110" s="366"/>
      <c r="G110" s="366"/>
      <c r="H110" s="366"/>
      <c r="I110" s="366"/>
      <c r="J110" s="366"/>
      <c r="K110" s="366"/>
      <c r="L110" s="366"/>
      <c r="M110" s="366"/>
      <c r="N110" s="366"/>
      <c r="O110" s="366"/>
    </row>
    <row r="111" spans="1:15" ht="12.75" customHeight="1">
      <c r="A111" s="333"/>
      <c r="B111" s="333"/>
      <c r="C111" s="333"/>
      <c r="D111" s="333"/>
      <c r="E111" s="333"/>
      <c r="F111" s="366"/>
      <c r="G111" s="366"/>
      <c r="H111" s="366"/>
      <c r="I111" s="366"/>
      <c r="J111" s="366"/>
      <c r="K111" s="366"/>
      <c r="L111" s="366"/>
      <c r="M111" s="366"/>
      <c r="N111" s="366"/>
      <c r="O111" s="366"/>
    </row>
    <row r="112" spans="1:15" ht="12.75" customHeight="1">
      <c r="A112" s="333"/>
      <c r="B112" s="333"/>
      <c r="C112" s="333"/>
      <c r="D112" s="333"/>
      <c r="E112" s="333"/>
      <c r="F112" s="366"/>
      <c r="G112" s="366"/>
      <c r="H112" s="366"/>
      <c r="I112" s="366"/>
      <c r="J112" s="366"/>
      <c r="K112" s="366"/>
      <c r="L112" s="366"/>
      <c r="M112" s="366"/>
      <c r="N112" s="366"/>
      <c r="O112" s="366"/>
    </row>
    <row r="113" spans="1:15" ht="12.75" customHeight="1">
      <c r="A113" s="333"/>
      <c r="B113" s="333"/>
      <c r="C113" s="333"/>
      <c r="D113" s="333"/>
      <c r="E113" s="333"/>
      <c r="F113" s="366"/>
      <c r="G113" s="366"/>
      <c r="H113" s="366"/>
      <c r="I113" s="366"/>
      <c r="J113" s="366"/>
      <c r="K113" s="366"/>
      <c r="L113" s="366"/>
      <c r="M113" s="366"/>
      <c r="N113" s="366"/>
      <c r="O113" s="366"/>
    </row>
    <row r="114" spans="1:15" ht="12.75" customHeight="1">
      <c r="A114" s="333"/>
      <c r="B114" s="333"/>
      <c r="C114" s="333"/>
      <c r="D114" s="333"/>
      <c r="E114" s="333"/>
      <c r="F114" s="366"/>
      <c r="G114" s="366"/>
      <c r="H114" s="366"/>
      <c r="I114" s="366"/>
      <c r="J114" s="366"/>
      <c r="K114" s="366"/>
      <c r="L114" s="366"/>
      <c r="M114" s="366"/>
      <c r="N114" s="366"/>
      <c r="O114" s="366"/>
    </row>
    <row r="115" spans="1:15" ht="12.75" customHeight="1">
      <c r="A115" s="333"/>
      <c r="B115" s="333"/>
      <c r="C115" s="333"/>
      <c r="D115" s="333"/>
      <c r="E115" s="333"/>
      <c r="F115" s="366"/>
      <c r="G115" s="366"/>
      <c r="H115" s="366"/>
      <c r="I115" s="366"/>
      <c r="J115" s="366"/>
      <c r="K115" s="366"/>
      <c r="L115" s="366"/>
      <c r="M115" s="366"/>
      <c r="N115" s="366"/>
      <c r="O115" s="366"/>
    </row>
    <row r="116" spans="1:15" ht="12.75" customHeight="1">
      <c r="A116" s="333"/>
      <c r="B116" s="333"/>
      <c r="C116" s="333"/>
      <c r="D116" s="333"/>
      <c r="E116" s="333"/>
      <c r="F116" s="366"/>
      <c r="G116" s="366"/>
      <c r="H116" s="366"/>
      <c r="I116" s="366"/>
      <c r="J116" s="366"/>
      <c r="K116" s="366"/>
      <c r="L116" s="366"/>
      <c r="M116" s="366"/>
      <c r="N116" s="366"/>
      <c r="O116" s="366"/>
    </row>
    <row r="117" spans="1:15" ht="12.75" customHeight="1">
      <c r="A117" s="333"/>
      <c r="B117" s="333"/>
      <c r="C117" s="333"/>
      <c r="D117" s="333"/>
      <c r="E117" s="333"/>
      <c r="F117" s="366"/>
      <c r="G117" s="366"/>
      <c r="H117" s="366"/>
      <c r="I117" s="366"/>
      <c r="J117" s="366"/>
      <c r="K117" s="366"/>
      <c r="L117" s="366"/>
      <c r="M117" s="366"/>
      <c r="N117" s="366"/>
      <c r="O117" s="366"/>
    </row>
    <row r="118" spans="1:15" ht="12.75" customHeight="1">
      <c r="A118" s="333"/>
      <c r="B118" s="333"/>
      <c r="C118" s="333"/>
      <c r="D118" s="333"/>
      <c r="E118" s="333"/>
      <c r="F118" s="366"/>
      <c r="G118" s="366"/>
      <c r="H118" s="366"/>
      <c r="I118" s="366"/>
      <c r="J118" s="366"/>
      <c r="K118" s="366"/>
      <c r="L118" s="366"/>
      <c r="M118" s="366"/>
      <c r="N118" s="366"/>
      <c r="O118" s="366"/>
    </row>
    <row r="119" spans="1:15" ht="12.75" customHeight="1">
      <c r="A119" s="333"/>
      <c r="B119" s="333"/>
      <c r="C119" s="333"/>
      <c r="D119" s="333"/>
      <c r="E119" s="333"/>
      <c r="F119" s="366"/>
      <c r="G119" s="366"/>
      <c r="H119" s="366"/>
      <c r="I119" s="366"/>
      <c r="J119" s="366"/>
      <c r="K119" s="366"/>
      <c r="L119" s="366"/>
      <c r="M119" s="366"/>
      <c r="N119" s="366"/>
      <c r="O119" s="366"/>
    </row>
    <row r="120" spans="1:15" ht="12.75" customHeight="1">
      <c r="A120" s="333"/>
      <c r="B120" s="333"/>
      <c r="C120" s="333"/>
      <c r="D120" s="333"/>
      <c r="E120" s="333"/>
      <c r="F120" s="366"/>
      <c r="G120" s="366"/>
      <c r="H120" s="366"/>
      <c r="I120" s="366"/>
      <c r="J120" s="366"/>
      <c r="K120" s="366"/>
      <c r="L120" s="366"/>
      <c r="M120" s="366"/>
      <c r="N120" s="366"/>
      <c r="O120" s="366"/>
    </row>
    <row r="121" spans="1:15" ht="12.75" customHeight="1">
      <c r="A121" s="333"/>
      <c r="B121" s="333"/>
      <c r="C121" s="333"/>
      <c r="D121" s="333"/>
      <c r="E121" s="333"/>
      <c r="F121" s="366"/>
      <c r="G121" s="366"/>
      <c r="H121" s="366"/>
      <c r="I121" s="366"/>
      <c r="J121" s="366"/>
      <c r="K121" s="366"/>
      <c r="L121" s="366"/>
      <c r="M121" s="366"/>
      <c r="N121" s="366"/>
      <c r="O121" s="366"/>
    </row>
    <row r="122" spans="1:15" ht="12.75" customHeight="1">
      <c r="A122" s="333"/>
      <c r="B122" s="333"/>
      <c r="C122" s="333"/>
      <c r="D122" s="333"/>
      <c r="E122" s="333"/>
      <c r="F122" s="366"/>
      <c r="G122" s="366"/>
      <c r="H122" s="366"/>
      <c r="I122" s="366"/>
      <c r="J122" s="366"/>
      <c r="K122" s="366"/>
      <c r="L122" s="366"/>
      <c r="M122" s="366"/>
      <c r="N122" s="366"/>
      <c r="O122" s="366"/>
    </row>
    <row r="123" spans="1:15" ht="12.75" customHeight="1">
      <c r="A123" s="333"/>
      <c r="B123" s="333"/>
      <c r="C123" s="333"/>
      <c r="D123" s="333"/>
      <c r="E123" s="333"/>
      <c r="F123" s="366"/>
      <c r="G123" s="366"/>
      <c r="H123" s="366"/>
      <c r="I123" s="366"/>
      <c r="J123" s="366"/>
      <c r="K123" s="366"/>
      <c r="L123" s="366"/>
      <c r="M123" s="366"/>
      <c r="N123" s="366"/>
      <c r="O123" s="366"/>
    </row>
    <row r="124" spans="1:15" ht="12.75" customHeight="1">
      <c r="A124" s="333"/>
      <c r="B124" s="333"/>
      <c r="C124" s="333"/>
      <c r="D124" s="333"/>
      <c r="E124" s="333"/>
      <c r="F124" s="366"/>
      <c r="G124" s="366"/>
      <c r="H124" s="366"/>
      <c r="I124" s="366"/>
      <c r="J124" s="366"/>
      <c r="K124" s="366"/>
      <c r="L124" s="366"/>
      <c r="M124" s="366"/>
      <c r="N124" s="366"/>
      <c r="O124" s="366"/>
    </row>
    <row r="125" spans="1:15" ht="12.75" customHeight="1">
      <c r="A125" s="333"/>
      <c r="B125" s="333"/>
      <c r="C125" s="333"/>
      <c r="D125" s="333"/>
      <c r="E125" s="333"/>
      <c r="F125" s="366"/>
      <c r="G125" s="366"/>
      <c r="H125" s="366"/>
      <c r="I125" s="366"/>
      <c r="J125" s="366"/>
      <c r="K125" s="366"/>
      <c r="L125" s="366"/>
      <c r="M125" s="366"/>
      <c r="N125" s="366"/>
      <c r="O125" s="366"/>
    </row>
    <row r="126" spans="1:15" ht="12.75" customHeight="1">
      <c r="A126" s="333"/>
      <c r="B126" s="333"/>
      <c r="C126" s="333"/>
      <c r="D126" s="333"/>
      <c r="E126" s="333"/>
      <c r="F126" s="366"/>
      <c r="G126" s="366"/>
      <c r="H126" s="366"/>
      <c r="I126" s="366"/>
      <c r="J126" s="366"/>
      <c r="K126" s="366"/>
      <c r="L126" s="366"/>
      <c r="M126" s="366"/>
      <c r="N126" s="366"/>
      <c r="O126" s="366"/>
    </row>
    <row r="127" spans="1:15" ht="12.75" customHeight="1">
      <c r="A127" s="333"/>
      <c r="B127" s="333"/>
      <c r="C127" s="333"/>
      <c r="D127" s="333"/>
      <c r="E127" s="333"/>
      <c r="F127" s="366"/>
      <c r="G127" s="366"/>
      <c r="H127" s="366"/>
      <c r="I127" s="366"/>
      <c r="J127" s="366"/>
      <c r="K127" s="366"/>
      <c r="L127" s="366"/>
      <c r="M127" s="366"/>
      <c r="N127" s="366"/>
      <c r="O127" s="366"/>
    </row>
    <row r="128" spans="1:15" ht="12.75" customHeight="1">
      <c r="A128" s="333"/>
      <c r="B128" s="333"/>
      <c r="C128" s="333"/>
      <c r="D128" s="333"/>
      <c r="E128" s="333"/>
      <c r="F128" s="366"/>
      <c r="G128" s="366"/>
      <c r="H128" s="366"/>
      <c r="I128" s="366"/>
      <c r="J128" s="366"/>
      <c r="K128" s="366"/>
      <c r="L128" s="366"/>
      <c r="M128" s="366"/>
      <c r="N128" s="366"/>
      <c r="O128" s="366"/>
    </row>
    <row r="129" spans="1:15" ht="12.75" customHeight="1">
      <c r="A129" s="333"/>
      <c r="B129" s="333"/>
      <c r="C129" s="333"/>
      <c r="D129" s="333"/>
      <c r="E129" s="333"/>
      <c r="F129" s="366"/>
      <c r="G129" s="366"/>
      <c r="H129" s="366"/>
      <c r="I129" s="366"/>
      <c r="J129" s="366"/>
      <c r="K129" s="366"/>
      <c r="L129" s="366"/>
      <c r="M129" s="366"/>
      <c r="N129" s="366"/>
      <c r="O129" s="366"/>
    </row>
    <row r="130" spans="1:15" ht="12.75" customHeight="1">
      <c r="A130" s="333"/>
      <c r="B130" s="333"/>
      <c r="C130" s="333"/>
      <c r="D130" s="333"/>
      <c r="E130" s="333"/>
      <c r="F130" s="366"/>
      <c r="G130" s="366"/>
      <c r="H130" s="366"/>
      <c r="I130" s="366"/>
      <c r="J130" s="366"/>
      <c r="K130" s="366"/>
      <c r="L130" s="366"/>
      <c r="M130" s="366"/>
      <c r="N130" s="366"/>
      <c r="O130" s="366"/>
    </row>
    <row r="131" spans="1:15" ht="12.75" customHeight="1">
      <c r="A131" s="333"/>
      <c r="B131" s="333"/>
      <c r="C131" s="333"/>
      <c r="D131" s="333"/>
      <c r="E131" s="333"/>
      <c r="F131" s="366"/>
      <c r="G131" s="366"/>
      <c r="H131" s="366"/>
      <c r="I131" s="366"/>
      <c r="J131" s="366"/>
      <c r="K131" s="366"/>
      <c r="L131" s="366"/>
      <c r="M131" s="366"/>
      <c r="N131" s="366"/>
      <c r="O131" s="366"/>
    </row>
    <row r="132" spans="1:15" ht="12.75" customHeight="1">
      <c r="A132" s="333"/>
      <c r="B132" s="333"/>
      <c r="C132" s="333"/>
      <c r="D132" s="333"/>
      <c r="E132" s="333"/>
      <c r="F132" s="366"/>
      <c r="G132" s="366"/>
      <c r="H132" s="366"/>
      <c r="I132" s="366"/>
      <c r="J132" s="366"/>
      <c r="K132" s="366"/>
      <c r="L132" s="366"/>
      <c r="M132" s="366"/>
      <c r="N132" s="366"/>
      <c r="O132" s="366"/>
    </row>
    <row r="133" spans="1:15" ht="12.75" customHeight="1">
      <c r="A133" s="333"/>
      <c r="B133" s="333"/>
      <c r="C133" s="333"/>
      <c r="D133" s="333"/>
      <c r="E133" s="333"/>
      <c r="F133" s="366"/>
      <c r="G133" s="366"/>
      <c r="H133" s="366"/>
      <c r="I133" s="366"/>
      <c r="J133" s="366"/>
      <c r="K133" s="366"/>
      <c r="L133" s="366"/>
      <c r="M133" s="366"/>
      <c r="N133" s="366"/>
      <c r="O133" s="366"/>
    </row>
    <row r="134" spans="1:15" ht="12.75" customHeight="1">
      <c r="A134" s="333"/>
      <c r="B134" s="333"/>
      <c r="C134" s="333"/>
      <c r="D134" s="333"/>
      <c r="E134" s="333"/>
      <c r="F134" s="366"/>
      <c r="G134" s="366"/>
      <c r="H134" s="366"/>
      <c r="I134" s="366"/>
      <c r="J134" s="366"/>
      <c r="K134" s="366"/>
      <c r="L134" s="366"/>
      <c r="M134" s="366"/>
      <c r="N134" s="366"/>
      <c r="O134" s="366"/>
    </row>
    <row r="135" spans="1:15" ht="12.75" customHeight="1">
      <c r="A135" s="333"/>
      <c r="B135" s="333"/>
      <c r="C135" s="333"/>
      <c r="D135" s="333"/>
      <c r="E135" s="333"/>
      <c r="F135" s="366"/>
      <c r="G135" s="366"/>
      <c r="H135" s="366"/>
      <c r="I135" s="366"/>
      <c r="J135" s="366"/>
      <c r="K135" s="366"/>
      <c r="L135" s="366"/>
      <c r="M135" s="366"/>
      <c r="N135" s="366"/>
      <c r="O135" s="366"/>
    </row>
    <row r="136" spans="1:15" ht="12.75" customHeight="1">
      <c r="A136" s="333"/>
      <c r="B136" s="333"/>
      <c r="C136" s="333"/>
      <c r="D136" s="333"/>
      <c r="E136" s="333"/>
      <c r="F136" s="366"/>
      <c r="G136" s="366"/>
      <c r="H136" s="366"/>
      <c r="I136" s="366"/>
      <c r="J136" s="366"/>
      <c r="K136" s="366"/>
      <c r="L136" s="366"/>
      <c r="M136" s="366"/>
      <c r="N136" s="366"/>
      <c r="O136" s="366"/>
    </row>
    <row r="137" spans="1:15" ht="12.75" customHeight="1">
      <c r="A137" s="333"/>
      <c r="B137" s="333"/>
      <c r="C137" s="333"/>
      <c r="D137" s="333"/>
      <c r="E137" s="333"/>
      <c r="F137" s="366"/>
      <c r="G137" s="366"/>
      <c r="H137" s="366"/>
      <c r="I137" s="366"/>
      <c r="J137" s="366"/>
      <c r="K137" s="366"/>
      <c r="L137" s="366"/>
      <c r="M137" s="366"/>
      <c r="N137" s="366"/>
      <c r="O137" s="366"/>
    </row>
    <row r="138" spans="1:15" ht="12.75" customHeight="1">
      <c r="A138" s="333"/>
      <c r="B138" s="333"/>
      <c r="C138" s="333"/>
      <c r="D138" s="333"/>
      <c r="E138" s="333"/>
      <c r="F138" s="366"/>
      <c r="G138" s="366"/>
      <c r="H138" s="366"/>
      <c r="I138" s="366"/>
      <c r="J138" s="366"/>
      <c r="K138" s="366"/>
      <c r="L138" s="366"/>
      <c r="M138" s="366"/>
      <c r="N138" s="366"/>
      <c r="O138" s="366"/>
    </row>
    <row r="139" spans="1:15" ht="12.75" customHeight="1">
      <c r="A139" s="333"/>
      <c r="B139" s="333"/>
      <c r="C139" s="333"/>
      <c r="D139" s="333"/>
      <c r="E139" s="333"/>
      <c r="F139" s="366"/>
      <c r="G139" s="366"/>
      <c r="H139" s="366"/>
      <c r="I139" s="366"/>
      <c r="J139" s="366"/>
      <c r="K139" s="366"/>
      <c r="L139" s="366"/>
      <c r="M139" s="366"/>
      <c r="N139" s="366"/>
      <c r="O139" s="366"/>
    </row>
    <row r="140" spans="1:15" ht="12.75" customHeight="1">
      <c r="A140" s="333"/>
      <c r="B140" s="333"/>
      <c r="C140" s="333"/>
      <c r="D140" s="333"/>
      <c r="E140" s="333"/>
      <c r="F140" s="366"/>
      <c r="G140" s="366"/>
      <c r="H140" s="366"/>
      <c r="I140" s="366"/>
      <c r="J140" s="366"/>
      <c r="K140" s="366"/>
      <c r="L140" s="366"/>
      <c r="M140" s="366"/>
      <c r="N140" s="366"/>
      <c r="O140" s="366"/>
    </row>
    <row r="141" spans="1:15" ht="12.75" customHeight="1">
      <c r="A141" s="333"/>
      <c r="B141" s="333"/>
      <c r="C141" s="333"/>
      <c r="D141" s="333"/>
      <c r="E141" s="333"/>
      <c r="F141" s="366"/>
      <c r="G141" s="366"/>
      <c r="H141" s="366"/>
      <c r="I141" s="366"/>
      <c r="J141" s="366"/>
      <c r="K141" s="366"/>
      <c r="L141" s="366"/>
      <c r="M141" s="366"/>
      <c r="N141" s="366"/>
      <c r="O141" s="366"/>
    </row>
    <row r="142" spans="1:15" ht="12.75" customHeight="1">
      <c r="A142" s="333"/>
      <c r="B142" s="333"/>
      <c r="C142" s="333"/>
      <c r="D142" s="333"/>
      <c r="E142" s="333"/>
      <c r="F142" s="366"/>
      <c r="G142" s="366"/>
      <c r="H142" s="366"/>
      <c r="I142" s="366"/>
      <c r="J142" s="366"/>
      <c r="K142" s="366"/>
      <c r="L142" s="366"/>
      <c r="M142" s="366"/>
      <c r="N142" s="366"/>
      <c r="O142" s="366"/>
    </row>
    <row r="143" spans="1:15" ht="12.75" customHeight="1">
      <c r="A143" s="333"/>
      <c r="B143" s="333"/>
      <c r="C143" s="333"/>
      <c r="D143" s="333"/>
      <c r="E143" s="333"/>
      <c r="F143" s="366"/>
      <c r="G143" s="366"/>
      <c r="H143" s="366"/>
      <c r="I143" s="366"/>
      <c r="J143" s="366"/>
      <c r="K143" s="366"/>
      <c r="L143" s="366"/>
      <c r="M143" s="366"/>
      <c r="N143" s="366"/>
      <c r="O143" s="366"/>
    </row>
    <row r="144" spans="1:15" ht="12.75" customHeight="1">
      <c r="A144" s="333"/>
      <c r="B144" s="333"/>
      <c r="C144" s="333"/>
      <c r="D144" s="333"/>
      <c r="E144" s="333"/>
      <c r="F144" s="366"/>
      <c r="G144" s="366"/>
      <c r="H144" s="366"/>
      <c r="I144" s="366"/>
      <c r="J144" s="366"/>
      <c r="K144" s="366"/>
      <c r="L144" s="366"/>
      <c r="M144" s="366"/>
      <c r="N144" s="366"/>
      <c r="O144" s="366"/>
    </row>
    <row r="145" spans="1:15" ht="12.75" customHeight="1">
      <c r="A145" s="333"/>
      <c r="B145" s="333"/>
      <c r="C145" s="333"/>
      <c r="D145" s="333"/>
      <c r="E145" s="333"/>
      <c r="F145" s="366"/>
      <c r="G145" s="366"/>
      <c r="H145" s="366"/>
      <c r="I145" s="366"/>
      <c r="J145" s="366"/>
      <c r="K145" s="366"/>
      <c r="L145" s="366"/>
      <c r="M145" s="366"/>
      <c r="N145" s="366"/>
      <c r="O145" s="366"/>
    </row>
    <row r="146" spans="1:15" ht="12.75" customHeight="1">
      <c r="A146" s="333"/>
      <c r="B146" s="333"/>
      <c r="C146" s="333"/>
      <c r="D146" s="333"/>
      <c r="E146" s="333"/>
      <c r="F146" s="366"/>
      <c r="G146" s="366"/>
      <c r="H146" s="366"/>
      <c r="I146" s="366"/>
      <c r="J146" s="366"/>
      <c r="K146" s="366"/>
      <c r="L146" s="366"/>
      <c r="M146" s="366"/>
      <c r="N146" s="366"/>
      <c r="O146" s="366"/>
    </row>
    <row r="147" spans="1:15" ht="12.75" customHeight="1">
      <c r="A147" s="333"/>
      <c r="B147" s="333"/>
      <c r="C147" s="333"/>
      <c r="D147" s="333"/>
      <c r="E147" s="333"/>
      <c r="F147" s="366"/>
      <c r="G147" s="366"/>
      <c r="H147" s="366"/>
      <c r="I147" s="366"/>
      <c r="J147" s="366"/>
      <c r="K147" s="366"/>
      <c r="L147" s="366"/>
      <c r="M147" s="366"/>
      <c r="N147" s="366"/>
      <c r="O147" s="366"/>
    </row>
    <row r="148" spans="1:15" ht="12.75" customHeight="1">
      <c r="A148" s="333"/>
      <c r="B148" s="333"/>
      <c r="C148" s="333"/>
      <c r="D148" s="333"/>
      <c r="E148" s="333"/>
      <c r="F148" s="366"/>
      <c r="G148" s="366"/>
      <c r="H148" s="366"/>
      <c r="I148" s="366"/>
      <c r="J148" s="366"/>
      <c r="K148" s="366"/>
      <c r="L148" s="366"/>
      <c r="M148" s="366"/>
      <c r="N148" s="366"/>
      <c r="O148" s="366"/>
    </row>
    <row r="149" spans="1:15" ht="12.75" customHeight="1">
      <c r="A149" s="333"/>
      <c r="B149" s="333"/>
      <c r="C149" s="333"/>
      <c r="D149" s="333"/>
      <c r="E149" s="333"/>
      <c r="F149" s="366"/>
      <c r="G149" s="366"/>
      <c r="H149" s="366"/>
      <c r="I149" s="366"/>
      <c r="J149" s="366"/>
      <c r="K149" s="366"/>
      <c r="L149" s="366"/>
      <c r="M149" s="366"/>
      <c r="N149" s="366"/>
      <c r="O149" s="366"/>
    </row>
    <row r="150" spans="1:15" ht="12.75" customHeight="1">
      <c r="A150" s="333"/>
      <c r="B150" s="333"/>
      <c r="C150" s="333"/>
      <c r="D150" s="333"/>
      <c r="E150" s="333"/>
      <c r="F150" s="366"/>
      <c r="G150" s="366"/>
      <c r="H150" s="366"/>
      <c r="I150" s="366"/>
      <c r="J150" s="366"/>
      <c r="K150" s="366"/>
      <c r="L150" s="366"/>
      <c r="M150" s="366"/>
      <c r="N150" s="366"/>
      <c r="O150" s="366"/>
    </row>
    <row r="151" spans="1:15" ht="12.75" customHeight="1">
      <c r="A151" s="333"/>
      <c r="B151" s="333"/>
      <c r="C151" s="333"/>
      <c r="D151" s="333"/>
      <c r="E151" s="333"/>
      <c r="F151" s="366"/>
      <c r="G151" s="366"/>
      <c r="H151" s="366"/>
      <c r="I151" s="366"/>
      <c r="J151" s="366"/>
      <c r="K151" s="366"/>
      <c r="L151" s="366"/>
      <c r="M151" s="366"/>
      <c r="N151" s="366"/>
      <c r="O151" s="366"/>
    </row>
    <row r="152" spans="1:15" ht="12.75" customHeight="1">
      <c r="A152" s="333"/>
      <c r="B152" s="333"/>
      <c r="C152" s="333"/>
      <c r="D152" s="333"/>
      <c r="E152" s="333"/>
      <c r="F152" s="366"/>
      <c r="G152" s="366"/>
      <c r="H152" s="366"/>
      <c r="I152" s="366"/>
      <c r="J152" s="366"/>
      <c r="K152" s="366"/>
      <c r="L152" s="366"/>
      <c r="M152" s="366"/>
      <c r="N152" s="366"/>
      <c r="O152" s="366"/>
    </row>
    <row r="153" spans="1:15" ht="12.75" customHeight="1">
      <c r="A153" s="333"/>
      <c r="B153" s="333"/>
      <c r="C153" s="333"/>
      <c r="D153" s="333"/>
      <c r="E153" s="333"/>
      <c r="F153" s="366"/>
      <c r="G153" s="366"/>
      <c r="H153" s="366"/>
      <c r="I153" s="366"/>
      <c r="J153" s="366"/>
      <c r="K153" s="366"/>
      <c r="L153" s="366"/>
      <c r="M153" s="366"/>
      <c r="N153" s="366"/>
      <c r="O153" s="366"/>
    </row>
    <row r="154" spans="1:15" ht="12.75" customHeight="1">
      <c r="A154" s="333"/>
      <c r="B154" s="333"/>
      <c r="C154" s="333"/>
      <c r="D154" s="333"/>
      <c r="E154" s="333"/>
      <c r="F154" s="366"/>
      <c r="G154" s="366"/>
      <c r="H154" s="366"/>
      <c r="I154" s="366"/>
      <c r="J154" s="366"/>
      <c r="K154" s="366"/>
      <c r="L154" s="366"/>
      <c r="M154" s="366"/>
      <c r="N154" s="366"/>
      <c r="O154" s="366"/>
    </row>
    <row r="155" spans="1:15" ht="12.75" customHeight="1">
      <c r="A155" s="333"/>
      <c r="B155" s="333"/>
      <c r="C155" s="333"/>
      <c r="D155" s="333"/>
      <c r="E155" s="333"/>
      <c r="F155" s="366"/>
      <c r="G155" s="366"/>
      <c r="H155" s="366"/>
      <c r="I155" s="366"/>
      <c r="J155" s="366"/>
      <c r="K155" s="366"/>
      <c r="L155" s="366"/>
      <c r="M155" s="366"/>
      <c r="N155" s="366"/>
      <c r="O155" s="366"/>
    </row>
    <row r="156" spans="1:15" ht="12.75" customHeight="1">
      <c r="A156" s="333"/>
      <c r="B156" s="333"/>
      <c r="C156" s="333"/>
      <c r="D156" s="333"/>
      <c r="E156" s="333"/>
      <c r="F156" s="366"/>
      <c r="G156" s="366"/>
      <c r="H156" s="366"/>
      <c r="I156" s="366"/>
      <c r="J156" s="366"/>
      <c r="K156" s="366"/>
      <c r="L156" s="366"/>
      <c r="M156" s="366"/>
      <c r="N156" s="366"/>
      <c r="O156" s="366"/>
    </row>
    <row r="157" spans="1:15" ht="12.75" customHeight="1">
      <c r="A157" s="333"/>
      <c r="B157" s="333"/>
      <c r="C157" s="333"/>
      <c r="D157" s="333"/>
      <c r="E157" s="333"/>
      <c r="F157" s="366"/>
      <c r="G157" s="366"/>
      <c r="H157" s="366"/>
      <c r="I157" s="366"/>
      <c r="J157" s="366"/>
      <c r="K157" s="366"/>
      <c r="L157" s="366"/>
      <c r="M157" s="366"/>
      <c r="N157" s="366"/>
      <c r="O157" s="366"/>
    </row>
    <row r="158" spans="1:15" ht="12.75" customHeight="1">
      <c r="A158" s="333"/>
      <c r="B158" s="333"/>
      <c r="C158" s="333"/>
      <c r="D158" s="333"/>
      <c r="E158" s="333"/>
      <c r="F158" s="366"/>
      <c r="G158" s="366"/>
      <c r="H158" s="366"/>
      <c r="I158" s="366"/>
      <c r="J158" s="366"/>
      <c r="K158" s="366"/>
      <c r="L158" s="366"/>
      <c r="M158" s="366"/>
      <c r="N158" s="366"/>
      <c r="O158" s="366"/>
    </row>
    <row r="159" spans="1:15" ht="12.75" customHeight="1">
      <c r="A159" s="333"/>
      <c r="B159" s="333"/>
      <c r="C159" s="333"/>
      <c r="D159" s="333"/>
      <c r="E159" s="333"/>
      <c r="F159" s="366"/>
      <c r="G159" s="366"/>
      <c r="H159" s="366"/>
      <c r="I159" s="366"/>
      <c r="J159" s="366"/>
      <c r="K159" s="366"/>
      <c r="L159" s="366"/>
      <c r="M159" s="366"/>
      <c r="N159" s="366"/>
      <c r="O159" s="366"/>
    </row>
    <row r="160" spans="1:15" ht="12.75" customHeight="1">
      <c r="A160" s="333"/>
      <c r="B160" s="333"/>
      <c r="C160" s="333"/>
      <c r="D160" s="333"/>
      <c r="E160" s="333"/>
      <c r="F160" s="366"/>
      <c r="G160" s="366"/>
      <c r="H160" s="366"/>
      <c r="I160" s="366"/>
      <c r="J160" s="366"/>
      <c r="K160" s="366"/>
      <c r="L160" s="366"/>
      <c r="M160" s="366"/>
      <c r="N160" s="366"/>
      <c r="O160" s="366"/>
    </row>
    <row r="161" spans="1:15" ht="12.75" customHeight="1">
      <c r="A161" s="333"/>
      <c r="B161" s="333"/>
      <c r="C161" s="333"/>
      <c r="D161" s="333"/>
      <c r="E161" s="333"/>
      <c r="F161" s="366"/>
      <c r="G161" s="366"/>
      <c r="H161" s="366"/>
      <c r="I161" s="366"/>
      <c r="J161" s="366"/>
      <c r="K161" s="366"/>
      <c r="L161" s="366"/>
      <c r="M161" s="366"/>
      <c r="N161" s="366"/>
      <c r="O161" s="366"/>
    </row>
    <row r="162" spans="1:15" ht="12.75" customHeight="1">
      <c r="A162" s="333"/>
      <c r="B162" s="333"/>
      <c r="C162" s="333"/>
      <c r="D162" s="333"/>
      <c r="E162" s="333"/>
      <c r="F162" s="366"/>
      <c r="G162" s="366"/>
      <c r="H162" s="366"/>
      <c r="I162" s="366"/>
      <c r="J162" s="366"/>
      <c r="K162" s="366"/>
      <c r="L162" s="366"/>
      <c r="M162" s="366"/>
      <c r="N162" s="366"/>
      <c r="O162" s="366"/>
    </row>
    <row r="163" spans="1:15" ht="12.75" customHeight="1">
      <c r="A163" s="333"/>
      <c r="B163" s="333"/>
      <c r="C163" s="333"/>
      <c r="D163" s="333"/>
      <c r="E163" s="333"/>
      <c r="F163" s="366"/>
      <c r="G163" s="366"/>
      <c r="H163" s="366"/>
      <c r="I163" s="366"/>
      <c r="J163" s="366"/>
      <c r="K163" s="366"/>
      <c r="L163" s="366"/>
      <c r="M163" s="366"/>
      <c r="N163" s="366"/>
      <c r="O163" s="366"/>
    </row>
    <row r="164" spans="1:15" ht="12.75" customHeight="1">
      <c r="A164" s="333"/>
      <c r="B164" s="333"/>
      <c r="C164" s="333"/>
      <c r="D164" s="333"/>
      <c r="E164" s="333"/>
      <c r="F164" s="366"/>
      <c r="G164" s="366"/>
      <c r="H164" s="366"/>
      <c r="I164" s="366"/>
      <c r="J164" s="366"/>
      <c r="K164" s="366"/>
      <c r="L164" s="366"/>
      <c r="M164" s="366"/>
      <c r="N164" s="366"/>
      <c r="O164" s="366"/>
    </row>
    <row r="165" spans="1:15" ht="12.75" customHeight="1">
      <c r="A165" s="333"/>
      <c r="B165" s="333"/>
      <c r="C165" s="333"/>
      <c r="D165" s="333"/>
      <c r="E165" s="333"/>
      <c r="F165" s="366"/>
      <c r="G165" s="366"/>
      <c r="H165" s="366"/>
      <c r="I165" s="366"/>
      <c r="J165" s="366"/>
      <c r="K165" s="366"/>
      <c r="L165" s="366"/>
      <c r="M165" s="366"/>
      <c r="N165" s="366"/>
      <c r="O165" s="366"/>
    </row>
    <row r="166" spans="1:15" ht="12.75" customHeight="1">
      <c r="A166" s="333"/>
      <c r="B166" s="333"/>
      <c r="C166" s="333"/>
      <c r="D166" s="333"/>
      <c r="E166" s="333"/>
      <c r="F166" s="366"/>
      <c r="G166" s="366"/>
      <c r="H166" s="366"/>
      <c r="I166" s="366"/>
      <c r="J166" s="366"/>
      <c r="K166" s="366"/>
      <c r="L166" s="366"/>
      <c r="M166" s="366"/>
      <c r="N166" s="366"/>
      <c r="O166" s="366"/>
    </row>
    <row r="167" spans="1:15" ht="12.75" customHeight="1">
      <c r="A167" s="333"/>
      <c r="B167" s="333"/>
      <c r="C167" s="333"/>
      <c r="D167" s="333"/>
      <c r="E167" s="333"/>
      <c r="F167" s="366"/>
      <c r="G167" s="366"/>
      <c r="H167" s="366"/>
      <c r="I167" s="366"/>
      <c r="J167" s="366"/>
      <c r="K167" s="366"/>
      <c r="L167" s="366"/>
      <c r="M167" s="366"/>
      <c r="N167" s="366"/>
      <c r="O167" s="366"/>
    </row>
    <row r="168" spans="1:15" ht="12.75" customHeight="1">
      <c r="A168" s="333"/>
      <c r="B168" s="333"/>
      <c r="C168" s="333"/>
      <c r="D168" s="333"/>
      <c r="E168" s="333"/>
      <c r="F168" s="366"/>
      <c r="G168" s="366"/>
      <c r="H168" s="366"/>
      <c r="I168" s="366"/>
      <c r="J168" s="366"/>
      <c r="K168" s="366"/>
      <c r="L168" s="366"/>
      <c r="M168" s="366"/>
      <c r="N168" s="366"/>
      <c r="O168" s="366"/>
    </row>
    <row r="169" spans="1:15" ht="12.75" customHeight="1">
      <c r="A169" s="333"/>
      <c r="B169" s="333"/>
      <c r="C169" s="333"/>
      <c r="D169" s="333"/>
      <c r="E169" s="333"/>
      <c r="F169" s="366"/>
      <c r="G169" s="366"/>
      <c r="H169" s="366"/>
      <c r="I169" s="366"/>
      <c r="J169" s="366"/>
      <c r="K169" s="366"/>
      <c r="L169" s="366"/>
      <c r="M169" s="366"/>
      <c r="N169" s="366"/>
      <c r="O169" s="366"/>
    </row>
    <row r="170" spans="1:15" ht="12.75" customHeight="1">
      <c r="A170" s="333"/>
      <c r="B170" s="333"/>
      <c r="C170" s="333"/>
      <c r="D170" s="333"/>
      <c r="E170" s="333"/>
      <c r="F170" s="366"/>
      <c r="G170" s="366"/>
      <c r="H170" s="366"/>
      <c r="I170" s="366"/>
      <c r="J170" s="366"/>
      <c r="K170" s="366"/>
      <c r="L170" s="366"/>
      <c r="M170" s="366"/>
      <c r="N170" s="366"/>
      <c r="O170" s="366"/>
    </row>
    <row r="171" spans="1:15" ht="12.75" customHeight="1">
      <c r="A171" s="333"/>
      <c r="B171" s="333"/>
      <c r="C171" s="333"/>
      <c r="D171" s="333"/>
      <c r="E171" s="333"/>
      <c r="F171" s="366"/>
      <c r="G171" s="366"/>
      <c r="H171" s="366"/>
      <c r="I171" s="366"/>
      <c r="J171" s="366"/>
      <c r="K171" s="366"/>
      <c r="L171" s="366"/>
      <c r="M171" s="366"/>
      <c r="N171" s="366"/>
      <c r="O171" s="366"/>
    </row>
    <row r="172" spans="1:15" ht="12.75" customHeight="1">
      <c r="A172" s="333"/>
      <c r="B172" s="333"/>
      <c r="C172" s="333"/>
      <c r="D172" s="333"/>
      <c r="E172" s="333"/>
      <c r="F172" s="366"/>
      <c r="G172" s="366"/>
      <c r="H172" s="366"/>
      <c r="I172" s="366"/>
      <c r="J172" s="366"/>
      <c r="K172" s="366"/>
      <c r="L172" s="366"/>
      <c r="M172" s="366"/>
      <c r="N172" s="366"/>
      <c r="O172" s="366"/>
    </row>
    <row r="173" spans="1:15" ht="12.75" customHeight="1">
      <c r="A173" s="333"/>
      <c r="B173" s="333"/>
      <c r="C173" s="333"/>
      <c r="D173" s="333"/>
      <c r="E173" s="333"/>
      <c r="F173" s="366"/>
      <c r="G173" s="366"/>
      <c r="H173" s="366"/>
      <c r="I173" s="366"/>
      <c r="J173" s="366"/>
      <c r="K173" s="366"/>
      <c r="L173" s="366"/>
      <c r="M173" s="366"/>
      <c r="N173" s="366"/>
      <c r="O173" s="366"/>
    </row>
    <row r="174" spans="1:15" ht="12.75" customHeight="1">
      <c r="A174" s="333"/>
      <c r="B174" s="333"/>
      <c r="C174" s="333"/>
      <c r="D174" s="333"/>
      <c r="E174" s="333"/>
      <c r="F174" s="366"/>
      <c r="G174" s="366"/>
      <c r="H174" s="366"/>
      <c r="I174" s="366"/>
      <c r="J174" s="366"/>
      <c r="K174" s="366"/>
      <c r="L174" s="366"/>
      <c r="M174" s="366"/>
      <c r="N174" s="366"/>
      <c r="O174" s="366"/>
    </row>
    <row r="175" spans="1:15" ht="12.75" customHeight="1">
      <c r="A175" s="333"/>
      <c r="B175" s="333"/>
      <c r="C175" s="333"/>
      <c r="D175" s="333"/>
      <c r="E175" s="333"/>
      <c r="F175" s="366"/>
      <c r="G175" s="366"/>
      <c r="H175" s="366"/>
      <c r="I175" s="366"/>
      <c r="J175" s="366"/>
      <c r="K175" s="366"/>
      <c r="L175" s="366"/>
      <c r="M175" s="366"/>
      <c r="N175" s="366"/>
      <c r="O175" s="366"/>
    </row>
    <row r="176" spans="1:15" ht="12.75" customHeight="1">
      <c r="A176" s="333"/>
      <c r="B176" s="333"/>
      <c r="C176" s="333"/>
      <c r="D176" s="333"/>
      <c r="E176" s="333"/>
      <c r="F176" s="366"/>
      <c r="G176" s="366"/>
      <c r="H176" s="366"/>
      <c r="I176" s="366"/>
      <c r="J176" s="366"/>
      <c r="K176" s="366"/>
      <c r="L176" s="366"/>
      <c r="M176" s="366"/>
      <c r="N176" s="366"/>
      <c r="O176" s="366"/>
    </row>
    <row r="177" spans="1:15" ht="12.75" customHeight="1">
      <c r="A177" s="333"/>
      <c r="B177" s="333"/>
      <c r="C177" s="333"/>
      <c r="D177" s="333"/>
      <c r="E177" s="333"/>
      <c r="F177" s="366"/>
      <c r="G177" s="366"/>
      <c r="H177" s="366"/>
      <c r="I177" s="366"/>
      <c r="J177" s="366"/>
      <c r="K177" s="366"/>
      <c r="L177" s="366"/>
      <c r="M177" s="366"/>
      <c r="N177" s="366"/>
      <c r="O177" s="366"/>
    </row>
    <row r="178" spans="1:15" ht="12.75" customHeight="1">
      <c r="A178" s="333"/>
      <c r="B178" s="333"/>
      <c r="C178" s="333"/>
      <c r="D178" s="333"/>
      <c r="E178" s="333"/>
      <c r="F178" s="366"/>
      <c r="G178" s="366"/>
      <c r="H178" s="366"/>
      <c r="I178" s="366"/>
      <c r="J178" s="366"/>
      <c r="K178" s="366"/>
      <c r="L178" s="366"/>
      <c r="M178" s="366"/>
      <c r="N178" s="366"/>
      <c r="O178" s="366"/>
    </row>
    <row r="179" spans="1:15" ht="12.75" customHeight="1">
      <c r="A179" s="333"/>
      <c r="B179" s="333"/>
      <c r="C179" s="333"/>
      <c r="D179" s="333"/>
      <c r="E179" s="333"/>
      <c r="F179" s="366"/>
      <c r="G179" s="366"/>
      <c r="H179" s="366"/>
      <c r="I179" s="366"/>
      <c r="J179" s="366"/>
      <c r="K179" s="366"/>
      <c r="L179" s="366"/>
      <c r="M179" s="366"/>
      <c r="N179" s="366"/>
      <c r="O179" s="366"/>
    </row>
    <row r="180" spans="1:15" ht="12.75" customHeight="1">
      <c r="A180" s="333"/>
      <c r="B180" s="333"/>
      <c r="C180" s="333"/>
      <c r="D180" s="333"/>
      <c r="E180" s="333"/>
      <c r="F180" s="366"/>
      <c r="G180" s="366"/>
      <c r="H180" s="366"/>
      <c r="I180" s="366"/>
      <c r="J180" s="366"/>
      <c r="K180" s="366"/>
      <c r="L180" s="366"/>
      <c r="M180" s="366"/>
      <c r="N180" s="366"/>
      <c r="O180" s="366"/>
    </row>
    <row r="181" spans="1:15" ht="12.75" customHeight="1">
      <c r="A181" s="333"/>
      <c r="B181" s="333"/>
      <c r="C181" s="333"/>
      <c r="D181" s="333"/>
      <c r="E181" s="333"/>
      <c r="F181" s="366"/>
      <c r="G181" s="366"/>
      <c r="H181" s="366"/>
      <c r="I181" s="366"/>
      <c r="J181" s="366"/>
      <c r="K181" s="366"/>
      <c r="L181" s="366"/>
      <c r="M181" s="366"/>
      <c r="N181" s="366"/>
      <c r="O181" s="366"/>
    </row>
    <row r="182" spans="1:15" ht="12.75" customHeight="1">
      <c r="A182" s="333"/>
      <c r="B182" s="333"/>
      <c r="C182" s="333"/>
      <c r="D182" s="333"/>
      <c r="E182" s="333"/>
      <c r="F182" s="366"/>
      <c r="G182" s="366"/>
      <c r="H182" s="366"/>
      <c r="I182" s="366"/>
      <c r="J182" s="366"/>
      <c r="K182" s="366"/>
      <c r="L182" s="366"/>
      <c r="M182" s="366"/>
      <c r="N182" s="366"/>
      <c r="O182" s="366"/>
    </row>
    <row r="183" spans="1:15" ht="12.75" customHeight="1">
      <c r="A183" s="333"/>
      <c r="B183" s="333"/>
      <c r="C183" s="333"/>
      <c r="D183" s="333"/>
      <c r="E183" s="333"/>
      <c r="F183" s="366"/>
      <c r="G183" s="366"/>
      <c r="H183" s="366"/>
      <c r="I183" s="366"/>
      <c r="J183" s="366"/>
      <c r="K183" s="366"/>
      <c r="L183" s="366"/>
      <c r="M183" s="366"/>
      <c r="N183" s="366"/>
      <c r="O183" s="366"/>
    </row>
    <row r="184" spans="1:15" ht="12.75" customHeight="1">
      <c r="A184" s="333"/>
      <c r="B184" s="333"/>
      <c r="C184" s="333"/>
      <c r="D184" s="333"/>
      <c r="E184" s="333"/>
      <c r="F184" s="366"/>
      <c r="G184" s="366"/>
      <c r="H184" s="366"/>
      <c r="I184" s="366"/>
      <c r="J184" s="366"/>
      <c r="K184" s="366"/>
      <c r="L184" s="366"/>
      <c r="M184" s="366"/>
      <c r="N184" s="366"/>
      <c r="O184" s="366"/>
    </row>
    <row r="185" spans="1:15" ht="12.75" customHeight="1">
      <c r="A185" s="333"/>
      <c r="B185" s="333"/>
      <c r="C185" s="333"/>
      <c r="D185" s="333"/>
      <c r="E185" s="333"/>
      <c r="F185" s="366"/>
      <c r="G185" s="366"/>
      <c r="H185" s="366"/>
      <c r="I185" s="366"/>
      <c r="J185" s="366"/>
      <c r="K185" s="366"/>
      <c r="L185" s="366"/>
      <c r="M185" s="366"/>
      <c r="N185" s="366"/>
      <c r="O185" s="366"/>
    </row>
    <row r="186" spans="1:15" ht="12.75" customHeight="1">
      <c r="A186" s="333"/>
      <c r="B186" s="333"/>
      <c r="C186" s="333"/>
      <c r="D186" s="333"/>
      <c r="E186" s="333"/>
      <c r="F186" s="366"/>
      <c r="G186" s="366"/>
      <c r="H186" s="366"/>
      <c r="I186" s="366"/>
      <c r="J186" s="366"/>
      <c r="K186" s="366"/>
      <c r="L186" s="366"/>
      <c r="M186" s="366"/>
      <c r="N186" s="366"/>
      <c r="O186" s="366"/>
    </row>
    <row r="187" spans="1:15" ht="12.75" customHeight="1">
      <c r="A187" s="333"/>
      <c r="B187" s="333"/>
      <c r="C187" s="333"/>
      <c r="D187" s="333"/>
      <c r="E187" s="333"/>
      <c r="F187" s="366"/>
      <c r="G187" s="366"/>
      <c r="H187" s="366"/>
      <c r="I187" s="366"/>
      <c r="J187" s="366"/>
      <c r="K187" s="366"/>
      <c r="L187" s="366"/>
      <c r="M187" s="366"/>
      <c r="N187" s="366"/>
      <c r="O187" s="366"/>
    </row>
    <row r="188" spans="1:15" ht="12.75" customHeight="1">
      <c r="A188" s="333"/>
      <c r="B188" s="333"/>
      <c r="C188" s="333"/>
      <c r="D188" s="333"/>
      <c r="E188" s="333"/>
      <c r="F188" s="366"/>
      <c r="G188" s="366"/>
      <c r="H188" s="366"/>
      <c r="I188" s="366"/>
      <c r="J188" s="366"/>
      <c r="K188" s="366"/>
      <c r="L188" s="366"/>
      <c r="M188" s="366"/>
      <c r="N188" s="366"/>
      <c r="O188" s="366"/>
    </row>
    <row r="189" spans="1:15" ht="12.75" customHeight="1">
      <c r="A189" s="333"/>
      <c r="B189" s="333"/>
      <c r="C189" s="333"/>
      <c r="D189" s="333"/>
      <c r="E189" s="333"/>
      <c r="F189" s="366"/>
      <c r="G189" s="366"/>
      <c r="H189" s="366"/>
      <c r="I189" s="366"/>
      <c r="J189" s="366"/>
      <c r="K189" s="366"/>
      <c r="L189" s="366"/>
      <c r="M189" s="366"/>
      <c r="N189" s="366"/>
      <c r="O189" s="366"/>
    </row>
    <row r="190" spans="1:15" ht="12.75" customHeight="1">
      <c r="A190" s="333"/>
      <c r="B190" s="333"/>
      <c r="C190" s="333"/>
      <c r="D190" s="333"/>
      <c r="E190" s="333"/>
      <c r="F190" s="366"/>
      <c r="G190" s="366"/>
      <c r="H190" s="366"/>
      <c r="I190" s="366"/>
      <c r="J190" s="366"/>
      <c r="K190" s="366"/>
      <c r="L190" s="366"/>
      <c r="M190" s="366"/>
      <c r="N190" s="366"/>
      <c r="O190" s="366"/>
    </row>
    <row r="191" spans="1:15" ht="12.75" customHeight="1">
      <c r="A191" s="333"/>
      <c r="B191" s="333"/>
      <c r="C191" s="333"/>
      <c r="D191" s="333"/>
      <c r="E191" s="333"/>
      <c r="F191" s="366"/>
      <c r="G191" s="366"/>
      <c r="H191" s="366"/>
      <c r="I191" s="366"/>
      <c r="J191" s="366"/>
      <c r="K191" s="366"/>
      <c r="L191" s="366"/>
      <c r="M191" s="366"/>
      <c r="N191" s="366"/>
      <c r="O191" s="366"/>
    </row>
    <row r="192" spans="1:15" ht="12.75" customHeight="1">
      <c r="A192" s="333"/>
      <c r="B192" s="333"/>
      <c r="C192" s="333"/>
      <c r="D192" s="333"/>
      <c r="E192" s="333"/>
      <c r="F192" s="366"/>
      <c r="G192" s="366"/>
      <c r="H192" s="366"/>
      <c r="I192" s="366"/>
      <c r="J192" s="366"/>
      <c r="K192" s="366"/>
      <c r="L192" s="366"/>
      <c r="M192" s="366"/>
      <c r="N192" s="366"/>
      <c r="O192" s="366"/>
    </row>
    <row r="193" spans="1:15" ht="12.75" customHeight="1">
      <c r="A193" s="333"/>
      <c r="B193" s="333"/>
      <c r="C193" s="333"/>
      <c r="D193" s="333"/>
      <c r="E193" s="333"/>
      <c r="F193" s="366"/>
      <c r="G193" s="366"/>
      <c r="H193" s="366"/>
      <c r="I193" s="366"/>
      <c r="J193" s="366"/>
      <c r="K193" s="366"/>
      <c r="L193" s="366"/>
      <c r="M193" s="366"/>
      <c r="N193" s="366"/>
      <c r="O193" s="366"/>
    </row>
    <row r="194" spans="1:15" ht="12.75" customHeight="1">
      <c r="A194" s="333"/>
      <c r="B194" s="333"/>
      <c r="C194" s="333"/>
      <c r="D194" s="333"/>
      <c r="E194" s="333"/>
      <c r="F194" s="366"/>
      <c r="G194" s="366"/>
      <c r="H194" s="366"/>
      <c r="I194" s="366"/>
      <c r="J194" s="366"/>
      <c r="K194" s="366"/>
      <c r="L194" s="366"/>
      <c r="M194" s="366"/>
      <c r="N194" s="366"/>
      <c r="O194" s="366"/>
    </row>
    <row r="195" spans="1:15" ht="12.75" customHeight="1">
      <c r="A195" s="333"/>
      <c r="B195" s="333"/>
      <c r="C195" s="333"/>
      <c r="D195" s="333"/>
      <c r="E195" s="333"/>
      <c r="F195" s="366"/>
      <c r="G195" s="366"/>
      <c r="H195" s="366"/>
      <c r="I195" s="366"/>
      <c r="J195" s="366"/>
      <c r="K195" s="366"/>
      <c r="L195" s="366"/>
      <c r="M195" s="366"/>
      <c r="N195" s="366"/>
      <c r="O195" s="366"/>
    </row>
    <row r="196" spans="1:15" ht="12.75" customHeight="1">
      <c r="A196" s="333"/>
      <c r="B196" s="333"/>
      <c r="C196" s="333"/>
      <c r="D196" s="333"/>
      <c r="E196" s="333"/>
      <c r="F196" s="366"/>
      <c r="G196" s="366"/>
      <c r="H196" s="366"/>
      <c r="I196" s="366"/>
      <c r="J196" s="366"/>
      <c r="K196" s="366"/>
      <c r="L196" s="366"/>
      <c r="M196" s="366"/>
      <c r="N196" s="366"/>
      <c r="O196" s="366"/>
    </row>
    <row r="197" spans="1:15" ht="12.75" customHeight="1">
      <c r="A197" s="333"/>
      <c r="B197" s="333"/>
      <c r="C197" s="333"/>
      <c r="D197" s="333"/>
      <c r="E197" s="333"/>
      <c r="F197" s="366"/>
      <c r="G197" s="366"/>
      <c r="H197" s="366"/>
      <c r="I197" s="366"/>
      <c r="J197" s="366"/>
      <c r="K197" s="366"/>
      <c r="L197" s="366"/>
      <c r="M197" s="366"/>
      <c r="N197" s="366"/>
      <c r="O197" s="366"/>
    </row>
    <row r="198" spans="1:15" ht="12.75" customHeight="1">
      <c r="A198" s="333"/>
      <c r="B198" s="333"/>
      <c r="C198" s="333"/>
      <c r="D198" s="333"/>
      <c r="E198" s="333"/>
      <c r="F198" s="366"/>
      <c r="G198" s="366"/>
      <c r="H198" s="366"/>
      <c r="I198" s="366"/>
      <c r="J198" s="366"/>
      <c r="K198" s="366"/>
      <c r="L198" s="366"/>
      <c r="M198" s="366"/>
      <c r="N198" s="366"/>
      <c r="O198" s="366"/>
    </row>
    <row r="199" spans="1:15" ht="12.75" customHeight="1">
      <c r="A199" s="333"/>
      <c r="B199" s="333"/>
      <c r="C199" s="333"/>
      <c r="D199" s="333"/>
      <c r="E199" s="333"/>
      <c r="F199" s="366"/>
      <c r="G199" s="366"/>
      <c r="H199" s="366"/>
      <c r="I199" s="366"/>
      <c r="J199" s="366"/>
      <c r="K199" s="366"/>
      <c r="L199" s="366"/>
      <c r="M199" s="366"/>
      <c r="N199" s="366"/>
      <c r="O199" s="366"/>
    </row>
    <row r="200" spans="1:15" ht="12.75" customHeight="1">
      <c r="A200" s="333"/>
      <c r="B200" s="333"/>
      <c r="C200" s="333"/>
      <c r="D200" s="333"/>
      <c r="E200" s="333"/>
      <c r="F200" s="366"/>
      <c r="G200" s="366"/>
      <c r="H200" s="366"/>
      <c r="I200" s="366"/>
      <c r="J200" s="366"/>
      <c r="K200" s="366"/>
      <c r="L200" s="366"/>
      <c r="M200" s="366"/>
      <c r="N200" s="366"/>
      <c r="O200" s="366"/>
    </row>
    <row r="201" spans="1:15" ht="12.75" customHeight="1">
      <c r="A201" s="333"/>
      <c r="B201" s="333"/>
      <c r="C201" s="333"/>
      <c r="D201" s="333"/>
      <c r="E201" s="333"/>
      <c r="F201" s="366"/>
      <c r="G201" s="366"/>
      <c r="H201" s="366"/>
      <c r="I201" s="366"/>
      <c r="J201" s="366"/>
      <c r="K201" s="366"/>
      <c r="L201" s="366"/>
      <c r="M201" s="366"/>
      <c r="N201" s="366"/>
      <c r="O201" s="366"/>
    </row>
    <row r="202" spans="1:15" ht="12.75" customHeight="1">
      <c r="A202" s="333"/>
      <c r="B202" s="333"/>
      <c r="C202" s="333"/>
      <c r="D202" s="333"/>
      <c r="E202" s="333"/>
      <c r="F202" s="366"/>
      <c r="G202" s="366"/>
      <c r="H202" s="366"/>
      <c r="I202" s="366"/>
      <c r="J202" s="366"/>
      <c r="K202" s="366"/>
      <c r="L202" s="366"/>
      <c r="M202" s="366"/>
      <c r="N202" s="366"/>
      <c r="O202" s="366"/>
    </row>
    <row r="203" spans="1:15" ht="12.75" customHeight="1">
      <c r="A203" s="333"/>
      <c r="B203" s="333"/>
      <c r="C203" s="333"/>
      <c r="D203" s="333"/>
      <c r="E203" s="333"/>
      <c r="F203" s="366"/>
      <c r="G203" s="366"/>
      <c r="H203" s="366"/>
      <c r="I203" s="366"/>
      <c r="J203" s="366"/>
      <c r="K203" s="366"/>
      <c r="L203" s="366"/>
      <c r="M203" s="366"/>
      <c r="N203" s="366"/>
      <c r="O203" s="366"/>
    </row>
    <row r="204" spans="1:15" ht="12.75" customHeight="1">
      <c r="A204" s="333"/>
      <c r="B204" s="333"/>
      <c r="C204" s="333"/>
      <c r="D204" s="333"/>
      <c r="E204" s="333"/>
      <c r="F204" s="366"/>
      <c r="G204" s="366"/>
      <c r="H204" s="366"/>
      <c r="I204" s="366"/>
      <c r="J204" s="366"/>
      <c r="K204" s="366"/>
      <c r="L204" s="366"/>
      <c r="M204" s="366"/>
      <c r="N204" s="366"/>
      <c r="O204" s="366"/>
    </row>
    <row r="205" spans="1:15" ht="12.75" customHeight="1">
      <c r="A205" s="333"/>
      <c r="B205" s="333"/>
      <c r="C205" s="333"/>
      <c r="D205" s="333"/>
      <c r="E205" s="333"/>
      <c r="F205" s="366"/>
      <c r="G205" s="366"/>
      <c r="H205" s="366"/>
      <c r="I205" s="366"/>
      <c r="J205" s="366"/>
      <c r="K205" s="366"/>
      <c r="L205" s="366"/>
      <c r="M205" s="366"/>
      <c r="N205" s="366"/>
      <c r="O205" s="366"/>
    </row>
    <row r="206" spans="1:15" ht="12.75" customHeight="1">
      <c r="A206" s="333"/>
      <c r="B206" s="333"/>
      <c r="C206" s="333"/>
      <c r="D206" s="333"/>
      <c r="E206" s="333"/>
      <c r="F206" s="366"/>
      <c r="G206" s="366"/>
      <c r="H206" s="366"/>
      <c r="I206" s="366"/>
      <c r="J206" s="366"/>
      <c r="K206" s="366"/>
      <c r="L206" s="366"/>
      <c r="M206" s="366"/>
      <c r="N206" s="366"/>
      <c r="O206" s="366"/>
    </row>
    <row r="207" spans="1:15" ht="12.75" customHeight="1">
      <c r="A207" s="333"/>
      <c r="B207" s="333"/>
      <c r="C207" s="333"/>
      <c r="D207" s="333"/>
      <c r="E207" s="333"/>
      <c r="F207" s="366"/>
      <c r="G207" s="366"/>
      <c r="H207" s="366"/>
      <c r="I207" s="366"/>
      <c r="J207" s="366"/>
      <c r="K207" s="366"/>
      <c r="L207" s="366"/>
      <c r="M207" s="366"/>
      <c r="N207" s="366"/>
      <c r="O207" s="366"/>
    </row>
    <row r="208" spans="1:15" ht="12.75" customHeight="1">
      <c r="A208" s="333"/>
      <c r="B208" s="333"/>
      <c r="C208" s="333"/>
      <c r="D208" s="333"/>
      <c r="E208" s="333"/>
      <c r="F208" s="366"/>
      <c r="G208" s="366"/>
      <c r="H208" s="366"/>
      <c r="I208" s="366"/>
      <c r="J208" s="366"/>
      <c r="K208" s="366"/>
      <c r="L208" s="366"/>
      <c r="M208" s="366"/>
      <c r="N208" s="366"/>
      <c r="O208" s="366"/>
    </row>
    <row r="209" spans="1:15" ht="12.75" customHeight="1">
      <c r="A209" s="333"/>
      <c r="B209" s="333"/>
      <c r="C209" s="333"/>
      <c r="D209" s="333"/>
      <c r="E209" s="333"/>
      <c r="F209" s="366"/>
      <c r="G209" s="366"/>
      <c r="H209" s="366"/>
      <c r="I209" s="366"/>
      <c r="J209" s="366"/>
      <c r="K209" s="366"/>
      <c r="L209" s="366"/>
      <c r="M209" s="366"/>
      <c r="N209" s="366"/>
      <c r="O209" s="366"/>
    </row>
    <row r="210" spans="1:15" ht="12.75" customHeight="1">
      <c r="A210" s="333"/>
      <c r="B210" s="333"/>
      <c r="C210" s="333"/>
      <c r="D210" s="333"/>
      <c r="E210" s="333"/>
      <c r="F210" s="366"/>
      <c r="G210" s="366"/>
      <c r="H210" s="366"/>
      <c r="I210" s="366"/>
      <c r="J210" s="366"/>
      <c r="K210" s="366"/>
      <c r="L210" s="366"/>
      <c r="M210" s="366"/>
      <c r="N210" s="366"/>
      <c r="O210" s="366"/>
    </row>
    <row r="211" spans="1:15" ht="12.75" customHeight="1">
      <c r="A211" s="333"/>
      <c r="B211" s="333"/>
      <c r="C211" s="333"/>
      <c r="D211" s="333"/>
      <c r="E211" s="333"/>
      <c r="F211" s="366"/>
      <c r="G211" s="366"/>
      <c r="H211" s="366"/>
      <c r="I211" s="366"/>
      <c r="J211" s="366"/>
      <c r="K211" s="366"/>
      <c r="L211" s="366"/>
      <c r="M211" s="366"/>
      <c r="N211" s="366"/>
      <c r="O211" s="366"/>
    </row>
    <row r="212" spans="1:15" ht="12.75" customHeight="1">
      <c r="A212" s="333"/>
      <c r="B212" s="333"/>
      <c r="C212" s="333"/>
      <c r="D212" s="333"/>
      <c r="E212" s="333"/>
      <c r="F212" s="366"/>
      <c r="G212" s="366"/>
      <c r="H212" s="366"/>
      <c r="I212" s="366"/>
      <c r="J212" s="366"/>
      <c r="K212" s="366"/>
      <c r="L212" s="366"/>
      <c r="M212" s="366"/>
      <c r="N212" s="366"/>
      <c r="O212" s="366"/>
    </row>
    <row r="213" spans="1:15" ht="12.75" customHeight="1">
      <c r="A213" s="333"/>
      <c r="B213" s="333"/>
      <c r="C213" s="333"/>
      <c r="D213" s="333"/>
      <c r="E213" s="333"/>
      <c r="F213" s="366"/>
      <c r="G213" s="366"/>
      <c r="H213" s="366"/>
      <c r="I213" s="366"/>
      <c r="J213" s="366"/>
      <c r="K213" s="366"/>
      <c r="L213" s="366"/>
      <c r="M213" s="366"/>
      <c r="N213" s="366"/>
      <c r="O213" s="366"/>
    </row>
    <row r="214" spans="1:15" ht="12.75" customHeight="1">
      <c r="A214" s="333"/>
      <c r="B214" s="333"/>
      <c r="C214" s="333"/>
      <c r="D214" s="333"/>
      <c r="E214" s="333"/>
      <c r="F214" s="366"/>
      <c r="G214" s="366"/>
      <c r="H214" s="366"/>
      <c r="I214" s="366"/>
      <c r="J214" s="366"/>
      <c r="K214" s="366"/>
      <c r="L214" s="366"/>
      <c r="M214" s="366"/>
      <c r="N214" s="366"/>
      <c r="O214" s="366"/>
    </row>
    <row r="215" spans="1:15" ht="12.75" customHeight="1">
      <c r="A215" s="333"/>
      <c r="B215" s="333"/>
      <c r="C215" s="333"/>
      <c r="D215" s="333"/>
      <c r="E215" s="333"/>
      <c r="F215" s="366"/>
      <c r="G215" s="366"/>
      <c r="H215" s="366"/>
      <c r="I215" s="366"/>
      <c r="J215" s="366"/>
      <c r="K215" s="366"/>
      <c r="L215" s="366"/>
      <c r="M215" s="366"/>
      <c r="N215" s="366"/>
      <c r="O215" s="366"/>
    </row>
    <row r="216" spans="1:15" ht="12.75" customHeight="1">
      <c r="A216" s="333"/>
      <c r="B216" s="333"/>
      <c r="C216" s="333"/>
      <c r="D216" s="333"/>
      <c r="E216" s="333"/>
      <c r="F216" s="366"/>
      <c r="G216" s="366"/>
      <c r="H216" s="366"/>
      <c r="I216" s="366"/>
      <c r="J216" s="366"/>
      <c r="K216" s="366"/>
      <c r="L216" s="366"/>
      <c r="M216" s="366"/>
      <c r="N216" s="366"/>
      <c r="O216" s="366"/>
    </row>
    <row r="217" spans="1:15" ht="12.75" customHeight="1">
      <c r="A217" s="333"/>
      <c r="B217" s="333"/>
      <c r="C217" s="333"/>
      <c r="D217" s="333"/>
      <c r="E217" s="333"/>
      <c r="F217" s="366"/>
      <c r="G217" s="366"/>
      <c r="H217" s="366"/>
      <c r="I217" s="366"/>
      <c r="J217" s="366"/>
      <c r="K217" s="366"/>
      <c r="L217" s="366"/>
      <c r="M217" s="366"/>
      <c r="N217" s="366"/>
      <c r="O217" s="366"/>
    </row>
    <row r="218" spans="1:15" ht="12.75" customHeight="1">
      <c r="A218" s="333"/>
      <c r="B218" s="333"/>
      <c r="C218" s="333"/>
      <c r="D218" s="333"/>
      <c r="E218" s="333"/>
      <c r="F218" s="366"/>
      <c r="G218" s="366"/>
      <c r="H218" s="366"/>
      <c r="I218" s="366"/>
      <c r="J218" s="366"/>
      <c r="K218" s="366"/>
      <c r="L218" s="366"/>
      <c r="M218" s="366"/>
      <c r="N218" s="366"/>
      <c r="O218" s="366"/>
    </row>
    <row r="219" spans="1:15" ht="12.75" customHeight="1">
      <c r="A219" s="333"/>
      <c r="B219" s="333"/>
      <c r="C219" s="333"/>
      <c r="D219" s="333"/>
      <c r="E219" s="333"/>
      <c r="F219" s="366"/>
      <c r="G219" s="366"/>
      <c r="H219" s="366"/>
      <c r="I219" s="366"/>
      <c r="J219" s="366"/>
      <c r="K219" s="366"/>
      <c r="L219" s="366"/>
      <c r="M219" s="366"/>
      <c r="N219" s="366"/>
      <c r="O219" s="366"/>
    </row>
    <row r="220" spans="1:15" ht="12.75" customHeight="1">
      <c r="A220" s="333"/>
      <c r="B220" s="333"/>
      <c r="C220" s="333"/>
      <c r="D220" s="333"/>
      <c r="E220" s="333"/>
      <c r="F220" s="366"/>
      <c r="G220" s="366"/>
      <c r="H220" s="366"/>
      <c r="I220" s="366"/>
      <c r="J220" s="366"/>
      <c r="K220" s="366"/>
      <c r="L220" s="366"/>
      <c r="M220" s="366"/>
      <c r="N220" s="366"/>
      <c r="O220" s="366"/>
    </row>
    <row r="221" spans="1:15" ht="12.75" customHeight="1">
      <c r="A221" s="333"/>
      <c r="B221" s="333"/>
      <c r="C221" s="333"/>
      <c r="D221" s="333"/>
      <c r="E221" s="333"/>
      <c r="F221" s="366"/>
      <c r="G221" s="366"/>
      <c r="H221" s="366"/>
      <c r="I221" s="366"/>
      <c r="J221" s="366"/>
      <c r="K221" s="366"/>
      <c r="L221" s="366"/>
      <c r="M221" s="366"/>
      <c r="N221" s="366"/>
      <c r="O221" s="366"/>
    </row>
    <row r="222" spans="1:15" ht="12.75" customHeight="1">
      <c r="A222" s="333"/>
      <c r="B222" s="333"/>
      <c r="C222" s="333"/>
      <c r="D222" s="333"/>
      <c r="E222" s="333"/>
      <c r="F222" s="366"/>
      <c r="G222" s="366"/>
      <c r="H222" s="366"/>
      <c r="I222" s="366"/>
      <c r="J222" s="366"/>
      <c r="K222" s="366"/>
      <c r="L222" s="366"/>
      <c r="M222" s="366"/>
      <c r="N222" s="366"/>
      <c r="O222" s="366"/>
    </row>
    <row r="223" spans="1:15" ht="12.75" customHeight="1">
      <c r="A223" s="333"/>
      <c r="B223" s="333"/>
      <c r="C223" s="333"/>
      <c r="D223" s="333"/>
      <c r="E223" s="333"/>
      <c r="F223" s="366"/>
      <c r="G223" s="366"/>
      <c r="H223" s="366"/>
      <c r="I223" s="366"/>
      <c r="J223" s="366"/>
      <c r="K223" s="366"/>
      <c r="L223" s="366"/>
      <c r="M223" s="366"/>
      <c r="N223" s="366"/>
      <c r="O223" s="366"/>
    </row>
    <row r="224" spans="1:15" ht="12.75" customHeight="1">
      <c r="A224" s="333"/>
      <c r="B224" s="333"/>
      <c r="C224" s="333"/>
      <c r="D224" s="333"/>
      <c r="E224" s="333"/>
      <c r="F224" s="366"/>
      <c r="G224" s="366"/>
      <c r="H224" s="366"/>
      <c r="I224" s="366"/>
      <c r="J224" s="366"/>
      <c r="K224" s="366"/>
      <c r="L224" s="366"/>
      <c r="M224" s="366"/>
      <c r="N224" s="366"/>
      <c r="O224" s="366"/>
    </row>
    <row r="225" spans="1:15" ht="12.75" customHeight="1">
      <c r="A225" s="333"/>
      <c r="B225" s="333"/>
      <c r="C225" s="333"/>
      <c r="D225" s="333"/>
      <c r="E225" s="333"/>
      <c r="F225" s="366"/>
      <c r="G225" s="366"/>
      <c r="H225" s="366"/>
      <c r="I225" s="366"/>
      <c r="J225" s="366"/>
      <c r="K225" s="366"/>
      <c r="L225" s="366"/>
      <c r="M225" s="366"/>
      <c r="N225" s="366"/>
      <c r="O225" s="366"/>
    </row>
    <row r="226" spans="1:15" ht="12.75" customHeight="1">
      <c r="A226" s="333"/>
      <c r="B226" s="333"/>
      <c r="C226" s="333"/>
      <c r="D226" s="333"/>
      <c r="E226" s="333"/>
      <c r="F226" s="366"/>
      <c r="G226" s="366"/>
      <c r="H226" s="366"/>
      <c r="I226" s="366"/>
      <c r="J226" s="366"/>
      <c r="K226" s="366"/>
      <c r="L226" s="366"/>
      <c r="M226" s="366"/>
      <c r="N226" s="366"/>
      <c r="O226" s="366"/>
    </row>
    <row r="227" spans="1:15" ht="12.75" customHeight="1">
      <c r="A227" s="333"/>
      <c r="B227" s="333"/>
      <c r="C227" s="333"/>
      <c r="D227" s="333"/>
      <c r="E227" s="333"/>
      <c r="F227" s="366"/>
      <c r="G227" s="366"/>
      <c r="H227" s="366"/>
      <c r="I227" s="366"/>
      <c r="J227" s="366"/>
      <c r="K227" s="366"/>
      <c r="L227" s="366"/>
      <c r="M227" s="366"/>
      <c r="N227" s="366"/>
      <c r="O227" s="366"/>
    </row>
    <row r="228" spans="1:15" ht="12.75" customHeight="1">
      <c r="A228" s="333"/>
      <c r="B228" s="333"/>
      <c r="C228" s="333"/>
      <c r="D228" s="333"/>
      <c r="E228" s="333"/>
      <c r="F228" s="366"/>
      <c r="G228" s="366"/>
      <c r="H228" s="366"/>
      <c r="I228" s="366"/>
      <c r="J228" s="366"/>
      <c r="K228" s="366"/>
      <c r="L228" s="366"/>
      <c r="M228" s="366"/>
      <c r="N228" s="366"/>
      <c r="O228" s="366"/>
    </row>
    <row r="229" spans="1:15" ht="12.75" customHeight="1">
      <c r="A229" s="333"/>
      <c r="B229" s="333"/>
      <c r="C229" s="333"/>
      <c r="D229" s="333"/>
      <c r="E229" s="333"/>
      <c r="F229" s="366"/>
      <c r="G229" s="366"/>
      <c r="H229" s="366"/>
      <c r="I229" s="366"/>
      <c r="J229" s="366"/>
      <c r="K229" s="366"/>
      <c r="L229" s="366"/>
      <c r="M229" s="366"/>
      <c r="N229" s="366"/>
      <c r="O229" s="366"/>
    </row>
    <row r="230" spans="1:15" ht="12.75" customHeight="1">
      <c r="A230" s="333"/>
      <c r="B230" s="333"/>
      <c r="C230" s="333"/>
      <c r="D230" s="333"/>
      <c r="E230" s="333"/>
      <c r="F230" s="366"/>
      <c r="G230" s="366"/>
      <c r="H230" s="366"/>
      <c r="I230" s="366"/>
      <c r="J230" s="366"/>
      <c r="K230" s="366"/>
      <c r="L230" s="366"/>
      <c r="M230" s="366"/>
      <c r="N230" s="366"/>
      <c r="O230" s="366"/>
    </row>
    <row r="231" spans="1:15" ht="12.75" customHeight="1">
      <c r="A231" s="333"/>
      <c r="B231" s="333"/>
      <c r="C231" s="333"/>
      <c r="D231" s="333"/>
      <c r="E231" s="333"/>
      <c r="F231" s="366"/>
      <c r="G231" s="366"/>
      <c r="H231" s="366"/>
      <c r="I231" s="366"/>
      <c r="J231" s="366"/>
      <c r="K231" s="366"/>
      <c r="L231" s="366"/>
      <c r="M231" s="366"/>
      <c r="N231" s="366"/>
      <c r="O231" s="366"/>
    </row>
    <row r="232" spans="1:15" ht="12.75" customHeight="1">
      <c r="A232" s="333"/>
      <c r="B232" s="333"/>
      <c r="C232" s="333"/>
      <c r="D232" s="333"/>
      <c r="E232" s="333"/>
      <c r="F232" s="366"/>
      <c r="G232" s="366"/>
      <c r="H232" s="366"/>
      <c r="I232" s="366"/>
      <c r="J232" s="366"/>
      <c r="K232" s="366"/>
      <c r="L232" s="366"/>
      <c r="M232" s="366"/>
      <c r="N232" s="366"/>
      <c r="O232" s="366"/>
    </row>
    <row r="233" spans="1:15" ht="12.75" customHeight="1">
      <c r="A233" s="333"/>
      <c r="B233" s="333"/>
      <c r="C233" s="333"/>
      <c r="D233" s="333"/>
      <c r="E233" s="333"/>
      <c r="F233" s="366"/>
      <c r="G233" s="366"/>
      <c r="H233" s="366"/>
      <c r="I233" s="366"/>
      <c r="J233" s="366"/>
      <c r="K233" s="366"/>
      <c r="L233" s="366"/>
      <c r="M233" s="366"/>
      <c r="N233" s="366"/>
      <c r="O233" s="366"/>
    </row>
    <row r="234" spans="1:15" ht="12.75" customHeight="1">
      <c r="A234" s="333"/>
      <c r="B234" s="333"/>
      <c r="C234" s="333"/>
      <c r="D234" s="333"/>
      <c r="E234" s="333"/>
      <c r="F234" s="366"/>
      <c r="G234" s="366"/>
      <c r="H234" s="366"/>
      <c r="I234" s="366"/>
      <c r="J234" s="366"/>
      <c r="K234" s="366"/>
      <c r="L234" s="366"/>
      <c r="M234" s="366"/>
      <c r="N234" s="366"/>
      <c r="O234" s="366"/>
    </row>
    <row r="235" spans="1:15" ht="12.75" customHeight="1">
      <c r="A235" s="333"/>
      <c r="B235" s="333"/>
      <c r="C235" s="333"/>
      <c r="D235" s="333"/>
      <c r="E235" s="333"/>
      <c r="F235" s="366"/>
      <c r="G235" s="366"/>
      <c r="H235" s="366"/>
      <c r="I235" s="366"/>
      <c r="J235" s="366"/>
      <c r="K235" s="366"/>
      <c r="L235" s="366"/>
      <c r="M235" s="366"/>
      <c r="N235" s="366"/>
      <c r="O235" s="366"/>
    </row>
    <row r="236" spans="1:15" ht="12.75" customHeight="1">
      <c r="A236" s="333"/>
      <c r="B236" s="333"/>
      <c r="C236" s="333"/>
      <c r="D236" s="333"/>
      <c r="E236" s="333"/>
      <c r="F236" s="366"/>
      <c r="G236" s="366"/>
      <c r="H236" s="366"/>
      <c r="I236" s="366"/>
      <c r="J236" s="366"/>
      <c r="K236" s="366"/>
      <c r="L236" s="366"/>
      <c r="M236" s="366"/>
      <c r="N236" s="366"/>
      <c r="O236" s="366"/>
    </row>
    <row r="237" spans="1:15" ht="12.75" customHeight="1">
      <c r="A237" s="333"/>
      <c r="B237" s="333"/>
      <c r="C237" s="333"/>
      <c r="D237" s="333"/>
      <c r="E237" s="333"/>
      <c r="F237" s="366"/>
      <c r="G237" s="366"/>
      <c r="H237" s="366"/>
      <c r="I237" s="366"/>
      <c r="J237" s="366"/>
      <c r="K237" s="366"/>
      <c r="L237" s="366"/>
      <c r="M237" s="366"/>
      <c r="N237" s="366"/>
      <c r="O237" s="366"/>
    </row>
    <row r="238" spans="1:15" ht="12.75" customHeight="1">
      <c r="A238" s="333"/>
      <c r="B238" s="333"/>
      <c r="C238" s="333"/>
      <c r="D238" s="333"/>
      <c r="E238" s="333"/>
      <c r="F238" s="366"/>
      <c r="G238" s="366"/>
      <c r="H238" s="366"/>
      <c r="I238" s="366"/>
      <c r="J238" s="366"/>
      <c r="K238" s="366"/>
      <c r="L238" s="366"/>
      <c r="M238" s="366"/>
      <c r="N238" s="366"/>
      <c r="O238" s="366"/>
    </row>
    <row r="239" spans="1:15" ht="12.75" customHeight="1">
      <c r="A239" s="333"/>
      <c r="B239" s="333"/>
      <c r="C239" s="333"/>
      <c r="D239" s="333"/>
      <c r="E239" s="333"/>
      <c r="F239" s="366"/>
      <c r="G239" s="366"/>
      <c r="H239" s="366"/>
      <c r="I239" s="366"/>
      <c r="J239" s="366"/>
      <c r="K239" s="366"/>
      <c r="L239" s="366"/>
      <c r="M239" s="366"/>
      <c r="N239" s="366"/>
      <c r="O239" s="366"/>
    </row>
    <row r="240" spans="1:15" ht="12.75" customHeight="1">
      <c r="A240" s="333"/>
      <c r="B240" s="333"/>
      <c r="C240" s="333"/>
      <c r="D240" s="333"/>
      <c r="E240" s="333"/>
      <c r="F240" s="366"/>
      <c r="G240" s="366"/>
      <c r="H240" s="366"/>
      <c r="I240" s="366"/>
      <c r="J240" s="366"/>
      <c r="K240" s="366"/>
      <c r="L240" s="366"/>
      <c r="M240" s="366"/>
      <c r="N240" s="366"/>
      <c r="O240" s="366"/>
    </row>
    <row r="241" spans="1:15" ht="12.75" customHeight="1">
      <c r="A241" s="333"/>
      <c r="B241" s="333"/>
      <c r="C241" s="333"/>
      <c r="D241" s="333"/>
      <c r="E241" s="333"/>
      <c r="F241" s="366"/>
      <c r="G241" s="366"/>
      <c r="H241" s="366"/>
      <c r="I241" s="366"/>
      <c r="J241" s="366"/>
      <c r="K241" s="366"/>
      <c r="L241" s="366"/>
      <c r="M241" s="366"/>
      <c r="N241" s="366"/>
      <c r="O241" s="366"/>
    </row>
    <row r="242" spans="1:15" ht="12.75" customHeight="1">
      <c r="A242" s="333"/>
      <c r="B242" s="333"/>
      <c r="C242" s="333"/>
      <c r="D242" s="333"/>
      <c r="E242" s="333"/>
      <c r="F242" s="366"/>
      <c r="G242" s="366"/>
      <c r="H242" s="366"/>
      <c r="I242" s="366"/>
      <c r="J242" s="366"/>
      <c r="K242" s="366"/>
      <c r="L242" s="366"/>
      <c r="M242" s="366"/>
      <c r="N242" s="366"/>
      <c r="O242" s="366"/>
    </row>
    <row r="243" spans="1:15" ht="12.75" customHeight="1">
      <c r="A243" s="333"/>
      <c r="B243" s="333"/>
      <c r="C243" s="333"/>
      <c r="D243" s="333"/>
      <c r="E243" s="333"/>
      <c r="F243" s="366"/>
      <c r="G243" s="366"/>
      <c r="H243" s="366"/>
      <c r="I243" s="366"/>
      <c r="J243" s="366"/>
      <c r="K243" s="366"/>
      <c r="L243" s="366"/>
      <c r="M243" s="366"/>
      <c r="N243" s="366"/>
      <c r="O243" s="366"/>
    </row>
    <row r="244" spans="1:15" ht="12.75" customHeight="1">
      <c r="A244" s="333"/>
      <c r="B244" s="333"/>
      <c r="C244" s="333"/>
      <c r="D244" s="333"/>
      <c r="E244" s="333"/>
      <c r="F244" s="366"/>
      <c r="G244" s="366"/>
      <c r="H244" s="366"/>
      <c r="I244" s="366"/>
      <c r="J244" s="366"/>
      <c r="K244" s="366"/>
      <c r="L244" s="366"/>
      <c r="M244" s="366"/>
      <c r="N244" s="366"/>
      <c r="O244" s="366"/>
    </row>
    <row r="245" spans="1:15" ht="12.75" customHeight="1">
      <c r="A245" s="333"/>
      <c r="B245" s="333"/>
      <c r="C245" s="333"/>
      <c r="D245" s="333"/>
      <c r="E245" s="333"/>
      <c r="F245" s="366"/>
      <c r="G245" s="366"/>
      <c r="H245" s="366"/>
      <c r="I245" s="366"/>
      <c r="J245" s="366"/>
      <c r="K245" s="366"/>
      <c r="L245" s="366"/>
      <c r="M245" s="366"/>
      <c r="N245" s="366"/>
      <c r="O245" s="366"/>
    </row>
    <row r="246" spans="1:15" ht="12.75" customHeight="1">
      <c r="A246" s="333"/>
      <c r="B246" s="333"/>
      <c r="C246" s="333"/>
      <c r="D246" s="333"/>
      <c r="E246" s="333"/>
      <c r="F246" s="366"/>
      <c r="G246" s="366"/>
      <c r="H246" s="366"/>
      <c r="I246" s="366"/>
      <c r="J246" s="366"/>
      <c r="K246" s="366"/>
      <c r="L246" s="366"/>
      <c r="M246" s="366"/>
      <c r="N246" s="366"/>
      <c r="O246" s="366"/>
    </row>
    <row r="247" spans="1:15" ht="12.75" customHeight="1">
      <c r="A247" s="333"/>
      <c r="B247" s="333"/>
      <c r="C247" s="333"/>
      <c r="D247" s="333"/>
      <c r="E247" s="333"/>
      <c r="F247" s="366"/>
      <c r="G247" s="366"/>
      <c r="H247" s="366"/>
      <c r="I247" s="366"/>
      <c r="J247" s="366"/>
      <c r="K247" s="366"/>
      <c r="L247" s="366"/>
      <c r="M247" s="366"/>
      <c r="N247" s="366"/>
      <c r="O247" s="366"/>
    </row>
    <row r="248" spans="1:15" ht="12.75" customHeight="1">
      <c r="A248" s="333"/>
      <c r="B248" s="333"/>
      <c r="C248" s="333"/>
      <c r="D248" s="333"/>
      <c r="E248" s="333"/>
      <c r="F248" s="366"/>
      <c r="G248" s="366"/>
      <c r="H248" s="366"/>
      <c r="I248" s="366"/>
      <c r="J248" s="366"/>
      <c r="K248" s="366"/>
      <c r="L248" s="366"/>
      <c r="M248" s="366"/>
      <c r="N248" s="366"/>
      <c r="O248" s="366"/>
    </row>
    <row r="249" spans="1:15" ht="12.75" customHeight="1">
      <c r="A249" s="333"/>
      <c r="B249" s="333"/>
      <c r="C249" s="333"/>
      <c r="D249" s="333"/>
      <c r="E249" s="333"/>
      <c r="F249" s="366"/>
      <c r="G249" s="366"/>
      <c r="H249" s="366"/>
      <c r="I249" s="366"/>
      <c r="J249" s="366"/>
      <c r="K249" s="366"/>
      <c r="L249" s="366"/>
      <c r="M249" s="366"/>
      <c r="N249" s="366"/>
      <c r="O249" s="366"/>
    </row>
    <row r="250" spans="1:15" ht="12.75" customHeight="1">
      <c r="A250" s="333"/>
      <c r="B250" s="333"/>
      <c r="C250" s="333"/>
      <c r="D250" s="333"/>
      <c r="E250" s="333"/>
      <c r="F250" s="366"/>
      <c r="G250" s="366"/>
      <c r="H250" s="366"/>
      <c r="I250" s="366"/>
      <c r="J250" s="366"/>
      <c r="K250" s="366"/>
      <c r="L250" s="366"/>
      <c r="M250" s="366"/>
      <c r="N250" s="366"/>
      <c r="O250" s="366"/>
    </row>
    <row r="251" spans="1:15" ht="12.75" customHeight="1">
      <c r="A251" s="333"/>
      <c r="B251" s="333"/>
      <c r="C251" s="333"/>
      <c r="D251" s="333"/>
      <c r="E251" s="333"/>
      <c r="F251" s="366"/>
      <c r="G251" s="366"/>
      <c r="H251" s="366"/>
      <c r="I251" s="366"/>
      <c r="J251" s="366"/>
      <c r="K251" s="366"/>
      <c r="L251" s="366"/>
      <c r="M251" s="366"/>
      <c r="N251" s="366"/>
      <c r="O251" s="366"/>
    </row>
    <row r="252" spans="1:15" ht="12.75" customHeight="1">
      <c r="A252" s="333"/>
      <c r="B252" s="333"/>
      <c r="C252" s="333"/>
      <c r="D252" s="333"/>
      <c r="E252" s="333"/>
      <c r="F252" s="366"/>
      <c r="G252" s="366"/>
      <c r="H252" s="366"/>
      <c r="I252" s="366"/>
      <c r="J252" s="366"/>
      <c r="K252" s="366"/>
      <c r="L252" s="366"/>
      <c r="M252" s="366"/>
      <c r="N252" s="366"/>
      <c r="O252" s="366"/>
    </row>
    <row r="253" spans="1:15" ht="12.75" customHeight="1">
      <c r="A253" s="333"/>
      <c r="B253" s="333"/>
      <c r="C253" s="333"/>
      <c r="D253" s="333"/>
      <c r="E253" s="333"/>
      <c r="F253" s="366"/>
      <c r="G253" s="366"/>
      <c r="H253" s="366"/>
      <c r="I253" s="366"/>
      <c r="J253" s="366"/>
      <c r="K253" s="366"/>
      <c r="L253" s="366"/>
      <c r="M253" s="366"/>
      <c r="N253" s="366"/>
      <c r="O253" s="366"/>
    </row>
    <row r="254" spans="1:15" ht="12.75" customHeight="1">
      <c r="A254" s="333"/>
      <c r="B254" s="333"/>
      <c r="C254" s="333"/>
      <c r="D254" s="333"/>
      <c r="E254" s="333"/>
      <c r="F254" s="366"/>
      <c r="G254" s="366"/>
      <c r="H254" s="366"/>
      <c r="I254" s="366"/>
      <c r="J254" s="366"/>
      <c r="K254" s="366"/>
      <c r="L254" s="366"/>
      <c r="M254" s="366"/>
      <c r="N254" s="366"/>
      <c r="O254" s="366"/>
    </row>
    <row r="255" spans="1:15" ht="12.75" customHeight="1">
      <c r="A255" s="333"/>
      <c r="B255" s="333"/>
      <c r="C255" s="333"/>
      <c r="D255" s="333"/>
      <c r="E255" s="333"/>
      <c r="F255" s="366"/>
      <c r="G255" s="366"/>
      <c r="H255" s="366"/>
      <c r="I255" s="366"/>
      <c r="J255" s="366"/>
      <c r="K255" s="366"/>
      <c r="L255" s="366"/>
      <c r="M255" s="366"/>
      <c r="N255" s="366"/>
      <c r="O255" s="366"/>
    </row>
    <row r="256" spans="1:15" ht="12.75" customHeight="1">
      <c r="A256" s="333"/>
      <c r="B256" s="333"/>
      <c r="C256" s="333"/>
      <c r="D256" s="333"/>
      <c r="E256" s="333"/>
      <c r="F256" s="366"/>
      <c r="G256" s="366"/>
      <c r="H256" s="366"/>
      <c r="I256" s="366"/>
      <c r="J256" s="366"/>
      <c r="K256" s="366"/>
      <c r="L256" s="366"/>
      <c r="M256" s="366"/>
      <c r="N256" s="366"/>
      <c r="O256" s="366"/>
    </row>
    <row r="257" spans="1:15" ht="12.75" customHeight="1">
      <c r="A257" s="333"/>
      <c r="B257" s="333"/>
      <c r="C257" s="333"/>
      <c r="D257" s="333"/>
      <c r="E257" s="333"/>
      <c r="F257" s="366"/>
      <c r="G257" s="366"/>
      <c r="H257" s="366"/>
      <c r="I257" s="366"/>
      <c r="J257" s="366"/>
      <c r="K257" s="366"/>
      <c r="L257" s="366"/>
      <c r="M257" s="366"/>
      <c r="N257" s="366"/>
      <c r="O257" s="366"/>
    </row>
    <row r="258" spans="1:15" ht="12.75" customHeight="1">
      <c r="A258" s="333"/>
      <c r="B258" s="333"/>
      <c r="C258" s="333"/>
      <c r="D258" s="333"/>
      <c r="E258" s="333"/>
      <c r="F258" s="366"/>
      <c r="G258" s="366"/>
      <c r="H258" s="366"/>
      <c r="I258" s="366"/>
      <c r="J258" s="366"/>
      <c r="K258" s="366"/>
      <c r="L258" s="366"/>
      <c r="M258" s="366"/>
      <c r="N258" s="366"/>
      <c r="O258" s="366"/>
    </row>
    <row r="259" spans="1:15" ht="12.75" customHeight="1">
      <c r="A259" s="333"/>
      <c r="B259" s="333"/>
      <c r="C259" s="333"/>
      <c r="D259" s="333"/>
      <c r="E259" s="333"/>
      <c r="F259" s="366"/>
      <c r="G259" s="366"/>
      <c r="H259" s="366"/>
      <c r="I259" s="366"/>
      <c r="J259" s="366"/>
      <c r="K259" s="366"/>
      <c r="L259" s="366"/>
      <c r="M259" s="366"/>
      <c r="N259" s="366"/>
      <c r="O259" s="366"/>
    </row>
    <row r="260" spans="1:15" ht="12.75" customHeight="1">
      <c r="A260" s="333"/>
      <c r="B260" s="333"/>
      <c r="C260" s="333"/>
      <c r="D260" s="333"/>
      <c r="E260" s="333"/>
      <c r="F260" s="366"/>
      <c r="G260" s="366"/>
      <c r="H260" s="366"/>
      <c r="I260" s="366"/>
      <c r="J260" s="366"/>
      <c r="K260" s="366"/>
      <c r="L260" s="366"/>
      <c r="M260" s="366"/>
      <c r="N260" s="366"/>
      <c r="O260" s="366"/>
    </row>
    <row r="261" spans="1:15" ht="12.75" customHeight="1">
      <c r="A261" s="333"/>
      <c r="B261" s="333"/>
      <c r="C261" s="333"/>
      <c r="D261" s="333"/>
      <c r="E261" s="333"/>
      <c r="F261" s="366"/>
      <c r="G261" s="366"/>
      <c r="H261" s="366"/>
      <c r="I261" s="366"/>
      <c r="J261" s="366"/>
      <c r="K261" s="366"/>
      <c r="L261" s="366"/>
      <c r="M261" s="366"/>
      <c r="N261" s="366"/>
      <c r="O261" s="366"/>
    </row>
    <row r="262" spans="1:15" ht="12.75" customHeight="1">
      <c r="A262" s="333"/>
      <c r="B262" s="333"/>
      <c r="C262" s="333"/>
      <c r="D262" s="333"/>
      <c r="E262" s="333"/>
      <c r="F262" s="366"/>
      <c r="G262" s="366"/>
      <c r="H262" s="366"/>
      <c r="I262" s="366"/>
      <c r="J262" s="366"/>
      <c r="K262" s="366"/>
      <c r="L262" s="366"/>
      <c r="M262" s="366"/>
      <c r="N262" s="366"/>
      <c r="O262" s="366"/>
    </row>
    <row r="263" spans="1:15" ht="12.75" customHeight="1">
      <c r="A263" s="333"/>
      <c r="B263" s="333"/>
      <c r="C263" s="333"/>
      <c r="D263" s="333"/>
      <c r="E263" s="333"/>
      <c r="F263" s="366"/>
      <c r="G263" s="366"/>
      <c r="H263" s="366"/>
      <c r="I263" s="366"/>
      <c r="J263" s="366"/>
      <c r="K263" s="366"/>
      <c r="L263" s="366"/>
      <c r="M263" s="366"/>
      <c r="N263" s="366"/>
      <c r="O263" s="366"/>
    </row>
    <row r="264" spans="1:15" ht="12.75" customHeight="1">
      <c r="A264" s="333"/>
      <c r="B264" s="333"/>
      <c r="C264" s="333"/>
      <c r="D264" s="333"/>
      <c r="E264" s="333"/>
      <c r="F264" s="366"/>
      <c r="G264" s="366"/>
      <c r="H264" s="366"/>
      <c r="I264" s="366"/>
      <c r="J264" s="366"/>
      <c r="K264" s="366"/>
      <c r="L264" s="366"/>
      <c r="M264" s="366"/>
      <c r="N264" s="366"/>
      <c r="O264" s="366"/>
    </row>
    <row r="265" spans="1:15" ht="12.75" customHeight="1">
      <c r="A265" s="333"/>
      <c r="B265" s="333"/>
      <c r="C265" s="333"/>
      <c r="D265" s="333"/>
      <c r="E265" s="333"/>
      <c r="F265" s="366"/>
      <c r="G265" s="366"/>
      <c r="H265" s="366"/>
      <c r="I265" s="366"/>
      <c r="J265" s="366"/>
      <c r="K265" s="366"/>
      <c r="L265" s="366"/>
      <c r="M265" s="366"/>
      <c r="N265" s="366"/>
      <c r="O265" s="366"/>
    </row>
    <row r="266" spans="1:15" ht="12.75" customHeight="1">
      <c r="A266" s="333"/>
      <c r="B266" s="333"/>
      <c r="C266" s="333"/>
      <c r="D266" s="333"/>
      <c r="E266" s="333"/>
      <c r="F266" s="366"/>
      <c r="G266" s="366"/>
      <c r="H266" s="366"/>
      <c r="I266" s="366"/>
      <c r="J266" s="366"/>
      <c r="K266" s="366"/>
      <c r="L266" s="366"/>
      <c r="M266" s="366"/>
      <c r="N266" s="366"/>
      <c r="O266" s="366"/>
    </row>
    <row r="267" spans="1:15" ht="12.75" customHeight="1">
      <c r="A267" s="333"/>
      <c r="B267" s="333"/>
      <c r="C267" s="333"/>
      <c r="D267" s="333"/>
      <c r="E267" s="333"/>
      <c r="F267" s="366"/>
      <c r="G267" s="366"/>
      <c r="H267" s="366"/>
      <c r="I267" s="366"/>
      <c r="J267" s="366"/>
      <c r="K267" s="366"/>
      <c r="L267" s="366"/>
      <c r="M267" s="366"/>
      <c r="N267" s="366"/>
      <c r="O267" s="366"/>
    </row>
    <row r="268" spans="1:15" ht="12.75" customHeight="1">
      <c r="A268" s="333"/>
      <c r="B268" s="333"/>
      <c r="C268" s="333"/>
      <c r="D268" s="333"/>
      <c r="E268" s="333"/>
      <c r="F268" s="366"/>
      <c r="G268" s="366"/>
      <c r="H268" s="366"/>
      <c r="I268" s="366"/>
      <c r="J268" s="366"/>
      <c r="K268" s="366"/>
      <c r="L268" s="366"/>
      <c r="M268" s="366"/>
      <c r="N268" s="366"/>
      <c r="O268" s="366"/>
    </row>
    <row r="269" spans="1:15" ht="12.75" customHeight="1">
      <c r="A269" s="333"/>
      <c r="B269" s="333"/>
      <c r="C269" s="333"/>
      <c r="D269" s="333"/>
      <c r="E269" s="333"/>
      <c r="F269" s="366"/>
      <c r="G269" s="366"/>
      <c r="H269" s="366"/>
      <c r="I269" s="366"/>
      <c r="J269" s="366"/>
      <c r="K269" s="366"/>
      <c r="L269" s="366"/>
      <c r="M269" s="366"/>
      <c r="N269" s="366"/>
      <c r="O269" s="366"/>
    </row>
    <row r="270" spans="1:15" ht="12.75" customHeight="1">
      <c r="A270" s="333"/>
      <c r="B270" s="333"/>
      <c r="C270" s="333"/>
      <c r="D270" s="333"/>
      <c r="E270" s="333"/>
      <c r="F270" s="366"/>
      <c r="G270" s="366"/>
      <c r="H270" s="366"/>
      <c r="I270" s="366"/>
      <c r="J270" s="366"/>
      <c r="K270" s="366"/>
      <c r="L270" s="366"/>
      <c r="M270" s="366"/>
      <c r="N270" s="366"/>
      <c r="O270" s="366"/>
    </row>
    <row r="271" spans="1:15" ht="12.75" customHeight="1">
      <c r="A271" s="333"/>
      <c r="B271" s="333"/>
      <c r="C271" s="333"/>
      <c r="D271" s="333"/>
      <c r="E271" s="333"/>
      <c r="F271" s="366"/>
      <c r="G271" s="366"/>
      <c r="H271" s="366"/>
      <c r="I271" s="366"/>
      <c r="J271" s="366"/>
      <c r="K271" s="366"/>
      <c r="L271" s="366"/>
      <c r="M271" s="366"/>
      <c r="N271" s="366"/>
      <c r="O271" s="366"/>
    </row>
    <row r="272" spans="1:15" ht="12.75" customHeight="1">
      <c r="A272" s="333"/>
      <c r="B272" s="333"/>
      <c r="C272" s="333"/>
      <c r="D272" s="333"/>
      <c r="E272" s="333"/>
      <c r="F272" s="366"/>
      <c r="G272" s="366"/>
      <c r="H272" s="366"/>
      <c r="I272" s="366"/>
      <c r="J272" s="366"/>
      <c r="K272" s="366"/>
      <c r="L272" s="366"/>
      <c r="M272" s="366"/>
      <c r="N272" s="366"/>
      <c r="O272" s="366"/>
    </row>
    <row r="273" spans="1:15" ht="12.75" customHeight="1">
      <c r="A273" s="333"/>
      <c r="B273" s="333"/>
      <c r="C273" s="333"/>
      <c r="D273" s="333"/>
      <c r="E273" s="333"/>
      <c r="F273" s="366"/>
      <c r="G273" s="366"/>
      <c r="H273" s="366"/>
      <c r="I273" s="366"/>
      <c r="J273" s="366"/>
      <c r="K273" s="366"/>
      <c r="L273" s="366"/>
      <c r="M273" s="366"/>
      <c r="N273" s="366"/>
      <c r="O273" s="366"/>
    </row>
    <row r="274" spans="1:15" ht="12.75" customHeight="1">
      <c r="A274" s="333"/>
      <c r="B274" s="333"/>
      <c r="C274" s="333"/>
      <c r="D274" s="333"/>
      <c r="E274" s="333"/>
      <c r="F274" s="366"/>
      <c r="G274" s="366"/>
      <c r="H274" s="366"/>
      <c r="I274" s="366"/>
      <c r="J274" s="366"/>
      <c r="K274" s="366"/>
      <c r="L274" s="366"/>
      <c r="M274" s="366"/>
      <c r="N274" s="366"/>
      <c r="O274" s="366"/>
    </row>
    <row r="275" spans="1:15" ht="12.75" customHeight="1">
      <c r="A275" s="333"/>
      <c r="B275" s="333"/>
      <c r="C275" s="333"/>
      <c r="D275" s="333"/>
      <c r="E275" s="333"/>
      <c r="F275" s="366"/>
      <c r="G275" s="366"/>
      <c r="H275" s="366"/>
      <c r="I275" s="366"/>
      <c r="J275" s="366"/>
      <c r="K275" s="366"/>
      <c r="L275" s="366"/>
      <c r="M275" s="366"/>
      <c r="N275" s="366"/>
      <c r="O275" s="366"/>
    </row>
    <row r="276" spans="1:15" ht="12.75" customHeight="1">
      <c r="A276" s="333"/>
      <c r="B276" s="333"/>
      <c r="C276" s="333"/>
      <c r="D276" s="333"/>
      <c r="E276" s="333"/>
      <c r="F276" s="366"/>
      <c r="G276" s="366"/>
      <c r="H276" s="366"/>
      <c r="I276" s="366"/>
      <c r="J276" s="366"/>
      <c r="K276" s="366"/>
      <c r="L276" s="366"/>
      <c r="M276" s="366"/>
      <c r="N276" s="366"/>
      <c r="O276" s="366"/>
    </row>
    <row r="277" spans="1:15" ht="12.75" customHeight="1">
      <c r="A277" s="333"/>
      <c r="B277" s="333"/>
      <c r="C277" s="333"/>
      <c r="D277" s="333"/>
      <c r="E277" s="333"/>
      <c r="F277" s="366"/>
      <c r="G277" s="366"/>
      <c r="H277" s="366"/>
      <c r="I277" s="366"/>
      <c r="J277" s="366"/>
      <c r="K277" s="366"/>
      <c r="L277" s="366"/>
      <c r="M277" s="366"/>
      <c r="N277" s="366"/>
      <c r="O277" s="366"/>
    </row>
    <row r="278" spans="1:15" ht="12.75" customHeight="1">
      <c r="A278" s="333"/>
      <c r="B278" s="333"/>
      <c r="C278" s="333"/>
      <c r="D278" s="333"/>
      <c r="E278" s="333"/>
      <c r="F278" s="366"/>
      <c r="G278" s="366"/>
      <c r="H278" s="366"/>
      <c r="I278" s="366"/>
      <c r="J278" s="366"/>
      <c r="K278" s="366"/>
      <c r="L278" s="366"/>
      <c r="M278" s="366"/>
      <c r="N278" s="366"/>
      <c r="O278" s="366"/>
    </row>
    <row r="279" spans="1:15" ht="12.75" customHeight="1">
      <c r="A279" s="333"/>
      <c r="B279" s="333"/>
      <c r="C279" s="333"/>
      <c r="D279" s="333"/>
      <c r="E279" s="333"/>
      <c r="F279" s="366"/>
      <c r="G279" s="366"/>
      <c r="H279" s="366"/>
      <c r="I279" s="366"/>
      <c r="J279" s="366"/>
      <c r="K279" s="366"/>
      <c r="L279" s="366"/>
      <c r="M279" s="366"/>
      <c r="N279" s="366"/>
      <c r="O279" s="366"/>
    </row>
    <row r="280" spans="1:15" ht="12.75" customHeight="1">
      <c r="A280" s="333"/>
      <c r="B280" s="333"/>
      <c r="C280" s="333"/>
      <c r="D280" s="333"/>
      <c r="E280" s="333"/>
      <c r="F280" s="366"/>
      <c r="G280" s="366"/>
      <c r="H280" s="366"/>
      <c r="I280" s="366"/>
      <c r="J280" s="366"/>
      <c r="K280" s="366"/>
      <c r="L280" s="366"/>
      <c r="M280" s="366"/>
      <c r="N280" s="366"/>
      <c r="O280" s="366"/>
    </row>
    <row r="281" spans="1:15" ht="12.75" customHeight="1">
      <c r="A281" s="333"/>
      <c r="B281" s="333"/>
      <c r="C281" s="333"/>
      <c r="D281" s="333"/>
      <c r="E281" s="333"/>
      <c r="F281" s="366"/>
      <c r="G281" s="366"/>
      <c r="H281" s="366"/>
      <c r="I281" s="366"/>
      <c r="J281" s="366"/>
      <c r="K281" s="366"/>
      <c r="L281" s="366"/>
      <c r="M281" s="366"/>
      <c r="N281" s="366"/>
      <c r="O281" s="366"/>
    </row>
    <row r="282" spans="1:15" ht="12.75" customHeight="1">
      <c r="A282" s="333"/>
      <c r="B282" s="333"/>
      <c r="C282" s="333"/>
      <c r="D282" s="333"/>
      <c r="E282" s="333"/>
      <c r="F282" s="366"/>
      <c r="G282" s="366"/>
      <c r="H282" s="366"/>
      <c r="I282" s="366"/>
      <c r="J282" s="366"/>
      <c r="K282" s="366"/>
      <c r="L282" s="366"/>
      <c r="M282" s="366"/>
      <c r="N282" s="366"/>
      <c r="O282" s="366"/>
    </row>
    <row r="283" spans="1:15" ht="12.75" customHeight="1">
      <c r="A283" s="333"/>
      <c r="B283" s="333"/>
      <c r="C283" s="333"/>
      <c r="D283" s="333"/>
      <c r="E283" s="333"/>
      <c r="F283" s="366"/>
      <c r="G283" s="366"/>
      <c r="H283" s="366"/>
      <c r="I283" s="366"/>
      <c r="J283" s="366"/>
      <c r="K283" s="366"/>
      <c r="L283" s="366"/>
      <c r="M283" s="366"/>
      <c r="N283" s="366"/>
      <c r="O283" s="366"/>
    </row>
    <row r="284" spans="1:15" ht="12.75" customHeight="1">
      <c r="A284" s="333"/>
      <c r="B284" s="333"/>
      <c r="C284" s="333"/>
      <c r="D284" s="333"/>
      <c r="E284" s="333"/>
      <c r="F284" s="366"/>
      <c r="G284" s="366"/>
      <c r="H284" s="366"/>
      <c r="I284" s="366"/>
      <c r="J284" s="366"/>
      <c r="K284" s="366"/>
      <c r="L284" s="366"/>
      <c r="M284" s="366"/>
      <c r="N284" s="366"/>
      <c r="O284" s="366"/>
    </row>
    <row r="285" spans="1:15" ht="12.75" customHeight="1">
      <c r="A285" s="333"/>
      <c r="B285" s="333"/>
      <c r="C285" s="333"/>
      <c r="D285" s="333"/>
      <c r="E285" s="333"/>
      <c r="F285" s="366"/>
      <c r="G285" s="366"/>
      <c r="H285" s="366"/>
      <c r="I285" s="366"/>
      <c r="J285" s="366"/>
      <c r="K285" s="366"/>
      <c r="L285" s="366"/>
      <c r="M285" s="366"/>
      <c r="N285" s="366"/>
      <c r="O285" s="366"/>
    </row>
    <row r="286" spans="1:15" ht="12.75" customHeight="1">
      <c r="A286" s="333"/>
      <c r="B286" s="333"/>
      <c r="C286" s="333"/>
      <c r="D286" s="333"/>
      <c r="E286" s="333"/>
      <c r="F286" s="366"/>
      <c r="G286" s="366"/>
      <c r="H286" s="366"/>
      <c r="I286" s="366"/>
      <c r="J286" s="366"/>
      <c r="K286" s="366"/>
      <c r="L286" s="366"/>
      <c r="M286" s="366"/>
      <c r="N286" s="366"/>
      <c r="O286" s="366"/>
    </row>
    <row r="287" spans="1:15" ht="12.75" customHeight="1">
      <c r="A287" s="333"/>
      <c r="B287" s="333"/>
      <c r="C287" s="333"/>
      <c r="D287" s="333"/>
      <c r="E287" s="333"/>
      <c r="F287" s="366"/>
      <c r="G287" s="366"/>
      <c r="H287" s="366"/>
      <c r="I287" s="366"/>
      <c r="J287" s="366"/>
      <c r="K287" s="366"/>
      <c r="L287" s="366"/>
      <c r="M287" s="366"/>
      <c r="N287" s="366"/>
      <c r="O287" s="366"/>
    </row>
    <row r="288" spans="1:15" ht="12.75" customHeight="1">
      <c r="A288" s="333"/>
      <c r="B288" s="333"/>
      <c r="C288" s="333"/>
      <c r="D288" s="333"/>
      <c r="E288" s="333"/>
      <c r="F288" s="366"/>
      <c r="G288" s="366"/>
      <c r="H288" s="366"/>
      <c r="I288" s="366"/>
      <c r="J288" s="366"/>
      <c r="K288" s="366"/>
      <c r="L288" s="366"/>
      <c r="M288" s="366"/>
      <c r="N288" s="366"/>
      <c r="O288" s="366"/>
    </row>
    <row r="289" spans="1:15" ht="12.75" customHeight="1">
      <c r="A289" s="333"/>
      <c r="B289" s="333"/>
      <c r="C289" s="333"/>
      <c r="D289" s="333"/>
      <c r="E289" s="333"/>
      <c r="F289" s="366"/>
      <c r="G289" s="366"/>
      <c r="H289" s="366"/>
      <c r="I289" s="366"/>
      <c r="J289" s="366"/>
      <c r="K289" s="366"/>
      <c r="L289" s="366"/>
      <c r="M289" s="366"/>
      <c r="N289" s="366"/>
      <c r="O289" s="366"/>
    </row>
    <row r="290" spans="1:15" ht="12.75" customHeight="1">
      <c r="A290" s="333"/>
      <c r="B290" s="333"/>
      <c r="C290" s="333"/>
      <c r="D290" s="333"/>
      <c r="E290" s="333"/>
      <c r="F290" s="366"/>
      <c r="G290" s="366"/>
      <c r="H290" s="366"/>
      <c r="I290" s="366"/>
      <c r="J290" s="366"/>
      <c r="K290" s="366"/>
      <c r="L290" s="366"/>
      <c r="M290" s="366"/>
      <c r="N290" s="366"/>
      <c r="O290" s="366"/>
    </row>
    <row r="291" spans="1:15" ht="12.75" customHeight="1">
      <c r="A291" s="333"/>
      <c r="B291" s="333"/>
      <c r="C291" s="333"/>
      <c r="D291" s="333"/>
      <c r="E291" s="333"/>
      <c r="F291" s="366"/>
      <c r="G291" s="366"/>
      <c r="H291" s="366"/>
      <c r="I291" s="366"/>
      <c r="J291" s="366"/>
      <c r="K291" s="366"/>
      <c r="L291" s="366"/>
      <c r="M291" s="366"/>
      <c r="N291" s="366"/>
      <c r="O291" s="366"/>
    </row>
    <row r="292" spans="1:15" ht="12.75" customHeight="1">
      <c r="A292" s="333"/>
      <c r="B292" s="333"/>
      <c r="C292" s="333"/>
      <c r="D292" s="333"/>
      <c r="E292" s="333"/>
      <c r="F292" s="366"/>
      <c r="G292" s="366"/>
      <c r="H292" s="366"/>
      <c r="I292" s="366"/>
      <c r="J292" s="366"/>
      <c r="K292" s="366"/>
      <c r="L292" s="366"/>
      <c r="M292" s="366"/>
      <c r="N292" s="366"/>
      <c r="O292" s="366"/>
    </row>
    <row r="293" spans="1:15" ht="12.75" customHeight="1">
      <c r="A293" s="333"/>
      <c r="B293" s="333"/>
      <c r="C293" s="333"/>
      <c r="D293" s="333"/>
      <c r="E293" s="333"/>
      <c r="F293" s="366"/>
      <c r="G293" s="366"/>
      <c r="H293" s="366"/>
      <c r="I293" s="366"/>
      <c r="J293" s="366"/>
      <c r="K293" s="366"/>
      <c r="L293" s="366"/>
      <c r="M293" s="366"/>
      <c r="N293" s="366"/>
      <c r="O293" s="366"/>
    </row>
    <row r="294" spans="1:15" ht="12.75" customHeight="1">
      <c r="A294" s="333"/>
      <c r="B294" s="333"/>
      <c r="C294" s="333"/>
      <c r="D294" s="333"/>
      <c r="E294" s="333"/>
      <c r="F294" s="366"/>
      <c r="G294" s="366"/>
      <c r="H294" s="366"/>
      <c r="I294" s="366"/>
      <c r="J294" s="366"/>
      <c r="K294" s="366"/>
      <c r="L294" s="366"/>
      <c r="M294" s="366"/>
      <c r="N294" s="366"/>
      <c r="O294" s="366"/>
    </row>
    <row r="295" spans="1:15" ht="15.75" customHeight="1"/>
    <row r="296" spans="1:15" ht="15.75" customHeight="1"/>
    <row r="297" spans="1:15" ht="15.75" customHeight="1"/>
    <row r="298" spans="1:15" ht="15.75" customHeight="1"/>
    <row r="299" spans="1:15" ht="15.75" customHeight="1"/>
    <row r="300" spans="1:15" ht="15.75" customHeight="1"/>
    <row r="301" spans="1:15" ht="15.75" customHeight="1"/>
    <row r="302" spans="1:15" ht="15.75" customHeight="1"/>
    <row r="303" spans="1:15" ht="15.75" customHeight="1"/>
    <row r="304" spans="1:15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5">
    <mergeCell ref="B83:D83"/>
    <mergeCell ref="B89:D89"/>
    <mergeCell ref="C28:C29"/>
    <mergeCell ref="E28:E29"/>
    <mergeCell ref="F28:F29"/>
    <mergeCell ref="B31:D31"/>
    <mergeCell ref="B47:D47"/>
    <mergeCell ref="B54:D54"/>
    <mergeCell ref="B82:D82"/>
    <mergeCell ref="C15:E15"/>
    <mergeCell ref="C16:E16"/>
    <mergeCell ref="E26:E27"/>
    <mergeCell ref="F26:F27"/>
    <mergeCell ref="C17:E17"/>
    <mergeCell ref="C18:E18"/>
    <mergeCell ref="C19:E19"/>
    <mergeCell ref="C21:E21"/>
    <mergeCell ref="C22:E22"/>
    <mergeCell ref="C23:E23"/>
    <mergeCell ref="B26:D26"/>
    <mergeCell ref="B9:E9"/>
    <mergeCell ref="C11:E11"/>
    <mergeCell ref="C12:E12"/>
    <mergeCell ref="C13:E13"/>
    <mergeCell ref="C14:E14"/>
  </mergeCells>
  <conditionalFormatting sqref="C11:E14 C15">
    <cfRule type="containsBlanks" dxfId="218" priority="1">
      <formula>LEN(TRIM(C11))=0</formula>
    </cfRule>
  </conditionalFormatting>
  <conditionalFormatting sqref="C15">
    <cfRule type="containsBlanks" dxfId="217" priority="2">
      <formula>LEN(TRIM(C15))=0</formula>
    </cfRule>
  </conditionalFormatting>
  <conditionalFormatting sqref="C17">
    <cfRule type="containsBlanks" dxfId="216" priority="3">
      <formula>LEN(TRIM(C17))=0</formula>
    </cfRule>
  </conditionalFormatting>
  <conditionalFormatting sqref="C17">
    <cfRule type="containsBlanks" dxfId="215" priority="4">
      <formula>LEN(TRIM(C17))=0</formula>
    </cfRule>
  </conditionalFormatting>
  <conditionalFormatting sqref="C18">
    <cfRule type="containsBlanks" dxfId="214" priority="5">
      <formula>LEN(TRIM(C18))=0</formula>
    </cfRule>
  </conditionalFormatting>
  <conditionalFormatting sqref="C18">
    <cfRule type="containsBlanks" dxfId="213" priority="6">
      <formula>LEN(TRIM(C18))=0</formula>
    </cfRule>
  </conditionalFormatting>
  <conditionalFormatting sqref="C19">
    <cfRule type="containsBlanks" dxfId="212" priority="7">
      <formula>LEN(TRIM(C19))=0</formula>
    </cfRule>
  </conditionalFormatting>
  <conditionalFormatting sqref="C19">
    <cfRule type="containsBlanks" dxfId="211" priority="8">
      <formula>LEN(TRIM(C19))=0</formula>
    </cfRule>
  </conditionalFormatting>
  <conditionalFormatting sqref="C21">
    <cfRule type="containsBlanks" dxfId="210" priority="9">
      <formula>LEN(TRIM(C21))=0</formula>
    </cfRule>
  </conditionalFormatting>
  <conditionalFormatting sqref="C21">
    <cfRule type="containsBlanks" dxfId="209" priority="10">
      <formula>LEN(TRIM(C21))=0</formula>
    </cfRule>
  </conditionalFormatting>
  <conditionalFormatting sqref="C22">
    <cfRule type="containsBlanks" dxfId="208" priority="11">
      <formula>LEN(TRIM(C22))=0</formula>
    </cfRule>
  </conditionalFormatting>
  <conditionalFormatting sqref="C22">
    <cfRule type="containsBlanks" dxfId="207" priority="12">
      <formula>LEN(TRIM(C22))=0</formula>
    </cfRule>
  </conditionalFormatting>
  <conditionalFormatting sqref="C23">
    <cfRule type="containsBlanks" dxfId="206" priority="13">
      <formula>LEN(TRIM(C23))=0</formula>
    </cfRule>
  </conditionalFormatting>
  <conditionalFormatting sqref="C23">
    <cfRule type="containsBlanks" dxfId="205" priority="14">
      <formula>LEN(TRIM(C23))=0</formula>
    </cfRule>
  </conditionalFormatting>
  <conditionalFormatting sqref="C16">
    <cfRule type="containsBlanks" dxfId="204" priority="15">
      <formula>LEN(TRIM(C16))=0</formula>
    </cfRule>
  </conditionalFormatting>
  <conditionalFormatting sqref="C16">
    <cfRule type="containsBlanks" dxfId="203" priority="16">
      <formula>LEN(TRIM(C16))=0</formula>
    </cfRule>
  </conditionalFormatting>
  <conditionalFormatting sqref="G28">
    <cfRule type="cellIs" dxfId="202" priority="17" operator="equal">
      <formula>"FALSE"</formula>
    </cfRule>
  </conditionalFormatting>
  <conditionalFormatting sqref="G28">
    <cfRule type="cellIs" dxfId="201" priority="18" operator="equal">
      <formula>"FALSE"</formula>
    </cfRule>
  </conditionalFormatting>
  <conditionalFormatting sqref="G29">
    <cfRule type="cellIs" dxfId="200" priority="19" operator="equal">
      <formula>"FALSE"</formula>
    </cfRule>
  </conditionalFormatting>
  <conditionalFormatting sqref="C39:I39">
    <cfRule type="cellIs" dxfId="199" priority="20" operator="equal">
      <formula>0</formula>
    </cfRule>
  </conditionalFormatting>
  <conditionalFormatting sqref="C43:D43">
    <cfRule type="cellIs" dxfId="198" priority="21" operator="equal">
      <formula>0</formula>
    </cfRule>
  </conditionalFormatting>
  <conditionalFormatting sqref="C44:I44">
    <cfRule type="cellIs" dxfId="197" priority="22" operator="equal">
      <formula>0</formula>
    </cfRule>
  </conditionalFormatting>
  <conditionalFormatting sqref="C41:D41">
    <cfRule type="cellIs" dxfId="196" priority="23" operator="equal">
      <formula>0</formula>
    </cfRule>
  </conditionalFormatting>
  <conditionalFormatting sqref="D41:I41">
    <cfRule type="cellIs" dxfId="195" priority="24" operator="equal">
      <formula>0</formula>
    </cfRule>
  </conditionalFormatting>
  <conditionalFormatting sqref="D41:I41">
    <cfRule type="cellIs" dxfId="194" priority="25" operator="equal">
      <formula>0</formula>
    </cfRule>
  </conditionalFormatting>
  <conditionalFormatting sqref="F41">
    <cfRule type="cellIs" dxfId="193" priority="26" operator="equal">
      <formula>0</formula>
    </cfRule>
  </conditionalFormatting>
  <conditionalFormatting sqref="G41">
    <cfRule type="cellIs" dxfId="192" priority="27" operator="equal">
      <formula>0</formula>
    </cfRule>
  </conditionalFormatting>
  <conditionalFormatting sqref="H41">
    <cfRule type="cellIs" dxfId="191" priority="28" operator="equal">
      <formula>0</formula>
    </cfRule>
  </conditionalFormatting>
  <conditionalFormatting sqref="I41:N41">
    <cfRule type="cellIs" dxfId="190" priority="29" operator="equal">
      <formula>0</formula>
    </cfRule>
  </conditionalFormatting>
  <printOptions horizontalCentered="1" verticalCentered="1"/>
  <pageMargins left="0.23622047244094491" right="0.11811023622047245" top="0.11811023622047245" bottom="0.11811023622047245" header="0" footer="0"/>
  <pageSetup paperSize="9" fitToHeight="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ELECIONE O CONTRATANTE">
          <x14:formula1>
            <xm:f>CAMPUS.CONTRATANTE!$D$10:$D$21</xm:f>
          </x14:formula1>
          <xm:sqref>C14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O1000"/>
  <sheetViews>
    <sheetView tabSelected="1" topLeftCell="F7" workbookViewId="0">
      <selection activeCell="D8" sqref="D8:G8"/>
    </sheetView>
  </sheetViews>
  <sheetFormatPr defaultColWidth="14.42578125" defaultRowHeight="15" customHeight="1"/>
  <cols>
    <col min="1" max="1" width="1.7109375" customWidth="1"/>
    <col min="2" max="2" width="10.140625" customWidth="1"/>
    <col min="3" max="3" width="45.42578125" customWidth="1"/>
    <col min="4" max="4" width="19.140625" customWidth="1"/>
    <col min="5" max="8" width="22.28515625" customWidth="1"/>
    <col min="9" max="9" width="21.7109375" customWidth="1"/>
    <col min="10" max="10" width="15.28515625" customWidth="1"/>
    <col min="11" max="11" width="22.42578125" customWidth="1"/>
    <col min="12" max="12" width="21.7109375" customWidth="1"/>
    <col min="13" max="13" width="25.7109375" customWidth="1"/>
    <col min="14" max="15" width="17.42578125" customWidth="1"/>
  </cols>
  <sheetData>
    <row r="1" spans="1:15" ht="47.25" customHeight="1">
      <c r="A1" s="481">
        <v>5027.6400000000003</v>
      </c>
      <c r="B1" s="1016"/>
      <c r="C1" s="947"/>
      <c r="D1" s="482" t="s">
        <v>318</v>
      </c>
      <c r="E1" s="483"/>
      <c r="F1" s="484"/>
      <c r="G1" s="484"/>
      <c r="H1" s="484"/>
      <c r="I1" s="484"/>
      <c r="J1" s="484"/>
      <c r="K1" s="484"/>
      <c r="L1" s="484"/>
      <c r="M1" s="484"/>
      <c r="N1" s="484"/>
      <c r="O1" s="484"/>
    </row>
    <row r="2" spans="1:15" ht="40.5" customHeight="1">
      <c r="A2" s="485" t="s">
        <v>319</v>
      </c>
      <c r="B2" s="1017" t="s">
        <v>320</v>
      </c>
      <c r="C2" s="960"/>
      <c r="D2" s="960"/>
      <c r="E2" s="960"/>
      <c r="F2" s="960"/>
      <c r="G2" s="960"/>
      <c r="H2" s="960"/>
      <c r="I2" s="960"/>
      <c r="J2" s="960"/>
      <c r="K2" s="960"/>
      <c r="L2" s="960"/>
      <c r="M2" s="484"/>
      <c r="N2" s="484"/>
      <c r="O2" s="484"/>
    </row>
    <row r="3" spans="1:15" ht="34.5" customHeight="1">
      <c r="A3" s="485" t="s">
        <v>319</v>
      </c>
      <c r="B3" s="486"/>
      <c r="C3" s="485" t="s">
        <v>321</v>
      </c>
      <c r="D3" s="1"/>
      <c r="E3" s="1"/>
      <c r="F3" s="1"/>
      <c r="G3" s="1"/>
      <c r="H3" s="1"/>
      <c r="I3" s="1"/>
      <c r="J3" s="1"/>
      <c r="K3" s="1"/>
      <c r="L3" s="1"/>
      <c r="M3" s="484"/>
      <c r="N3" s="484"/>
      <c r="O3" s="484"/>
    </row>
    <row r="4" spans="1:15" ht="24.75" customHeight="1">
      <c r="A4" s="485" t="s">
        <v>319</v>
      </c>
      <c r="B4" s="1018" t="s">
        <v>322</v>
      </c>
      <c r="C4" s="947"/>
      <c r="D4" s="487" t="str">
        <f>'1-ABA-DE-CARREGAMENTO'!C14</f>
        <v xml:space="preserve">SANTO-AUGUSTO </v>
      </c>
      <c r="E4" s="488"/>
      <c r="F4" s="488"/>
      <c r="G4" s="488"/>
      <c r="H4" s="488"/>
      <c r="I4" s="488"/>
      <c r="J4" s="488"/>
      <c r="K4" s="488"/>
      <c r="L4" s="488"/>
      <c r="M4" s="484"/>
      <c r="N4" s="484"/>
      <c r="O4" s="484"/>
    </row>
    <row r="5" spans="1:15" ht="16.5" customHeight="1">
      <c r="A5" s="485" t="s">
        <v>319</v>
      </c>
      <c r="C5" s="1"/>
      <c r="D5" s="489"/>
      <c r="E5" s="489"/>
      <c r="F5" s="489"/>
      <c r="G5" s="489"/>
      <c r="H5" s="489"/>
      <c r="I5" s="489"/>
      <c r="J5" s="489"/>
      <c r="K5" s="489"/>
      <c r="L5" s="489"/>
      <c r="M5" s="484"/>
      <c r="N5" s="484"/>
      <c r="O5" s="484"/>
    </row>
    <row r="6" spans="1:15" ht="20.25" customHeight="1">
      <c r="A6" s="485" t="s">
        <v>319</v>
      </c>
      <c r="B6" s="1019" t="s">
        <v>256</v>
      </c>
      <c r="C6" s="1020"/>
      <c r="D6" s="1021">
        <f>'1-ABA-DE-CARREGAMENTO'!C17</f>
        <v>0</v>
      </c>
      <c r="E6" s="947"/>
      <c r="F6" s="947"/>
      <c r="G6" s="947"/>
      <c r="H6" s="490"/>
      <c r="I6" s="491" t="s">
        <v>323</v>
      </c>
      <c r="J6" s="1021">
        <f>'1-ABA-DE-CARREGAMENTO'!C18</f>
        <v>0</v>
      </c>
      <c r="K6" s="947"/>
      <c r="L6" s="947"/>
      <c r="M6" s="484"/>
      <c r="N6" s="484"/>
      <c r="O6" s="484"/>
    </row>
    <row r="7" spans="1:15" ht="20.25" customHeight="1">
      <c r="A7" s="485" t="s">
        <v>319</v>
      </c>
      <c r="B7" s="1019" t="s">
        <v>324</v>
      </c>
      <c r="C7" s="947"/>
      <c r="D7" s="1022">
        <f>'1-ABA-DE-CARREGAMENTO'!C15</f>
        <v>0</v>
      </c>
      <c r="E7" s="947"/>
      <c r="F7" s="947"/>
      <c r="G7" s="947"/>
      <c r="H7" s="947"/>
      <c r="I7" s="947"/>
      <c r="J7" s="947"/>
      <c r="K7" s="947"/>
      <c r="L7" s="947"/>
      <c r="M7" s="484"/>
      <c r="N7" s="484"/>
      <c r="O7" s="484"/>
    </row>
    <row r="8" spans="1:15" ht="20.25" customHeight="1">
      <c r="A8" s="485" t="s">
        <v>319</v>
      </c>
      <c r="B8" s="1019" t="s">
        <v>325</v>
      </c>
      <c r="C8" s="947"/>
      <c r="D8" s="1022">
        <f>'1-ABA-DE-CARREGAMENTO'!C19</f>
        <v>0</v>
      </c>
      <c r="E8" s="947"/>
      <c r="F8" s="947"/>
      <c r="G8" s="947"/>
      <c r="H8" s="492"/>
      <c r="I8" s="1027"/>
      <c r="J8" s="947"/>
      <c r="K8" s="947"/>
      <c r="L8" s="947"/>
      <c r="M8" s="484"/>
      <c r="N8" s="484"/>
      <c r="O8" s="484"/>
    </row>
    <row r="9" spans="1:15" ht="20.25" customHeight="1">
      <c r="A9" s="485" t="s">
        <v>319</v>
      </c>
      <c r="B9" s="1019" t="s">
        <v>326</v>
      </c>
      <c r="C9" s="1020"/>
      <c r="D9" s="1022">
        <f>'1-ABA-DE-CARREGAMENTO'!C21</f>
        <v>0</v>
      </c>
      <c r="E9" s="947"/>
      <c r="F9" s="947"/>
      <c r="G9" s="947"/>
      <c r="H9" s="490"/>
      <c r="I9" s="491" t="s">
        <v>327</v>
      </c>
      <c r="J9" s="1028">
        <f>'1-ABA-DE-CARREGAMENTO'!C22</f>
        <v>0</v>
      </c>
      <c r="K9" s="949"/>
      <c r="L9" s="950"/>
      <c r="M9" s="484"/>
      <c r="N9" s="484"/>
      <c r="O9" s="484"/>
    </row>
    <row r="10" spans="1:15">
      <c r="A10" s="485" t="s">
        <v>319</v>
      </c>
      <c r="B10" s="1019" t="s">
        <v>328</v>
      </c>
      <c r="C10" s="1020"/>
      <c r="D10" s="1023">
        <f>'1-ABA-DE-CARREGAMENTO'!C16</f>
        <v>0</v>
      </c>
      <c r="E10" s="947"/>
      <c r="F10" s="947"/>
      <c r="G10" s="947"/>
      <c r="H10" s="484"/>
      <c r="I10" s="484"/>
      <c r="J10" s="484"/>
      <c r="K10" s="484"/>
      <c r="L10" s="484"/>
      <c r="M10" s="484"/>
      <c r="N10" s="484"/>
      <c r="O10" s="484"/>
    </row>
    <row r="11" spans="1:15" ht="21.75" customHeight="1">
      <c r="A11" s="485" t="s">
        <v>319</v>
      </c>
      <c r="C11" s="484"/>
      <c r="D11" s="484"/>
      <c r="E11" s="484"/>
      <c r="F11" s="484"/>
      <c r="G11" s="484"/>
      <c r="H11" s="484"/>
      <c r="I11" s="484"/>
      <c r="J11" s="484"/>
      <c r="K11" s="484"/>
      <c r="L11" s="484"/>
      <c r="M11" s="484"/>
      <c r="N11" s="484"/>
      <c r="O11" s="484"/>
    </row>
    <row r="12" spans="1:15" ht="21.75" customHeight="1">
      <c r="A12" s="485" t="s">
        <v>319</v>
      </c>
      <c r="C12" s="1024" t="str">
        <f>'1-ABA-DE-CARREGAMENTO'!C11</f>
        <v xml:space="preserve"> S E R V I Ç O S     -    INTERPRETE DE LIBRAS e SINAIS </v>
      </c>
      <c r="D12" s="949"/>
      <c r="E12" s="949"/>
      <c r="F12" s="949"/>
      <c r="G12" s="949"/>
      <c r="H12" s="949"/>
      <c r="I12" s="949"/>
      <c r="J12" s="949"/>
      <c r="K12" s="949"/>
      <c r="L12" s="950"/>
      <c r="M12" s="484"/>
      <c r="N12" s="484"/>
      <c r="O12" s="484"/>
    </row>
    <row r="13" spans="1:15" ht="72" customHeight="1">
      <c r="A13" s="485" t="s">
        <v>319</v>
      </c>
      <c r="B13" s="493"/>
      <c r="C13" s="494" t="s">
        <v>329</v>
      </c>
      <c r="D13" s="495" t="s">
        <v>330</v>
      </c>
      <c r="E13" s="495" t="s">
        <v>331</v>
      </c>
      <c r="F13" s="495" t="s">
        <v>332</v>
      </c>
      <c r="G13" s="495" t="s">
        <v>333</v>
      </c>
      <c r="H13" s="496" t="s">
        <v>334</v>
      </c>
      <c r="I13" s="497" t="s">
        <v>335</v>
      </c>
      <c r="J13" s="498" t="s">
        <v>336</v>
      </c>
      <c r="K13" s="499" t="s">
        <v>337</v>
      </c>
      <c r="L13" s="495" t="s">
        <v>338</v>
      </c>
      <c r="M13" s="495" t="s">
        <v>339</v>
      </c>
      <c r="N13" s="484"/>
      <c r="O13" s="484"/>
    </row>
    <row r="14" spans="1:15" ht="33" customHeight="1">
      <c r="A14" s="485" t="s">
        <v>319</v>
      </c>
      <c r="B14" s="1025" t="s">
        <v>340</v>
      </c>
      <c r="C14" s="500" t="str">
        <f>'1-ABA-DE-CARREGAMENTO'!C33</f>
        <v>2614-25_INTERP.LIBRAS_30hs</v>
      </c>
      <c r="D14" s="501">
        <f>'1-ABA-DE-CARREGAMENTO'!C52</f>
        <v>150</v>
      </c>
      <c r="E14" s="502">
        <f>'1-ABA-DE-CARREGAMENTO'!C92</f>
        <v>2</v>
      </c>
      <c r="F14" s="502">
        <f>'1-ABA-DE-CARREGAMENTO'!C93</f>
        <v>1</v>
      </c>
      <c r="G14" s="503">
        <f>'2614-25_INTERP.LIBRAS_30hs'!J195</f>
        <v>6998.1100000000006</v>
      </c>
      <c r="H14" s="504">
        <f t="shared" ref="H14:H25" si="0">G14*F14</f>
        <v>6998.1100000000006</v>
      </c>
      <c r="I14" s="505">
        <f t="shared" ref="I14:I25" si="1">H14*E14</f>
        <v>13996.220000000001</v>
      </c>
      <c r="J14" s="502">
        <f>'1-ABA-DE-CARREGAMENTO'!C94</f>
        <v>30</v>
      </c>
      <c r="K14" s="506">
        <f t="shared" ref="K14:K25" si="2">J14*E14</f>
        <v>60</v>
      </c>
      <c r="L14" s="503">
        <f t="shared" ref="L14:L25" si="3">I14*12</f>
        <v>167954.64</v>
      </c>
      <c r="M14" s="507">
        <f t="shared" ref="M14:M25" si="4">I14*J14</f>
        <v>419886.60000000003</v>
      </c>
      <c r="N14" s="508"/>
      <c r="O14" s="508"/>
    </row>
    <row r="15" spans="1:15" ht="33" customHeight="1">
      <c r="A15" s="485" t="s">
        <v>319</v>
      </c>
      <c r="B15" s="989"/>
      <c r="C15" s="500" t="str">
        <f>'1-ABA-DE-CARREGAMENTO'!D33</f>
        <v>2614-25_INTERP.LIBRAS_20hs</v>
      </c>
      <c r="D15" s="509">
        <f>'1-ABA-DE-CARREGAMENTO'!D52</f>
        <v>100</v>
      </c>
      <c r="E15" s="502">
        <f>'1-ABA-DE-CARREGAMENTO'!D92</f>
        <v>0</v>
      </c>
      <c r="F15" s="502">
        <f>'1-ABA-DE-CARREGAMENTO'!D93</f>
        <v>1</v>
      </c>
      <c r="G15" s="510">
        <f>'2614-25_INTERP.LIBRAS_20hs'!J195/F15</f>
        <v>4665.43</v>
      </c>
      <c r="H15" s="504">
        <f t="shared" si="0"/>
        <v>4665.43</v>
      </c>
      <c r="I15" s="505">
        <f t="shared" si="1"/>
        <v>0</v>
      </c>
      <c r="J15" s="502">
        <f>'1-ABA-DE-CARREGAMENTO'!D94</f>
        <v>30</v>
      </c>
      <c r="K15" s="506">
        <f t="shared" si="2"/>
        <v>0</v>
      </c>
      <c r="L15" s="503">
        <f t="shared" si="3"/>
        <v>0</v>
      </c>
      <c r="M15" s="507">
        <f t="shared" si="4"/>
        <v>0</v>
      </c>
      <c r="N15" s="508"/>
      <c r="O15" s="508"/>
    </row>
    <row r="16" spans="1:15" ht="33" hidden="1" customHeight="1">
      <c r="A16" s="485" t="s">
        <v>319</v>
      </c>
      <c r="B16" s="989"/>
      <c r="C16" s="511" t="str">
        <f>'1-ABA-DE-CARREGAMENTO'!E33</f>
        <v>A NÃO TEM MAIS POSTOS-00</v>
      </c>
      <c r="D16" s="509">
        <f>'1-ABA-DE-CARREGAMENTO'!E52</f>
        <v>200</v>
      </c>
      <c r="E16" s="502">
        <f>'1-ABA-DE-CARREGAMENTO'!E92</f>
        <v>0</v>
      </c>
      <c r="F16" s="512">
        <f>'1-ABA-DE-CARREGAMENTO'!E93</f>
        <v>1</v>
      </c>
      <c r="G16" s="510" t="e">
        <f>'A NÃO TEM MAIS POSTOS-00'!J195/F16</f>
        <v>#REF!</v>
      </c>
      <c r="H16" s="504" t="e">
        <f t="shared" si="0"/>
        <v>#REF!</v>
      </c>
      <c r="I16" s="505" t="e">
        <f t="shared" si="1"/>
        <v>#REF!</v>
      </c>
      <c r="J16" s="502">
        <f>'1-ABA-DE-CARREGAMENTO'!E94</f>
        <v>30</v>
      </c>
      <c r="K16" s="506">
        <f t="shared" si="2"/>
        <v>0</v>
      </c>
      <c r="L16" s="503" t="e">
        <f t="shared" si="3"/>
        <v>#REF!</v>
      </c>
      <c r="M16" s="507" t="e">
        <f t="shared" si="4"/>
        <v>#REF!</v>
      </c>
      <c r="N16" s="508"/>
      <c r="O16" s="508"/>
    </row>
    <row r="17" spans="1:15" ht="33" hidden="1" customHeight="1">
      <c r="A17" s="485"/>
      <c r="B17" s="989"/>
      <c r="C17" s="511" t="str">
        <f>'1-ABA-DE-CARREGAMENTO'!F33</f>
        <v>A NÃO TEM MAIS POSTOS-11</v>
      </c>
      <c r="D17" s="509">
        <f>'1-ABA-DE-CARREGAMENTO'!F52</f>
        <v>220</v>
      </c>
      <c r="E17" s="502">
        <f>'1-ABA-DE-CARREGAMENTO'!F92</f>
        <v>0</v>
      </c>
      <c r="F17" s="512">
        <f>'1-ABA-DE-CARREGAMENTO'!F93</f>
        <v>1</v>
      </c>
      <c r="G17" s="510" t="e">
        <f>'A NÃO TEM MAIS POSTOS-11'!J195/F17</f>
        <v>#REF!</v>
      </c>
      <c r="H17" s="504" t="e">
        <f t="shared" si="0"/>
        <v>#REF!</v>
      </c>
      <c r="I17" s="505" t="e">
        <f t="shared" si="1"/>
        <v>#REF!</v>
      </c>
      <c r="J17" s="502">
        <f>'1-ABA-DE-CARREGAMENTO'!F94</f>
        <v>30</v>
      </c>
      <c r="K17" s="506">
        <f t="shared" si="2"/>
        <v>0</v>
      </c>
      <c r="L17" s="503" t="e">
        <f t="shared" si="3"/>
        <v>#REF!</v>
      </c>
      <c r="M17" s="507" t="e">
        <f t="shared" si="4"/>
        <v>#REF!</v>
      </c>
      <c r="N17" s="508"/>
      <c r="O17" s="508"/>
    </row>
    <row r="18" spans="1:15" ht="33" hidden="1" customHeight="1">
      <c r="A18" s="485"/>
      <c r="B18" s="989"/>
      <c r="C18" s="511" t="str">
        <f>'1-ABA-DE-CARREGAMENTO'!G33</f>
        <v>A NÃO TEM MAIS POSTOS-22</v>
      </c>
      <c r="D18" s="509">
        <f>'1-ABA-DE-CARREGAMENTO'!G52</f>
        <v>220</v>
      </c>
      <c r="E18" s="502">
        <f>'1-ABA-DE-CARREGAMENTO'!G92</f>
        <v>0</v>
      </c>
      <c r="F18" s="512">
        <f>'1-ABA-DE-CARREGAMENTO'!G93</f>
        <v>1</v>
      </c>
      <c r="G18" s="510" t="e">
        <f>'A NÃO TEM MAIS POSTOS-22'!J195/F18</f>
        <v>#REF!</v>
      </c>
      <c r="H18" s="504" t="e">
        <f t="shared" si="0"/>
        <v>#REF!</v>
      </c>
      <c r="I18" s="505" t="e">
        <f t="shared" si="1"/>
        <v>#REF!</v>
      </c>
      <c r="J18" s="502">
        <f>'1-ABA-DE-CARREGAMENTO'!G94</f>
        <v>30</v>
      </c>
      <c r="K18" s="506">
        <f t="shared" si="2"/>
        <v>0</v>
      </c>
      <c r="L18" s="503" t="e">
        <f t="shared" si="3"/>
        <v>#REF!</v>
      </c>
      <c r="M18" s="507" t="e">
        <f t="shared" si="4"/>
        <v>#REF!</v>
      </c>
      <c r="N18" s="508"/>
      <c r="O18" s="508"/>
    </row>
    <row r="19" spans="1:15" ht="33" hidden="1" customHeight="1">
      <c r="A19" s="485"/>
      <c r="B19" s="989"/>
      <c r="C19" s="511" t="str">
        <f>'1-ABA-DE-CARREGAMENTO'!H33</f>
        <v>A NÃO TEM MAIS POSTOS-33</v>
      </c>
      <c r="D19" s="509">
        <f>'1-ABA-DE-CARREGAMENTO'!H52</f>
        <v>220</v>
      </c>
      <c r="E19" s="502">
        <f>'1-ABA-DE-CARREGAMENTO'!H92</f>
        <v>0</v>
      </c>
      <c r="F19" s="512">
        <f>'1-ABA-DE-CARREGAMENTO'!H93</f>
        <v>1</v>
      </c>
      <c r="G19" s="510" t="e">
        <f>'A NÃO TEM MAIS POSTOS-33'!J195/F19</f>
        <v>#REF!</v>
      </c>
      <c r="H19" s="504" t="e">
        <f t="shared" si="0"/>
        <v>#REF!</v>
      </c>
      <c r="I19" s="505" t="e">
        <f t="shared" si="1"/>
        <v>#REF!</v>
      </c>
      <c r="J19" s="502">
        <f>'1-ABA-DE-CARREGAMENTO'!H94</f>
        <v>30</v>
      </c>
      <c r="K19" s="506">
        <f t="shared" si="2"/>
        <v>0</v>
      </c>
      <c r="L19" s="503" t="e">
        <f t="shared" si="3"/>
        <v>#REF!</v>
      </c>
      <c r="M19" s="507" t="e">
        <f t="shared" si="4"/>
        <v>#REF!</v>
      </c>
      <c r="N19" s="508"/>
      <c r="O19" s="508"/>
    </row>
    <row r="20" spans="1:15" ht="33" hidden="1" customHeight="1">
      <c r="A20" s="485" t="s">
        <v>319</v>
      </c>
      <c r="B20" s="989"/>
      <c r="C20" s="511" t="str">
        <f>'1-ABA-DE-CARREGAMENTO'!I33</f>
        <v>A NÃO TEM MAIS POSTOS-44</v>
      </c>
      <c r="D20" s="509">
        <f>'1-ABA-DE-CARREGAMENTO'!I52</f>
        <v>220</v>
      </c>
      <c r="E20" s="502">
        <f>'1-ABA-DE-CARREGAMENTO'!I92</f>
        <v>0</v>
      </c>
      <c r="F20" s="512">
        <f>'1-ABA-DE-CARREGAMENTO'!I93</f>
        <v>1</v>
      </c>
      <c r="G20" s="510" t="e">
        <f>'A NÃO TEM MAIS POSTOS-44'!J195/F20</f>
        <v>#REF!</v>
      </c>
      <c r="H20" s="504" t="e">
        <f t="shared" si="0"/>
        <v>#REF!</v>
      </c>
      <c r="I20" s="505" t="e">
        <f t="shared" si="1"/>
        <v>#REF!</v>
      </c>
      <c r="J20" s="502">
        <f>'1-ABA-DE-CARREGAMENTO'!I94</f>
        <v>30</v>
      </c>
      <c r="K20" s="506">
        <f t="shared" si="2"/>
        <v>0</v>
      </c>
      <c r="L20" s="503" t="e">
        <f t="shared" si="3"/>
        <v>#REF!</v>
      </c>
      <c r="M20" s="507" t="e">
        <f t="shared" si="4"/>
        <v>#REF!</v>
      </c>
      <c r="N20" s="508"/>
      <c r="O20" s="508"/>
    </row>
    <row r="21" spans="1:15" ht="33" hidden="1" customHeight="1">
      <c r="A21" s="485" t="s">
        <v>319</v>
      </c>
      <c r="B21" s="989"/>
      <c r="C21" s="511" t="str">
        <f>'1-ABA-DE-CARREGAMENTO'!J33</f>
        <v>A NÃO TEM MAIS POSTOS-55</v>
      </c>
      <c r="D21" s="509">
        <f>'1-ABA-DE-CARREGAMENTO'!J52</f>
        <v>220</v>
      </c>
      <c r="E21" s="502">
        <f>'1-ABA-DE-CARREGAMENTO'!J92</f>
        <v>0</v>
      </c>
      <c r="F21" s="512">
        <f>'1-ABA-DE-CARREGAMENTO'!J93</f>
        <v>1</v>
      </c>
      <c r="G21" s="510">
        <f>'A NAO TEM MAIS POSTO 55'!J195/F21</f>
        <v>9108.8700000000008</v>
      </c>
      <c r="H21" s="504">
        <f t="shared" si="0"/>
        <v>9108.8700000000008</v>
      </c>
      <c r="I21" s="505">
        <f t="shared" si="1"/>
        <v>0</v>
      </c>
      <c r="J21" s="502">
        <f>'1-ABA-DE-CARREGAMENTO'!J94</f>
        <v>30</v>
      </c>
      <c r="K21" s="506">
        <f t="shared" si="2"/>
        <v>0</v>
      </c>
      <c r="L21" s="503">
        <f t="shared" si="3"/>
        <v>0</v>
      </c>
      <c r="M21" s="507">
        <f t="shared" si="4"/>
        <v>0</v>
      </c>
    </row>
    <row r="22" spans="1:15" ht="33" hidden="1" customHeight="1">
      <c r="A22" s="485"/>
      <c r="B22" s="989"/>
      <c r="C22" s="511" t="str">
        <f>'1-ABA-DE-CARREGAMENTO'!K33</f>
        <v>A NÃO TEM MAIS POSTOS-66</v>
      </c>
      <c r="D22" s="509">
        <f>'1-ABA-DE-CARREGAMENTO'!K52</f>
        <v>220</v>
      </c>
      <c r="E22" s="502">
        <f>'1-ABA-DE-CARREGAMENTO'!K92</f>
        <v>0</v>
      </c>
      <c r="F22" s="512">
        <f>'1-ABA-DE-CARREGAMENTO'!K93</f>
        <v>1</v>
      </c>
      <c r="G22" s="510">
        <f>'A NAO TEM MAIS POSTO 66'!J195/F22</f>
        <v>9108.8700000000008</v>
      </c>
      <c r="H22" s="504">
        <f t="shared" si="0"/>
        <v>9108.8700000000008</v>
      </c>
      <c r="I22" s="505">
        <f t="shared" si="1"/>
        <v>0</v>
      </c>
      <c r="J22" s="502">
        <f>'1-ABA-DE-CARREGAMENTO'!K94</f>
        <v>30</v>
      </c>
      <c r="K22" s="506">
        <f t="shared" si="2"/>
        <v>0</v>
      </c>
      <c r="L22" s="503">
        <f t="shared" si="3"/>
        <v>0</v>
      </c>
      <c r="M22" s="507">
        <f t="shared" si="4"/>
        <v>0</v>
      </c>
      <c r="N22" s="508"/>
      <c r="O22" s="508"/>
    </row>
    <row r="23" spans="1:15" ht="33" hidden="1" customHeight="1">
      <c r="A23" s="485"/>
      <c r="B23" s="989"/>
      <c r="C23" s="511" t="str">
        <f>'1-ABA-DE-CARREGAMENTO'!L33</f>
        <v>A NÃO TEM MAIS POSTOS-77</v>
      </c>
      <c r="D23" s="509">
        <f>'1-ABA-DE-CARREGAMENTO'!L52</f>
        <v>220</v>
      </c>
      <c r="E23" s="502">
        <f>'1-ABA-DE-CARREGAMENTO'!L92</f>
        <v>0</v>
      </c>
      <c r="F23" s="512">
        <f>'1-ABA-DE-CARREGAMENTO'!L93</f>
        <v>1</v>
      </c>
      <c r="G23" s="510">
        <f>'A NAO TEM MAIS POSTO 77'!J195/F23</f>
        <v>4809.4800000000005</v>
      </c>
      <c r="H23" s="504">
        <f t="shared" si="0"/>
        <v>4809.4800000000005</v>
      </c>
      <c r="I23" s="505">
        <f t="shared" si="1"/>
        <v>0</v>
      </c>
      <c r="J23" s="502">
        <f>'1-ABA-DE-CARREGAMENTO'!L94</f>
        <v>30</v>
      </c>
      <c r="K23" s="506">
        <f t="shared" si="2"/>
        <v>0</v>
      </c>
      <c r="L23" s="503">
        <f t="shared" si="3"/>
        <v>0</v>
      </c>
      <c r="M23" s="507">
        <f t="shared" si="4"/>
        <v>0</v>
      </c>
      <c r="N23" s="508"/>
      <c r="O23" s="508"/>
    </row>
    <row r="24" spans="1:15" ht="33" hidden="1" customHeight="1">
      <c r="A24" s="485" t="s">
        <v>319</v>
      </c>
      <c r="B24" s="989"/>
      <c r="C24" s="511" t="str">
        <f>'1-ABA-DE-CARREGAMENTO'!M33</f>
        <v>A NÃO TEM MAIS POSTOS-88</v>
      </c>
      <c r="D24" s="509">
        <f>'1-ABA-DE-CARREGAMENTO'!M52</f>
        <v>220</v>
      </c>
      <c r="E24" s="502">
        <f>'1-ABA-DE-CARREGAMENTO'!M92</f>
        <v>0</v>
      </c>
      <c r="F24" s="512">
        <f>'1-ABA-DE-CARREGAMENTO'!M93</f>
        <v>1</v>
      </c>
      <c r="G24" s="510">
        <f>'A NÃO TEM MAIS POSTOS-88'!J195/F24</f>
        <v>0.22999999999999998</v>
      </c>
      <c r="H24" s="504">
        <f t="shared" si="0"/>
        <v>0.22999999999999998</v>
      </c>
      <c r="I24" s="505">
        <f t="shared" si="1"/>
        <v>0</v>
      </c>
      <c r="J24" s="502">
        <f>'1-ABA-DE-CARREGAMENTO'!M94</f>
        <v>30</v>
      </c>
      <c r="K24" s="506">
        <f t="shared" si="2"/>
        <v>0</v>
      </c>
      <c r="L24" s="503">
        <f t="shared" si="3"/>
        <v>0</v>
      </c>
      <c r="M24" s="507">
        <f t="shared" si="4"/>
        <v>0</v>
      </c>
      <c r="N24" s="508"/>
      <c r="O24" s="508"/>
    </row>
    <row r="25" spans="1:15" ht="33" hidden="1" customHeight="1">
      <c r="A25" s="485" t="s">
        <v>319</v>
      </c>
      <c r="B25" s="989"/>
      <c r="C25" s="511" t="str">
        <f>'1-ABA-DE-CARREGAMENTO'!N33</f>
        <v>A NÃO TEM MAIS POSTOS-99</v>
      </c>
      <c r="D25" s="509">
        <f>'1-ABA-DE-CARREGAMENTO'!N52</f>
        <v>220</v>
      </c>
      <c r="E25" s="502">
        <f>'1-ABA-DE-CARREGAMENTO'!N92</f>
        <v>0</v>
      </c>
      <c r="F25" s="512">
        <f>'1-ABA-DE-CARREGAMENTO'!N93</f>
        <v>1</v>
      </c>
      <c r="G25" s="510">
        <f>'A NÃO TEM MAIS POSTOS-99'!J195/F25</f>
        <v>0.22999999999999998</v>
      </c>
      <c r="H25" s="504">
        <f t="shared" si="0"/>
        <v>0.22999999999999998</v>
      </c>
      <c r="I25" s="505">
        <f t="shared" si="1"/>
        <v>0</v>
      </c>
      <c r="J25" s="502">
        <f>'1-ABA-DE-CARREGAMENTO'!N94</f>
        <v>30</v>
      </c>
      <c r="K25" s="503">
        <f t="shared" si="2"/>
        <v>0</v>
      </c>
      <c r="L25" s="503">
        <f t="shared" si="3"/>
        <v>0</v>
      </c>
      <c r="M25" s="507">
        <f t="shared" si="4"/>
        <v>0</v>
      </c>
      <c r="N25" s="508"/>
      <c r="O25" s="508"/>
    </row>
    <row r="26" spans="1:15" ht="34.5" customHeight="1">
      <c r="A26" s="485" t="s">
        <v>319</v>
      </c>
      <c r="B26" s="1026"/>
      <c r="C26" s="513" t="s">
        <v>341</v>
      </c>
      <c r="D26" s="513"/>
      <c r="E26" s="514">
        <f>SUM(E14:E25)</f>
        <v>2</v>
      </c>
      <c r="F26" s="515"/>
      <c r="G26" s="516"/>
      <c r="H26" s="516"/>
      <c r="I26" s="517">
        <f>SUBTOTAL(9,I14:I15)</f>
        <v>13996.220000000001</v>
      </c>
      <c r="J26" s="518"/>
      <c r="K26" s="519"/>
      <c r="L26" s="517">
        <f t="shared" ref="L26:M26" si="5">SUBTOTAL(9,L14:L15)</f>
        <v>167954.64</v>
      </c>
      <c r="M26" s="517">
        <f t="shared" si="5"/>
        <v>419886.60000000003</v>
      </c>
      <c r="N26" s="520"/>
      <c r="O26" s="520"/>
    </row>
    <row r="27" spans="1:15" ht="27.75" customHeight="1">
      <c r="A27" s="485" t="s">
        <v>319</v>
      </c>
      <c r="B27" s="521"/>
      <c r="C27" s="522"/>
      <c r="D27" s="522"/>
      <c r="E27" s="523"/>
      <c r="F27" s="523"/>
      <c r="G27" s="522"/>
      <c r="H27" s="522"/>
      <c r="I27" s="524"/>
      <c r="J27" s="524"/>
      <c r="K27" s="524"/>
      <c r="L27" s="524"/>
      <c r="M27" s="484"/>
      <c r="N27" s="484"/>
      <c r="O27" s="484"/>
    </row>
    <row r="28" spans="1:15" ht="15.75" customHeight="1">
      <c r="A28" s="485"/>
      <c r="C28" s="484"/>
      <c r="D28" s="484"/>
      <c r="E28" s="484"/>
      <c r="F28" s="484"/>
      <c r="G28" s="484"/>
      <c r="H28" s="484"/>
      <c r="I28" s="484"/>
      <c r="J28" s="484"/>
      <c r="K28" s="484"/>
      <c r="L28" s="484"/>
      <c r="M28" s="484"/>
      <c r="N28" s="484"/>
      <c r="O28" s="484"/>
    </row>
    <row r="29" spans="1:15" ht="15.75" customHeight="1">
      <c r="A29" s="485"/>
      <c r="C29" s="484"/>
      <c r="D29" s="484"/>
      <c r="E29" s="484"/>
      <c r="F29" s="484"/>
      <c r="G29" s="484"/>
      <c r="H29" s="484"/>
      <c r="I29" s="484"/>
      <c r="J29" s="484"/>
      <c r="K29" s="484"/>
      <c r="L29" s="484"/>
      <c r="M29" s="484"/>
      <c r="N29" s="484"/>
      <c r="O29" s="484"/>
    </row>
    <row r="30" spans="1:15" ht="15.75" customHeight="1">
      <c r="A30" s="485"/>
      <c r="C30" s="484"/>
      <c r="D30" s="484"/>
      <c r="E30" s="484"/>
      <c r="F30" s="484"/>
      <c r="G30" s="484"/>
      <c r="H30" s="484"/>
      <c r="I30" s="484"/>
      <c r="J30" s="484"/>
      <c r="K30" s="484"/>
      <c r="L30" s="484"/>
      <c r="M30" s="484"/>
      <c r="N30" s="484"/>
      <c r="O30" s="484"/>
    </row>
    <row r="31" spans="1:15" ht="15.75" customHeight="1">
      <c r="A31" s="485"/>
      <c r="C31" s="484"/>
      <c r="D31" s="484"/>
      <c r="E31" s="484"/>
      <c r="F31" s="484"/>
      <c r="G31" s="484"/>
      <c r="H31" s="484"/>
      <c r="I31" s="484"/>
      <c r="J31" s="484"/>
      <c r="K31" s="484"/>
      <c r="L31" s="484"/>
      <c r="M31" s="484"/>
      <c r="N31" s="484"/>
      <c r="O31" s="484"/>
    </row>
    <row r="32" spans="1:15" ht="15.75" customHeight="1">
      <c r="A32" s="485"/>
      <c r="C32" s="484"/>
      <c r="D32" s="484"/>
      <c r="E32" s="484"/>
      <c r="F32" s="484"/>
      <c r="G32" s="484"/>
      <c r="H32" s="484"/>
      <c r="I32" s="484"/>
      <c r="J32" s="484"/>
      <c r="K32" s="484"/>
      <c r="L32" s="484"/>
      <c r="M32" s="484"/>
      <c r="N32" s="484"/>
      <c r="O32" s="484"/>
    </row>
    <row r="33" spans="1:15" ht="15.75" customHeight="1">
      <c r="A33" s="485"/>
      <c r="C33" s="484"/>
      <c r="D33" s="484"/>
      <c r="E33" s="484"/>
      <c r="F33" s="484"/>
      <c r="G33" s="484"/>
      <c r="H33" s="484"/>
      <c r="I33" s="484"/>
      <c r="J33" s="484"/>
      <c r="K33" s="484"/>
      <c r="L33" s="484"/>
      <c r="M33" s="484"/>
      <c r="N33" s="484"/>
      <c r="O33" s="484"/>
    </row>
    <row r="34" spans="1:15" ht="15.75" customHeight="1">
      <c r="A34" s="485"/>
      <c r="C34" s="484"/>
      <c r="D34" s="484"/>
      <c r="E34" s="484"/>
      <c r="F34" s="484"/>
      <c r="G34" s="484"/>
      <c r="H34" s="484"/>
      <c r="I34" s="484"/>
      <c r="J34" s="484"/>
      <c r="K34" s="484"/>
      <c r="L34" s="484"/>
      <c r="M34" s="484"/>
      <c r="N34" s="484"/>
      <c r="O34" s="484"/>
    </row>
    <row r="35" spans="1:15" ht="15.75" customHeight="1">
      <c r="A35" s="485"/>
      <c r="C35" s="484"/>
      <c r="D35" s="484"/>
      <c r="E35" s="484"/>
      <c r="F35" s="484"/>
      <c r="G35" s="484"/>
      <c r="H35" s="484"/>
      <c r="I35" s="484"/>
      <c r="J35" s="484"/>
      <c r="K35" s="484"/>
      <c r="L35" s="484"/>
      <c r="M35" s="484"/>
      <c r="N35" s="484"/>
      <c r="O35" s="484"/>
    </row>
    <row r="36" spans="1:15" ht="15.75" customHeight="1">
      <c r="A36" s="485"/>
      <c r="C36" s="484"/>
      <c r="D36" s="484"/>
      <c r="E36" s="484"/>
      <c r="F36" s="484"/>
      <c r="G36" s="484"/>
      <c r="H36" s="484"/>
      <c r="I36" s="484"/>
      <c r="J36" s="484"/>
      <c r="K36" s="484"/>
      <c r="L36" s="484"/>
      <c r="M36" s="484"/>
      <c r="N36" s="484"/>
      <c r="O36" s="484"/>
    </row>
    <row r="37" spans="1:15" ht="15.75" customHeight="1">
      <c r="A37" s="485"/>
      <c r="C37" s="484"/>
      <c r="D37" s="484"/>
      <c r="E37" s="484"/>
      <c r="F37" s="484"/>
      <c r="G37" s="484"/>
      <c r="H37" s="484"/>
      <c r="I37" s="484"/>
      <c r="J37" s="484"/>
      <c r="K37" s="484"/>
      <c r="L37" s="484"/>
      <c r="M37" s="484"/>
      <c r="N37" s="484"/>
      <c r="O37" s="484"/>
    </row>
    <row r="38" spans="1:15" ht="15.75" customHeight="1">
      <c r="A38" s="485"/>
      <c r="C38" s="484"/>
      <c r="D38" s="484"/>
      <c r="E38" s="484"/>
      <c r="F38" s="484"/>
      <c r="G38" s="484"/>
      <c r="H38" s="484"/>
      <c r="I38" s="484"/>
      <c r="J38" s="484"/>
      <c r="K38" s="484"/>
      <c r="L38" s="484"/>
      <c r="M38" s="484"/>
      <c r="N38" s="484"/>
      <c r="O38" s="484"/>
    </row>
    <row r="39" spans="1:15" ht="15.75" customHeight="1">
      <c r="A39" s="485"/>
      <c r="C39" s="484"/>
      <c r="D39" s="484"/>
      <c r="E39" s="484"/>
      <c r="F39" s="484"/>
      <c r="G39" s="484"/>
      <c r="H39" s="484"/>
      <c r="I39" s="484"/>
      <c r="J39" s="484"/>
      <c r="K39" s="484"/>
      <c r="L39" s="484"/>
      <c r="M39" s="484"/>
      <c r="N39" s="484"/>
      <c r="O39" s="484"/>
    </row>
    <row r="40" spans="1:15" ht="15.75" customHeight="1">
      <c r="A40" s="485"/>
      <c r="C40" s="484"/>
      <c r="D40" s="484"/>
      <c r="E40" s="484"/>
      <c r="F40" s="484"/>
      <c r="G40" s="484"/>
      <c r="H40" s="484"/>
      <c r="I40" s="484"/>
      <c r="J40" s="484"/>
      <c r="K40" s="484"/>
      <c r="L40" s="484"/>
      <c r="M40" s="484"/>
      <c r="N40" s="484"/>
      <c r="O40" s="484"/>
    </row>
    <row r="41" spans="1:15" ht="15.75" customHeight="1">
      <c r="A41" s="485"/>
      <c r="C41" s="484"/>
      <c r="D41" s="484"/>
      <c r="E41" s="484"/>
      <c r="F41" s="484"/>
      <c r="G41" s="484"/>
      <c r="H41" s="484"/>
      <c r="I41" s="484"/>
      <c r="J41" s="484"/>
      <c r="K41" s="484"/>
      <c r="L41" s="484"/>
      <c r="M41" s="484"/>
      <c r="N41" s="484"/>
      <c r="O41" s="484"/>
    </row>
    <row r="42" spans="1:15" ht="15.75" customHeight="1">
      <c r="A42" s="485"/>
      <c r="C42" s="484"/>
      <c r="D42" s="484"/>
      <c r="E42" s="484"/>
      <c r="F42" s="484"/>
      <c r="G42" s="484"/>
      <c r="H42" s="484"/>
      <c r="I42" s="484"/>
      <c r="J42" s="484"/>
      <c r="K42" s="484"/>
      <c r="L42" s="484"/>
      <c r="M42" s="484"/>
      <c r="N42" s="484"/>
      <c r="O42" s="484"/>
    </row>
    <row r="43" spans="1:15" ht="15.75" customHeight="1">
      <c r="A43" s="485"/>
      <c r="C43" s="484"/>
      <c r="D43" s="484"/>
      <c r="E43" s="484"/>
      <c r="F43" s="484"/>
      <c r="G43" s="484"/>
      <c r="H43" s="484"/>
      <c r="I43" s="484"/>
      <c r="J43" s="484"/>
      <c r="K43" s="484"/>
      <c r="L43" s="484"/>
      <c r="M43" s="484"/>
      <c r="N43" s="484"/>
      <c r="O43" s="484"/>
    </row>
    <row r="44" spans="1:15" ht="15.75" customHeight="1">
      <c r="A44" s="485"/>
      <c r="C44" s="484"/>
      <c r="D44" s="484"/>
      <c r="E44" s="484"/>
      <c r="F44" s="484"/>
      <c r="G44" s="484"/>
      <c r="H44" s="484"/>
      <c r="I44" s="484"/>
      <c r="J44" s="484"/>
      <c r="K44" s="484"/>
      <c r="L44" s="484"/>
      <c r="M44" s="484"/>
      <c r="N44" s="484"/>
      <c r="O44" s="484"/>
    </row>
    <row r="45" spans="1:15" ht="15.75" customHeight="1">
      <c r="A45" s="485"/>
      <c r="C45" s="484"/>
      <c r="D45" s="484"/>
      <c r="E45" s="484"/>
      <c r="F45" s="484"/>
      <c r="G45" s="484"/>
      <c r="H45" s="484"/>
      <c r="I45" s="484"/>
      <c r="J45" s="484"/>
      <c r="K45" s="484"/>
      <c r="L45" s="484"/>
      <c r="M45" s="484"/>
      <c r="N45" s="484"/>
      <c r="O45" s="484"/>
    </row>
    <row r="46" spans="1:15" ht="15.75" customHeight="1">
      <c r="A46" s="485"/>
      <c r="C46" s="484"/>
      <c r="D46" s="484"/>
      <c r="E46" s="484"/>
      <c r="F46" s="484"/>
      <c r="G46" s="484"/>
      <c r="H46" s="484"/>
      <c r="I46" s="484"/>
      <c r="J46" s="484"/>
      <c r="K46" s="484"/>
      <c r="L46" s="484"/>
      <c r="M46" s="484"/>
      <c r="N46" s="484"/>
      <c r="O46" s="484"/>
    </row>
    <row r="47" spans="1:15" ht="15.75" customHeight="1">
      <c r="A47" s="485"/>
      <c r="C47" s="484"/>
      <c r="D47" s="484"/>
      <c r="E47" s="484"/>
      <c r="F47" s="484"/>
      <c r="G47" s="484"/>
      <c r="H47" s="484"/>
      <c r="I47" s="484"/>
      <c r="J47" s="484"/>
      <c r="K47" s="484"/>
      <c r="L47" s="484"/>
      <c r="M47" s="484"/>
      <c r="N47" s="484"/>
      <c r="O47" s="484"/>
    </row>
    <row r="48" spans="1:15" ht="15.75" customHeight="1">
      <c r="A48" s="485"/>
      <c r="C48" s="484"/>
      <c r="D48" s="484"/>
      <c r="E48" s="484"/>
      <c r="F48" s="484"/>
      <c r="G48" s="484"/>
      <c r="H48" s="484"/>
      <c r="I48" s="484"/>
      <c r="J48" s="484"/>
      <c r="K48" s="484"/>
      <c r="L48" s="484"/>
      <c r="M48" s="484"/>
      <c r="N48" s="484"/>
      <c r="O48" s="484"/>
    </row>
    <row r="49" spans="1:15" ht="15.75" customHeight="1">
      <c r="A49" s="485"/>
      <c r="C49" s="484"/>
      <c r="D49" s="484"/>
      <c r="E49" s="484"/>
      <c r="F49" s="484"/>
      <c r="G49" s="484"/>
      <c r="H49" s="484"/>
      <c r="I49" s="484"/>
      <c r="J49" s="484"/>
      <c r="K49" s="484"/>
      <c r="L49" s="484"/>
      <c r="M49" s="484"/>
      <c r="N49" s="484"/>
      <c r="O49" s="484"/>
    </row>
    <row r="50" spans="1:15" ht="15.75" customHeight="1">
      <c r="A50" s="485"/>
      <c r="C50" s="484"/>
      <c r="D50" s="484"/>
      <c r="E50" s="484"/>
      <c r="F50" s="484"/>
      <c r="G50" s="484"/>
      <c r="H50" s="484"/>
      <c r="I50" s="484"/>
      <c r="J50" s="484"/>
      <c r="K50" s="484"/>
      <c r="L50" s="484"/>
      <c r="M50" s="484"/>
      <c r="N50" s="484"/>
      <c r="O50" s="484"/>
    </row>
    <row r="51" spans="1:15" ht="15.75" customHeight="1">
      <c r="A51" s="485"/>
      <c r="C51" s="484"/>
      <c r="D51" s="484"/>
      <c r="E51" s="484"/>
      <c r="F51" s="484"/>
      <c r="G51" s="484"/>
      <c r="H51" s="484"/>
      <c r="I51" s="484"/>
      <c r="J51" s="484"/>
      <c r="K51" s="484"/>
      <c r="L51" s="484"/>
      <c r="M51" s="484"/>
      <c r="N51" s="484"/>
      <c r="O51" s="484"/>
    </row>
    <row r="52" spans="1:15" ht="15.75" customHeight="1">
      <c r="A52" s="485"/>
      <c r="C52" s="484"/>
      <c r="D52" s="484"/>
      <c r="E52" s="484"/>
      <c r="F52" s="484"/>
      <c r="G52" s="484"/>
      <c r="H52" s="484"/>
      <c r="I52" s="484"/>
      <c r="J52" s="484"/>
      <c r="K52" s="484"/>
      <c r="L52" s="484"/>
      <c r="M52" s="484"/>
      <c r="N52" s="484"/>
      <c r="O52" s="484"/>
    </row>
    <row r="53" spans="1:15" ht="15.75" customHeight="1">
      <c r="A53" s="485"/>
      <c r="C53" s="484"/>
      <c r="D53" s="484"/>
      <c r="E53" s="484"/>
      <c r="F53" s="484"/>
      <c r="G53" s="484"/>
      <c r="H53" s="484"/>
      <c r="I53" s="484"/>
      <c r="J53" s="484"/>
      <c r="K53" s="484"/>
      <c r="L53" s="484"/>
      <c r="M53" s="484"/>
      <c r="N53" s="484"/>
      <c r="O53" s="484"/>
    </row>
    <row r="54" spans="1:15" ht="15.75" customHeight="1">
      <c r="A54" s="485"/>
      <c r="C54" s="484"/>
      <c r="D54" s="484"/>
      <c r="E54" s="484"/>
      <c r="F54" s="484"/>
      <c r="G54" s="484"/>
      <c r="H54" s="484"/>
      <c r="I54" s="484"/>
      <c r="J54" s="484"/>
      <c r="K54" s="484"/>
      <c r="L54" s="484"/>
      <c r="M54" s="484"/>
      <c r="N54" s="484"/>
      <c r="O54" s="484"/>
    </row>
    <row r="55" spans="1:15" ht="15.75" customHeight="1">
      <c r="A55" s="485"/>
      <c r="C55" s="484"/>
      <c r="D55" s="484"/>
      <c r="E55" s="484"/>
      <c r="F55" s="484"/>
      <c r="G55" s="484"/>
      <c r="H55" s="484"/>
      <c r="I55" s="484"/>
      <c r="J55" s="484"/>
      <c r="K55" s="484"/>
      <c r="L55" s="484"/>
      <c r="M55" s="484"/>
      <c r="N55" s="484"/>
      <c r="O55" s="484"/>
    </row>
    <row r="56" spans="1:15" ht="15.75" customHeight="1">
      <c r="A56" s="485"/>
      <c r="C56" s="484"/>
      <c r="D56" s="484"/>
      <c r="E56" s="484"/>
      <c r="F56" s="484"/>
      <c r="G56" s="484"/>
      <c r="H56" s="484"/>
      <c r="I56" s="484"/>
      <c r="J56" s="484"/>
      <c r="K56" s="484"/>
      <c r="L56" s="484"/>
      <c r="M56" s="484"/>
      <c r="N56" s="484"/>
      <c r="O56" s="484"/>
    </row>
    <row r="57" spans="1:15" ht="15.75" customHeight="1">
      <c r="A57" s="485"/>
      <c r="C57" s="484"/>
      <c r="D57" s="484"/>
      <c r="E57" s="484"/>
      <c r="F57" s="484"/>
      <c r="G57" s="484"/>
      <c r="H57" s="484"/>
      <c r="I57" s="484"/>
      <c r="J57" s="484"/>
      <c r="K57" s="484"/>
      <c r="L57" s="484"/>
      <c r="M57" s="484"/>
      <c r="N57" s="484"/>
      <c r="O57" s="484"/>
    </row>
    <row r="58" spans="1:15" ht="15.75" customHeight="1">
      <c r="A58" s="485"/>
      <c r="C58" s="484"/>
      <c r="D58" s="484"/>
      <c r="E58" s="484"/>
      <c r="F58" s="484"/>
      <c r="G58" s="484"/>
      <c r="H58" s="484"/>
      <c r="I58" s="484"/>
      <c r="J58" s="484"/>
      <c r="K58" s="484"/>
      <c r="L58" s="484"/>
      <c r="M58" s="484"/>
      <c r="N58" s="484"/>
      <c r="O58" s="484"/>
    </row>
    <row r="59" spans="1:15" ht="15.75" customHeight="1">
      <c r="A59" s="485"/>
      <c r="C59" s="484"/>
      <c r="D59" s="484"/>
      <c r="E59" s="484"/>
      <c r="F59" s="484"/>
      <c r="G59" s="484"/>
      <c r="H59" s="484"/>
      <c r="I59" s="484"/>
      <c r="J59" s="484"/>
      <c r="K59" s="484"/>
      <c r="L59" s="484"/>
      <c r="M59" s="484"/>
      <c r="N59" s="484"/>
      <c r="O59" s="484"/>
    </row>
    <row r="60" spans="1:15" ht="15.75" customHeight="1">
      <c r="A60" s="485"/>
      <c r="C60" s="484"/>
      <c r="D60" s="484"/>
      <c r="E60" s="484"/>
      <c r="F60" s="484"/>
      <c r="G60" s="484"/>
      <c r="H60" s="484"/>
      <c r="I60" s="484"/>
      <c r="J60" s="484"/>
      <c r="K60" s="484"/>
      <c r="L60" s="484"/>
      <c r="M60" s="484"/>
      <c r="N60" s="484"/>
      <c r="O60" s="484"/>
    </row>
    <row r="61" spans="1:15" ht="15.75" customHeight="1">
      <c r="A61" s="485"/>
      <c r="C61" s="484"/>
      <c r="D61" s="484"/>
      <c r="E61" s="484"/>
      <c r="F61" s="484"/>
      <c r="G61" s="484"/>
      <c r="H61" s="484"/>
      <c r="I61" s="484"/>
      <c r="J61" s="484"/>
      <c r="K61" s="484"/>
      <c r="L61" s="484"/>
      <c r="M61" s="484"/>
      <c r="N61" s="484"/>
      <c r="O61" s="484"/>
    </row>
    <row r="62" spans="1:15" ht="15.75" customHeight="1">
      <c r="A62" s="485"/>
      <c r="C62" s="484"/>
      <c r="D62" s="484"/>
      <c r="E62" s="484"/>
      <c r="F62" s="484"/>
      <c r="G62" s="484"/>
      <c r="H62" s="484"/>
      <c r="I62" s="484"/>
      <c r="J62" s="484"/>
      <c r="K62" s="484"/>
      <c r="L62" s="484"/>
      <c r="M62" s="484"/>
      <c r="N62" s="484"/>
      <c r="O62" s="484"/>
    </row>
    <row r="63" spans="1:15" ht="15.75" customHeight="1">
      <c r="A63" s="485"/>
      <c r="C63" s="484"/>
      <c r="D63" s="484"/>
      <c r="E63" s="484"/>
      <c r="F63" s="484"/>
      <c r="G63" s="484"/>
      <c r="H63" s="484"/>
      <c r="I63" s="484"/>
      <c r="J63" s="484"/>
      <c r="K63" s="484"/>
      <c r="L63" s="484"/>
      <c r="M63" s="484"/>
      <c r="N63" s="484"/>
      <c r="O63" s="484"/>
    </row>
    <row r="64" spans="1:15" ht="15.75" customHeight="1">
      <c r="A64" s="485"/>
      <c r="C64" s="484"/>
      <c r="D64" s="484"/>
      <c r="E64" s="484"/>
      <c r="F64" s="484"/>
      <c r="G64" s="484"/>
      <c r="H64" s="484"/>
      <c r="I64" s="484"/>
      <c r="J64" s="484"/>
      <c r="K64" s="484"/>
      <c r="L64" s="484"/>
      <c r="M64" s="484"/>
      <c r="N64" s="484"/>
      <c r="O64" s="484"/>
    </row>
    <row r="65" spans="1:15" ht="15.75" customHeight="1">
      <c r="A65" s="485"/>
      <c r="C65" s="484"/>
      <c r="D65" s="484"/>
      <c r="E65" s="484"/>
      <c r="F65" s="484"/>
      <c r="G65" s="484"/>
      <c r="H65" s="484"/>
      <c r="I65" s="484"/>
      <c r="J65" s="484"/>
      <c r="K65" s="484"/>
      <c r="L65" s="484"/>
      <c r="M65" s="484"/>
      <c r="N65" s="484"/>
      <c r="O65" s="484"/>
    </row>
    <row r="66" spans="1:15" ht="15.75" customHeight="1">
      <c r="A66" s="485"/>
      <c r="C66" s="484"/>
      <c r="D66" s="484"/>
      <c r="E66" s="484"/>
      <c r="F66" s="484"/>
      <c r="G66" s="484"/>
      <c r="H66" s="484"/>
      <c r="I66" s="484"/>
      <c r="J66" s="484"/>
      <c r="K66" s="484"/>
      <c r="L66" s="484"/>
      <c r="M66" s="484"/>
      <c r="N66" s="484"/>
      <c r="O66" s="484"/>
    </row>
    <row r="67" spans="1:15" ht="15.75" customHeight="1">
      <c r="A67" s="485"/>
      <c r="C67" s="484"/>
      <c r="D67" s="484"/>
      <c r="E67" s="484"/>
      <c r="F67" s="484"/>
      <c r="G67" s="484"/>
      <c r="H67" s="484"/>
      <c r="I67" s="484"/>
      <c r="J67" s="484"/>
      <c r="K67" s="484"/>
      <c r="L67" s="484"/>
      <c r="M67" s="484"/>
      <c r="N67" s="484"/>
      <c r="O67" s="484"/>
    </row>
    <row r="68" spans="1:15" ht="15.75" customHeight="1">
      <c r="A68" s="485"/>
      <c r="C68" s="484"/>
      <c r="D68" s="484"/>
      <c r="E68" s="484"/>
      <c r="F68" s="484"/>
      <c r="G68" s="484"/>
      <c r="H68" s="484"/>
      <c r="I68" s="484"/>
      <c r="J68" s="484"/>
      <c r="K68" s="484"/>
      <c r="L68" s="484"/>
      <c r="M68" s="484"/>
      <c r="N68" s="484"/>
      <c r="O68" s="484"/>
    </row>
    <row r="69" spans="1:15" ht="15.75" customHeight="1">
      <c r="A69" s="485"/>
      <c r="C69" s="484"/>
      <c r="D69" s="484"/>
      <c r="E69" s="484"/>
      <c r="F69" s="484"/>
      <c r="G69" s="484"/>
      <c r="H69" s="484"/>
      <c r="I69" s="484"/>
      <c r="J69" s="484"/>
      <c r="K69" s="484"/>
      <c r="L69" s="484"/>
      <c r="M69" s="484"/>
      <c r="N69" s="484"/>
      <c r="O69" s="484"/>
    </row>
    <row r="70" spans="1:15" ht="15.75" customHeight="1">
      <c r="A70" s="485"/>
      <c r="C70" s="484"/>
      <c r="D70" s="484"/>
      <c r="E70" s="484"/>
      <c r="F70" s="484"/>
      <c r="G70" s="484"/>
      <c r="H70" s="484"/>
      <c r="I70" s="484"/>
      <c r="J70" s="484"/>
      <c r="K70" s="484"/>
      <c r="L70" s="484"/>
      <c r="M70" s="484"/>
      <c r="N70" s="484"/>
      <c r="O70" s="484"/>
    </row>
    <row r="71" spans="1:15" ht="15.75" customHeight="1">
      <c r="A71" s="485"/>
      <c r="C71" s="484"/>
      <c r="D71" s="484"/>
      <c r="E71" s="484"/>
      <c r="F71" s="484"/>
      <c r="G71" s="484"/>
      <c r="H71" s="484"/>
      <c r="I71" s="484"/>
      <c r="J71" s="484"/>
      <c r="K71" s="484"/>
      <c r="L71" s="484"/>
      <c r="M71" s="484"/>
      <c r="N71" s="484"/>
      <c r="O71" s="484"/>
    </row>
    <row r="72" spans="1:15" ht="15.75" customHeight="1">
      <c r="A72" s="485"/>
      <c r="C72" s="484"/>
      <c r="D72" s="484"/>
      <c r="E72" s="484"/>
      <c r="F72" s="484"/>
      <c r="G72" s="484"/>
      <c r="H72" s="484"/>
      <c r="I72" s="484"/>
      <c r="J72" s="484"/>
      <c r="K72" s="484"/>
      <c r="L72" s="484"/>
      <c r="M72" s="484"/>
      <c r="N72" s="484"/>
      <c r="O72" s="484"/>
    </row>
    <row r="73" spans="1:15" ht="15.75" customHeight="1">
      <c r="A73" s="485"/>
      <c r="C73" s="484"/>
      <c r="D73" s="484"/>
      <c r="E73" s="484"/>
      <c r="F73" s="484"/>
      <c r="G73" s="484"/>
      <c r="H73" s="484"/>
      <c r="I73" s="484"/>
      <c r="J73" s="484"/>
      <c r="K73" s="484"/>
      <c r="L73" s="484"/>
      <c r="M73" s="484"/>
      <c r="N73" s="484"/>
      <c r="O73" s="484"/>
    </row>
    <row r="74" spans="1:15" ht="15.75" customHeight="1">
      <c r="A74" s="485"/>
      <c r="C74" s="484"/>
      <c r="D74" s="484"/>
      <c r="E74" s="484"/>
      <c r="F74" s="484"/>
      <c r="G74" s="484"/>
      <c r="H74" s="484"/>
      <c r="I74" s="484"/>
      <c r="J74" s="484"/>
      <c r="K74" s="484"/>
      <c r="L74" s="484"/>
      <c r="M74" s="484"/>
      <c r="N74" s="484"/>
      <c r="O74" s="484"/>
    </row>
    <row r="75" spans="1:15" ht="15.75" customHeight="1">
      <c r="A75" s="485"/>
      <c r="C75" s="484"/>
      <c r="D75" s="484"/>
      <c r="E75" s="484"/>
      <c r="F75" s="484"/>
      <c r="G75" s="484"/>
      <c r="H75" s="484"/>
      <c r="I75" s="484"/>
      <c r="J75" s="484"/>
      <c r="K75" s="484"/>
      <c r="L75" s="484"/>
      <c r="M75" s="484"/>
      <c r="N75" s="484"/>
      <c r="O75" s="484"/>
    </row>
    <row r="76" spans="1:15" ht="15.75" customHeight="1">
      <c r="A76" s="485"/>
      <c r="C76" s="484"/>
      <c r="D76" s="484"/>
      <c r="E76" s="484"/>
      <c r="F76" s="484"/>
      <c r="G76" s="484"/>
      <c r="H76" s="484"/>
      <c r="I76" s="484"/>
      <c r="J76" s="484"/>
      <c r="K76" s="484"/>
      <c r="L76" s="484"/>
      <c r="M76" s="484"/>
      <c r="N76" s="484"/>
      <c r="O76" s="484"/>
    </row>
    <row r="77" spans="1:15" ht="15.75" customHeight="1">
      <c r="A77" s="485"/>
      <c r="C77" s="484"/>
      <c r="D77" s="484"/>
      <c r="E77" s="484"/>
      <c r="F77" s="484"/>
      <c r="G77" s="484"/>
      <c r="H77" s="484"/>
      <c r="I77" s="484"/>
      <c r="J77" s="484"/>
      <c r="K77" s="484"/>
      <c r="L77" s="484"/>
      <c r="M77" s="484"/>
      <c r="N77" s="484"/>
      <c r="O77" s="484"/>
    </row>
    <row r="78" spans="1:15" ht="15.75" customHeight="1">
      <c r="A78" s="485"/>
      <c r="C78" s="484"/>
      <c r="D78" s="484"/>
      <c r="E78" s="484"/>
      <c r="F78" s="484"/>
      <c r="G78" s="484"/>
      <c r="H78" s="484"/>
      <c r="I78" s="484"/>
      <c r="J78" s="484"/>
      <c r="K78" s="484"/>
      <c r="L78" s="484"/>
      <c r="M78" s="484"/>
      <c r="N78" s="484"/>
      <c r="O78" s="484"/>
    </row>
    <row r="79" spans="1:15" ht="15.75" customHeight="1">
      <c r="A79" s="485"/>
      <c r="C79" s="484"/>
      <c r="D79" s="484"/>
      <c r="E79" s="484"/>
      <c r="F79" s="484"/>
      <c r="G79" s="484"/>
      <c r="H79" s="484"/>
      <c r="I79" s="484"/>
      <c r="J79" s="484"/>
      <c r="K79" s="484"/>
      <c r="L79" s="484"/>
      <c r="M79" s="484"/>
      <c r="N79" s="484"/>
      <c r="O79" s="484"/>
    </row>
    <row r="80" spans="1:15" ht="15.75" customHeight="1">
      <c r="A80" s="485"/>
      <c r="C80" s="484"/>
      <c r="D80" s="484"/>
      <c r="E80" s="484"/>
      <c r="F80" s="484"/>
      <c r="G80" s="484"/>
      <c r="H80" s="484"/>
      <c r="I80" s="484"/>
      <c r="J80" s="484"/>
      <c r="K80" s="484"/>
      <c r="L80" s="484"/>
      <c r="M80" s="484"/>
      <c r="N80" s="484"/>
      <c r="O80" s="484"/>
    </row>
    <row r="81" spans="1:15" ht="15.75" customHeight="1">
      <c r="A81" s="485"/>
      <c r="C81" s="484"/>
      <c r="D81" s="484"/>
      <c r="E81" s="484"/>
      <c r="F81" s="484"/>
      <c r="G81" s="484"/>
      <c r="H81" s="484"/>
      <c r="I81" s="484"/>
      <c r="J81" s="484"/>
      <c r="K81" s="484"/>
      <c r="L81" s="484"/>
      <c r="M81" s="484"/>
      <c r="N81" s="484"/>
      <c r="O81" s="484"/>
    </row>
    <row r="82" spans="1:15" ht="15.75" customHeight="1">
      <c r="A82" s="485"/>
      <c r="C82" s="484"/>
      <c r="D82" s="484"/>
      <c r="E82" s="484"/>
      <c r="F82" s="484"/>
      <c r="G82" s="484"/>
      <c r="H82" s="484"/>
      <c r="I82" s="484"/>
      <c r="J82" s="484"/>
      <c r="K82" s="484"/>
      <c r="L82" s="484"/>
      <c r="M82" s="484"/>
      <c r="N82" s="484"/>
      <c r="O82" s="484"/>
    </row>
    <row r="83" spans="1:15" ht="15.75" customHeight="1">
      <c r="A83" s="485"/>
      <c r="C83" s="484"/>
      <c r="D83" s="484"/>
      <c r="E83" s="484"/>
      <c r="F83" s="484"/>
      <c r="G83" s="484"/>
      <c r="H83" s="484"/>
      <c r="I83" s="484"/>
      <c r="J83" s="484"/>
      <c r="K83" s="484"/>
      <c r="L83" s="484"/>
      <c r="M83" s="484"/>
      <c r="N83" s="484"/>
      <c r="O83" s="484"/>
    </row>
    <row r="84" spans="1:15" ht="15.75" customHeight="1">
      <c r="A84" s="485"/>
      <c r="C84" s="484"/>
      <c r="D84" s="484"/>
      <c r="E84" s="484"/>
      <c r="F84" s="484"/>
      <c r="G84" s="484"/>
      <c r="H84" s="484"/>
      <c r="I84" s="484"/>
      <c r="J84" s="484"/>
      <c r="K84" s="484"/>
      <c r="L84" s="484"/>
      <c r="M84" s="484"/>
      <c r="N84" s="484"/>
      <c r="O84" s="484"/>
    </row>
    <row r="85" spans="1:15" ht="15.75" customHeight="1">
      <c r="A85" s="485"/>
      <c r="C85" s="484"/>
      <c r="D85" s="484"/>
      <c r="E85" s="484"/>
      <c r="F85" s="484"/>
      <c r="G85" s="484"/>
      <c r="H85" s="484"/>
      <c r="I85" s="484"/>
      <c r="J85" s="484"/>
      <c r="K85" s="484"/>
      <c r="L85" s="484"/>
      <c r="M85" s="484"/>
      <c r="N85" s="484"/>
      <c r="O85" s="484"/>
    </row>
    <row r="86" spans="1:15" ht="15.75" customHeight="1">
      <c r="A86" s="485"/>
      <c r="C86" s="484"/>
      <c r="D86" s="484"/>
      <c r="E86" s="484"/>
      <c r="F86" s="484"/>
      <c r="G86" s="484"/>
      <c r="H86" s="484"/>
      <c r="I86" s="484"/>
      <c r="J86" s="484"/>
      <c r="K86" s="484"/>
      <c r="L86" s="484"/>
      <c r="M86" s="484"/>
      <c r="N86" s="484"/>
      <c r="O86" s="484"/>
    </row>
    <row r="87" spans="1:15" ht="15.75" customHeight="1">
      <c r="A87" s="485"/>
      <c r="C87" s="484"/>
      <c r="D87" s="484"/>
      <c r="E87" s="484"/>
      <c r="F87" s="484"/>
      <c r="G87" s="484"/>
      <c r="H87" s="484"/>
      <c r="I87" s="484"/>
      <c r="J87" s="484"/>
      <c r="K87" s="484"/>
      <c r="L87" s="484"/>
      <c r="M87" s="484"/>
      <c r="N87" s="484"/>
      <c r="O87" s="484"/>
    </row>
    <row r="88" spans="1:15" ht="15.75" customHeight="1">
      <c r="A88" s="485"/>
      <c r="C88" s="484"/>
      <c r="D88" s="484"/>
      <c r="E88" s="484"/>
      <c r="F88" s="484"/>
      <c r="G88" s="484"/>
      <c r="H88" s="484"/>
      <c r="I88" s="484"/>
      <c r="J88" s="484"/>
      <c r="K88" s="484"/>
      <c r="L88" s="484"/>
      <c r="M88" s="484"/>
      <c r="N88" s="484"/>
      <c r="O88" s="484"/>
    </row>
    <row r="89" spans="1:15" ht="15.75" customHeight="1">
      <c r="A89" s="485"/>
      <c r="C89" s="484"/>
      <c r="D89" s="484"/>
      <c r="E89" s="484"/>
      <c r="F89" s="484"/>
      <c r="G89" s="484"/>
      <c r="H89" s="484"/>
      <c r="I89" s="484"/>
      <c r="J89" s="484"/>
      <c r="K89" s="484"/>
      <c r="L89" s="484"/>
      <c r="M89" s="484"/>
      <c r="N89" s="484"/>
      <c r="O89" s="484"/>
    </row>
    <row r="90" spans="1:15" ht="15.75" customHeight="1">
      <c r="A90" s="485"/>
      <c r="C90" s="484"/>
      <c r="D90" s="484"/>
      <c r="E90" s="484"/>
      <c r="F90" s="484"/>
      <c r="G90" s="484"/>
      <c r="H90" s="484"/>
      <c r="I90" s="484"/>
      <c r="J90" s="484"/>
      <c r="K90" s="484"/>
      <c r="L90" s="484"/>
      <c r="M90" s="484"/>
      <c r="N90" s="484"/>
      <c r="O90" s="484"/>
    </row>
    <row r="91" spans="1:15" ht="15.75" customHeight="1">
      <c r="A91" s="485"/>
      <c r="C91" s="484"/>
      <c r="D91" s="484"/>
      <c r="E91" s="484"/>
      <c r="F91" s="484"/>
      <c r="G91" s="484"/>
      <c r="H91" s="484"/>
      <c r="I91" s="484"/>
      <c r="J91" s="484"/>
      <c r="K91" s="484"/>
      <c r="L91" s="484"/>
      <c r="M91" s="484"/>
      <c r="N91" s="484"/>
      <c r="O91" s="484"/>
    </row>
    <row r="92" spans="1:15" ht="15.75" customHeight="1">
      <c r="A92" s="485"/>
      <c r="C92" s="484"/>
      <c r="D92" s="484"/>
      <c r="E92" s="484"/>
      <c r="F92" s="484"/>
      <c r="G92" s="484"/>
      <c r="H92" s="484"/>
      <c r="I92" s="484"/>
      <c r="J92" s="484"/>
      <c r="K92" s="484"/>
      <c r="L92" s="484"/>
      <c r="M92" s="484"/>
      <c r="N92" s="484"/>
      <c r="O92" s="484"/>
    </row>
    <row r="93" spans="1:15" ht="15.75" customHeight="1">
      <c r="A93" s="485"/>
      <c r="C93" s="484"/>
      <c r="D93" s="484"/>
      <c r="E93" s="484"/>
      <c r="F93" s="484"/>
      <c r="G93" s="484"/>
      <c r="H93" s="484"/>
      <c r="I93" s="484"/>
      <c r="J93" s="484"/>
      <c r="K93" s="484"/>
      <c r="L93" s="484"/>
      <c r="M93" s="484"/>
      <c r="N93" s="484"/>
      <c r="O93" s="484"/>
    </row>
    <row r="94" spans="1:15" ht="15.75" customHeight="1">
      <c r="A94" s="485"/>
      <c r="C94" s="484"/>
      <c r="D94" s="484"/>
      <c r="E94" s="484"/>
      <c r="F94" s="484"/>
      <c r="G94" s="484"/>
      <c r="H94" s="484"/>
      <c r="I94" s="484"/>
      <c r="J94" s="484"/>
      <c r="K94" s="484"/>
      <c r="L94" s="484"/>
      <c r="M94" s="484"/>
      <c r="N94" s="484"/>
      <c r="O94" s="484"/>
    </row>
    <row r="95" spans="1:15" ht="15.75" customHeight="1">
      <c r="A95" s="485"/>
      <c r="C95" s="484"/>
      <c r="D95" s="484"/>
      <c r="E95" s="484"/>
      <c r="F95" s="484"/>
      <c r="G95" s="484"/>
      <c r="H95" s="484"/>
      <c r="I95" s="484"/>
      <c r="J95" s="484"/>
      <c r="K95" s="484"/>
      <c r="L95" s="484"/>
      <c r="M95" s="484"/>
      <c r="N95" s="484"/>
      <c r="O95" s="484"/>
    </row>
    <row r="96" spans="1:15" ht="15.75" customHeight="1">
      <c r="A96" s="485"/>
      <c r="C96" s="484"/>
      <c r="D96" s="484"/>
      <c r="E96" s="484"/>
      <c r="F96" s="484"/>
      <c r="G96" s="484"/>
      <c r="H96" s="484"/>
      <c r="I96" s="484"/>
      <c r="J96" s="484"/>
      <c r="K96" s="484"/>
      <c r="L96" s="484"/>
      <c r="M96" s="484"/>
      <c r="N96" s="484"/>
      <c r="O96" s="484"/>
    </row>
    <row r="97" spans="1:15" ht="15.75" customHeight="1">
      <c r="A97" s="485"/>
      <c r="C97" s="484"/>
      <c r="D97" s="484"/>
      <c r="E97" s="484"/>
      <c r="F97" s="484"/>
      <c r="G97" s="484"/>
      <c r="H97" s="484"/>
      <c r="I97" s="484"/>
      <c r="J97" s="484"/>
      <c r="K97" s="484"/>
      <c r="L97" s="484"/>
      <c r="M97" s="484"/>
      <c r="N97" s="484"/>
      <c r="O97" s="484"/>
    </row>
    <row r="98" spans="1:15" ht="15.75" customHeight="1">
      <c r="A98" s="485"/>
      <c r="C98" s="484"/>
      <c r="D98" s="484"/>
      <c r="E98" s="484"/>
      <c r="F98" s="484"/>
      <c r="G98" s="484"/>
      <c r="H98" s="484"/>
      <c r="I98" s="484"/>
      <c r="J98" s="484"/>
      <c r="K98" s="484"/>
      <c r="L98" s="484"/>
      <c r="M98" s="484"/>
      <c r="N98" s="484"/>
      <c r="O98" s="484"/>
    </row>
    <row r="99" spans="1:15" ht="15.75" customHeight="1">
      <c r="A99" s="485"/>
      <c r="C99" s="484"/>
      <c r="D99" s="484"/>
      <c r="E99" s="484"/>
      <c r="F99" s="484"/>
      <c r="G99" s="484"/>
      <c r="H99" s="484"/>
      <c r="I99" s="484"/>
      <c r="J99" s="484"/>
      <c r="K99" s="484"/>
      <c r="L99" s="484"/>
      <c r="M99" s="484"/>
      <c r="N99" s="484"/>
      <c r="O99" s="484"/>
    </row>
    <row r="100" spans="1:15" ht="15.75" customHeight="1">
      <c r="A100" s="485"/>
      <c r="C100" s="484"/>
      <c r="D100" s="484"/>
      <c r="E100" s="484"/>
      <c r="F100" s="484"/>
      <c r="G100" s="484"/>
      <c r="H100" s="484"/>
      <c r="I100" s="484"/>
      <c r="J100" s="484"/>
      <c r="K100" s="484"/>
      <c r="L100" s="484"/>
      <c r="M100" s="484"/>
      <c r="N100" s="484"/>
      <c r="O100" s="484"/>
    </row>
    <row r="101" spans="1:15" ht="15.75" customHeight="1">
      <c r="A101" s="485"/>
      <c r="C101" s="484"/>
      <c r="D101" s="484"/>
      <c r="E101" s="484"/>
      <c r="F101" s="484"/>
      <c r="G101" s="484"/>
      <c r="H101" s="484"/>
      <c r="I101" s="484"/>
      <c r="J101" s="484"/>
      <c r="K101" s="484"/>
      <c r="L101" s="484"/>
      <c r="M101" s="484"/>
      <c r="N101" s="484"/>
      <c r="O101" s="484"/>
    </row>
    <row r="102" spans="1:15" ht="15.75" customHeight="1">
      <c r="A102" s="485"/>
      <c r="C102" s="484"/>
      <c r="D102" s="484"/>
      <c r="E102" s="484"/>
      <c r="F102" s="484"/>
      <c r="G102" s="484"/>
      <c r="H102" s="484"/>
      <c r="I102" s="484"/>
      <c r="J102" s="484"/>
      <c r="K102" s="484"/>
      <c r="L102" s="484"/>
      <c r="M102" s="484"/>
      <c r="N102" s="484"/>
      <c r="O102" s="484"/>
    </row>
    <row r="103" spans="1:15" ht="15.75" customHeight="1">
      <c r="A103" s="485"/>
      <c r="C103" s="484"/>
      <c r="D103" s="484"/>
      <c r="E103" s="484"/>
      <c r="F103" s="484"/>
      <c r="G103" s="484"/>
      <c r="H103" s="484"/>
      <c r="I103" s="484"/>
      <c r="J103" s="484"/>
      <c r="K103" s="484"/>
      <c r="L103" s="484"/>
      <c r="M103" s="484"/>
      <c r="N103" s="484"/>
      <c r="O103" s="484"/>
    </row>
    <row r="104" spans="1:15" ht="15.75" customHeight="1">
      <c r="A104" s="485"/>
      <c r="C104" s="484"/>
      <c r="D104" s="484"/>
      <c r="E104" s="484"/>
      <c r="F104" s="484"/>
      <c r="G104" s="484"/>
      <c r="H104" s="484"/>
      <c r="I104" s="484"/>
      <c r="J104" s="484"/>
      <c r="K104" s="484"/>
      <c r="L104" s="484"/>
      <c r="M104" s="484"/>
      <c r="N104" s="484"/>
      <c r="O104" s="484"/>
    </row>
    <row r="105" spans="1:15" ht="15.75" customHeight="1">
      <c r="A105" s="485"/>
      <c r="C105" s="484"/>
      <c r="D105" s="484"/>
      <c r="E105" s="484"/>
      <c r="F105" s="484"/>
      <c r="G105" s="484"/>
      <c r="H105" s="484"/>
      <c r="I105" s="484"/>
      <c r="J105" s="484"/>
      <c r="K105" s="484"/>
      <c r="L105" s="484"/>
      <c r="M105" s="484"/>
      <c r="N105" s="484"/>
      <c r="O105" s="484"/>
    </row>
    <row r="106" spans="1:15" ht="15.75" customHeight="1">
      <c r="A106" s="485"/>
      <c r="C106" s="484"/>
      <c r="D106" s="484"/>
      <c r="E106" s="484"/>
      <c r="F106" s="484"/>
      <c r="G106" s="484"/>
      <c r="H106" s="484"/>
      <c r="I106" s="484"/>
      <c r="J106" s="484"/>
      <c r="K106" s="484"/>
      <c r="L106" s="484"/>
      <c r="M106" s="484"/>
      <c r="N106" s="484"/>
      <c r="O106" s="484"/>
    </row>
    <row r="107" spans="1:15" ht="15.75" customHeight="1">
      <c r="A107" s="485"/>
      <c r="C107" s="484"/>
      <c r="D107" s="484"/>
      <c r="E107" s="484"/>
      <c r="F107" s="484"/>
      <c r="G107" s="484"/>
      <c r="H107" s="484"/>
      <c r="I107" s="484"/>
      <c r="J107" s="484"/>
      <c r="K107" s="484"/>
      <c r="L107" s="484"/>
      <c r="M107" s="484"/>
      <c r="N107" s="484"/>
      <c r="O107" s="484"/>
    </row>
    <row r="108" spans="1:15" ht="15.75" customHeight="1">
      <c r="A108" s="485"/>
      <c r="C108" s="484"/>
      <c r="D108" s="484"/>
      <c r="E108" s="484"/>
      <c r="F108" s="484"/>
      <c r="G108" s="484"/>
      <c r="H108" s="484"/>
      <c r="I108" s="484"/>
      <c r="J108" s="484"/>
      <c r="K108" s="484"/>
      <c r="L108" s="484"/>
      <c r="M108" s="484"/>
      <c r="N108" s="484"/>
      <c r="O108" s="484"/>
    </row>
    <row r="109" spans="1:15" ht="15.75" customHeight="1">
      <c r="A109" s="485"/>
      <c r="C109" s="484"/>
      <c r="D109" s="484"/>
      <c r="E109" s="484"/>
      <c r="F109" s="484"/>
      <c r="G109" s="484"/>
      <c r="H109" s="484"/>
      <c r="I109" s="484"/>
      <c r="J109" s="484"/>
      <c r="K109" s="484"/>
      <c r="L109" s="484"/>
      <c r="M109" s="484"/>
      <c r="N109" s="484"/>
      <c r="O109" s="484"/>
    </row>
    <row r="110" spans="1:15" ht="15.75" customHeight="1">
      <c r="A110" s="485"/>
      <c r="C110" s="484"/>
      <c r="D110" s="484"/>
      <c r="E110" s="484"/>
      <c r="F110" s="484"/>
      <c r="G110" s="484"/>
      <c r="H110" s="484"/>
      <c r="I110" s="484"/>
      <c r="J110" s="484"/>
      <c r="K110" s="484"/>
      <c r="L110" s="484"/>
      <c r="M110" s="484"/>
      <c r="N110" s="484"/>
      <c r="O110" s="484"/>
    </row>
    <row r="111" spans="1:15" ht="15.75" customHeight="1">
      <c r="A111" s="485"/>
      <c r="C111" s="484"/>
      <c r="D111" s="484"/>
      <c r="E111" s="484"/>
      <c r="F111" s="484"/>
      <c r="G111" s="484"/>
      <c r="H111" s="484"/>
      <c r="I111" s="484"/>
      <c r="J111" s="484"/>
      <c r="K111" s="484"/>
      <c r="L111" s="484"/>
      <c r="M111" s="484"/>
      <c r="N111" s="484"/>
      <c r="O111" s="484"/>
    </row>
    <row r="112" spans="1:15" ht="15.75" customHeight="1">
      <c r="A112" s="485"/>
      <c r="C112" s="484"/>
      <c r="D112" s="484"/>
      <c r="E112" s="484"/>
      <c r="F112" s="484"/>
      <c r="G112" s="484"/>
      <c r="H112" s="484"/>
      <c r="I112" s="484"/>
      <c r="J112" s="484"/>
      <c r="K112" s="484"/>
      <c r="L112" s="484"/>
      <c r="M112" s="484"/>
      <c r="N112" s="484"/>
      <c r="O112" s="484"/>
    </row>
    <row r="113" spans="1:15" ht="15.75" customHeight="1">
      <c r="A113" s="485"/>
      <c r="C113" s="484"/>
      <c r="D113" s="484"/>
      <c r="E113" s="484"/>
      <c r="F113" s="484"/>
      <c r="G113" s="484"/>
      <c r="H113" s="484"/>
      <c r="I113" s="484"/>
      <c r="J113" s="484"/>
      <c r="K113" s="484"/>
      <c r="L113" s="484"/>
      <c r="M113" s="484"/>
      <c r="N113" s="484"/>
      <c r="O113" s="484"/>
    </row>
    <row r="114" spans="1:15" ht="15.75" customHeight="1">
      <c r="A114" s="485"/>
      <c r="C114" s="484"/>
      <c r="D114" s="484"/>
      <c r="E114" s="484"/>
      <c r="F114" s="484"/>
      <c r="G114" s="484"/>
      <c r="H114" s="484"/>
      <c r="I114" s="484"/>
      <c r="J114" s="484"/>
      <c r="K114" s="484"/>
      <c r="L114" s="484"/>
      <c r="M114" s="484"/>
      <c r="N114" s="484"/>
      <c r="O114" s="484"/>
    </row>
    <row r="115" spans="1:15" ht="15.75" customHeight="1">
      <c r="A115" s="485"/>
      <c r="C115" s="484"/>
      <c r="D115" s="484"/>
      <c r="E115" s="484"/>
      <c r="F115" s="484"/>
      <c r="G115" s="484"/>
      <c r="H115" s="484"/>
      <c r="I115" s="484"/>
      <c r="J115" s="484"/>
      <c r="K115" s="484"/>
      <c r="L115" s="484"/>
      <c r="M115" s="484"/>
      <c r="N115" s="484"/>
      <c r="O115" s="484"/>
    </row>
    <row r="116" spans="1:15" ht="15.75" customHeight="1">
      <c r="A116" s="485"/>
      <c r="C116" s="484"/>
      <c r="D116" s="484"/>
      <c r="E116" s="484"/>
      <c r="F116" s="484"/>
      <c r="G116" s="484"/>
      <c r="H116" s="484"/>
      <c r="I116" s="484"/>
      <c r="J116" s="484"/>
      <c r="K116" s="484"/>
      <c r="L116" s="484"/>
      <c r="M116" s="484"/>
      <c r="N116" s="484"/>
      <c r="O116" s="484"/>
    </row>
    <row r="117" spans="1:15" ht="15.75" customHeight="1">
      <c r="A117" s="485"/>
      <c r="C117" s="484"/>
      <c r="D117" s="484"/>
      <c r="E117" s="484"/>
      <c r="F117" s="484"/>
      <c r="G117" s="484"/>
      <c r="H117" s="484"/>
      <c r="I117" s="484"/>
      <c r="J117" s="484"/>
      <c r="K117" s="484"/>
      <c r="L117" s="484"/>
      <c r="M117" s="484"/>
      <c r="N117" s="484"/>
      <c r="O117" s="484"/>
    </row>
    <row r="118" spans="1:15" ht="15.75" customHeight="1">
      <c r="A118" s="485"/>
      <c r="C118" s="484"/>
      <c r="D118" s="484"/>
      <c r="E118" s="484"/>
      <c r="F118" s="484"/>
      <c r="G118" s="484"/>
      <c r="H118" s="484"/>
      <c r="I118" s="484"/>
      <c r="J118" s="484"/>
      <c r="K118" s="484"/>
      <c r="L118" s="484"/>
      <c r="M118" s="484"/>
      <c r="N118" s="484"/>
      <c r="O118" s="484"/>
    </row>
    <row r="119" spans="1:15" ht="15.75" customHeight="1">
      <c r="A119" s="485"/>
      <c r="C119" s="484"/>
      <c r="D119" s="484"/>
      <c r="E119" s="484"/>
      <c r="F119" s="484"/>
      <c r="G119" s="484"/>
      <c r="H119" s="484"/>
      <c r="I119" s="484"/>
      <c r="J119" s="484"/>
      <c r="K119" s="484"/>
      <c r="L119" s="484"/>
      <c r="M119" s="484"/>
      <c r="N119" s="484"/>
      <c r="O119" s="484"/>
    </row>
    <row r="120" spans="1:15" ht="15.75" customHeight="1">
      <c r="A120" s="485"/>
      <c r="C120" s="484"/>
      <c r="D120" s="484"/>
      <c r="E120" s="484"/>
      <c r="F120" s="484"/>
      <c r="G120" s="484"/>
      <c r="H120" s="484"/>
      <c r="I120" s="484"/>
      <c r="J120" s="484"/>
      <c r="K120" s="484"/>
      <c r="L120" s="484"/>
      <c r="M120" s="484"/>
      <c r="N120" s="484"/>
      <c r="O120" s="484"/>
    </row>
    <row r="121" spans="1:15" ht="15.75" customHeight="1">
      <c r="A121" s="485"/>
      <c r="C121" s="484"/>
      <c r="D121" s="484"/>
      <c r="E121" s="484"/>
      <c r="F121" s="484"/>
      <c r="G121" s="484"/>
      <c r="H121" s="484"/>
      <c r="I121" s="484"/>
      <c r="J121" s="484"/>
      <c r="K121" s="484"/>
      <c r="L121" s="484"/>
      <c r="M121" s="484"/>
      <c r="N121" s="484"/>
      <c r="O121" s="484"/>
    </row>
    <row r="122" spans="1:15" ht="15.75" customHeight="1">
      <c r="A122" s="485"/>
      <c r="C122" s="484"/>
      <c r="D122" s="484"/>
      <c r="E122" s="484"/>
      <c r="F122" s="484"/>
      <c r="G122" s="484"/>
      <c r="H122" s="484"/>
      <c r="I122" s="484"/>
      <c r="J122" s="484"/>
      <c r="K122" s="484"/>
      <c r="L122" s="484"/>
      <c r="M122" s="484"/>
      <c r="N122" s="484"/>
      <c r="O122" s="484"/>
    </row>
    <row r="123" spans="1:15" ht="15.75" customHeight="1">
      <c r="A123" s="485"/>
      <c r="C123" s="484"/>
      <c r="D123" s="484"/>
      <c r="E123" s="484"/>
      <c r="F123" s="484"/>
      <c r="G123" s="484"/>
      <c r="H123" s="484"/>
      <c r="I123" s="484"/>
      <c r="J123" s="484"/>
      <c r="K123" s="484"/>
      <c r="L123" s="484"/>
      <c r="M123" s="484"/>
      <c r="N123" s="484"/>
      <c r="O123" s="484"/>
    </row>
    <row r="124" spans="1:15" ht="15.75" customHeight="1">
      <c r="A124" s="485"/>
      <c r="C124" s="484"/>
      <c r="D124" s="484"/>
      <c r="E124" s="484"/>
      <c r="F124" s="484"/>
      <c r="G124" s="484"/>
      <c r="H124" s="484"/>
      <c r="I124" s="484"/>
      <c r="J124" s="484"/>
      <c r="K124" s="484"/>
      <c r="L124" s="484"/>
      <c r="M124" s="484"/>
      <c r="N124" s="484"/>
      <c r="O124" s="484"/>
    </row>
    <row r="125" spans="1:15" ht="15.75" customHeight="1">
      <c r="A125" s="485"/>
      <c r="C125" s="484"/>
      <c r="D125" s="484"/>
      <c r="E125" s="484"/>
      <c r="F125" s="484"/>
      <c r="G125" s="484"/>
      <c r="H125" s="484"/>
      <c r="I125" s="484"/>
      <c r="J125" s="484"/>
      <c r="K125" s="484"/>
      <c r="L125" s="484"/>
      <c r="M125" s="484"/>
      <c r="N125" s="484"/>
      <c r="O125" s="484"/>
    </row>
    <row r="126" spans="1:15" ht="15.75" customHeight="1">
      <c r="A126" s="485"/>
      <c r="C126" s="484"/>
      <c r="D126" s="484"/>
      <c r="E126" s="484"/>
      <c r="F126" s="484"/>
      <c r="G126" s="484"/>
      <c r="H126" s="484"/>
      <c r="I126" s="484"/>
      <c r="J126" s="484"/>
      <c r="K126" s="484"/>
      <c r="L126" s="484"/>
      <c r="M126" s="484"/>
      <c r="N126" s="484"/>
      <c r="O126" s="484"/>
    </row>
    <row r="127" spans="1:15" ht="15.75" customHeight="1">
      <c r="A127" s="485"/>
      <c r="C127" s="484"/>
      <c r="D127" s="484"/>
      <c r="E127" s="484"/>
      <c r="F127" s="484"/>
      <c r="G127" s="484"/>
      <c r="H127" s="484"/>
      <c r="I127" s="484"/>
      <c r="J127" s="484"/>
      <c r="K127" s="484"/>
      <c r="L127" s="484"/>
      <c r="M127" s="484"/>
      <c r="N127" s="484"/>
      <c r="O127" s="484"/>
    </row>
    <row r="128" spans="1:15" ht="15.75" customHeight="1">
      <c r="A128" s="485"/>
      <c r="C128" s="484"/>
      <c r="D128" s="484"/>
      <c r="E128" s="484"/>
      <c r="F128" s="484"/>
      <c r="G128" s="484"/>
      <c r="H128" s="484"/>
      <c r="I128" s="484"/>
      <c r="J128" s="484"/>
      <c r="K128" s="484"/>
      <c r="L128" s="484"/>
      <c r="M128" s="484"/>
      <c r="N128" s="484"/>
      <c r="O128" s="484"/>
    </row>
    <row r="129" spans="1:15" ht="15.75" customHeight="1">
      <c r="A129" s="485"/>
      <c r="C129" s="484"/>
      <c r="D129" s="484"/>
      <c r="E129" s="484"/>
      <c r="F129" s="484"/>
      <c r="G129" s="484"/>
      <c r="H129" s="484"/>
      <c r="I129" s="484"/>
      <c r="J129" s="484"/>
      <c r="K129" s="484"/>
      <c r="L129" s="484"/>
      <c r="M129" s="484"/>
      <c r="N129" s="484"/>
      <c r="O129" s="484"/>
    </row>
    <row r="130" spans="1:15" ht="15.75" customHeight="1">
      <c r="A130" s="485"/>
      <c r="C130" s="484"/>
      <c r="D130" s="484"/>
      <c r="E130" s="484"/>
      <c r="F130" s="484"/>
      <c r="G130" s="484"/>
      <c r="H130" s="484"/>
      <c r="I130" s="484"/>
      <c r="J130" s="484"/>
      <c r="K130" s="484"/>
      <c r="L130" s="484"/>
      <c r="M130" s="484"/>
      <c r="N130" s="484"/>
      <c r="O130" s="484"/>
    </row>
    <row r="131" spans="1:15" ht="15.75" customHeight="1">
      <c r="A131" s="485"/>
      <c r="C131" s="484"/>
      <c r="D131" s="484"/>
      <c r="E131" s="484"/>
      <c r="F131" s="484"/>
      <c r="G131" s="484"/>
      <c r="H131" s="484"/>
      <c r="I131" s="484"/>
      <c r="J131" s="484"/>
      <c r="K131" s="484"/>
      <c r="L131" s="484"/>
      <c r="M131" s="484"/>
      <c r="N131" s="484"/>
      <c r="O131" s="484"/>
    </row>
    <row r="132" spans="1:15" ht="15.75" customHeight="1">
      <c r="A132" s="485"/>
      <c r="C132" s="484"/>
      <c r="D132" s="484"/>
      <c r="E132" s="484"/>
      <c r="F132" s="484"/>
      <c r="G132" s="484"/>
      <c r="H132" s="484"/>
      <c r="I132" s="484"/>
      <c r="J132" s="484"/>
      <c r="K132" s="484"/>
      <c r="L132" s="484"/>
      <c r="M132" s="484"/>
      <c r="N132" s="484"/>
      <c r="O132" s="484"/>
    </row>
    <row r="133" spans="1:15" ht="15.75" customHeight="1">
      <c r="A133" s="485"/>
      <c r="C133" s="484"/>
      <c r="D133" s="484"/>
      <c r="E133" s="484"/>
      <c r="F133" s="484"/>
      <c r="G133" s="484"/>
      <c r="H133" s="484"/>
      <c r="I133" s="484"/>
      <c r="J133" s="484"/>
      <c r="K133" s="484"/>
      <c r="L133" s="484"/>
      <c r="M133" s="484"/>
      <c r="N133" s="484"/>
      <c r="O133" s="484"/>
    </row>
    <row r="134" spans="1:15" ht="15.75" customHeight="1">
      <c r="A134" s="485"/>
      <c r="C134" s="484"/>
      <c r="D134" s="484"/>
      <c r="E134" s="484"/>
      <c r="F134" s="484"/>
      <c r="G134" s="484"/>
      <c r="H134" s="484"/>
      <c r="I134" s="484"/>
      <c r="J134" s="484"/>
      <c r="K134" s="484"/>
      <c r="L134" s="484"/>
      <c r="M134" s="484"/>
      <c r="N134" s="484"/>
      <c r="O134" s="484"/>
    </row>
    <row r="135" spans="1:15" ht="15.75" customHeight="1">
      <c r="A135" s="485"/>
      <c r="C135" s="484"/>
      <c r="D135" s="484"/>
      <c r="E135" s="484"/>
      <c r="F135" s="484"/>
      <c r="G135" s="484"/>
      <c r="H135" s="484"/>
      <c r="I135" s="484"/>
      <c r="J135" s="484"/>
      <c r="K135" s="484"/>
      <c r="L135" s="484"/>
      <c r="M135" s="484"/>
      <c r="N135" s="484"/>
      <c r="O135" s="484"/>
    </row>
    <row r="136" spans="1:15" ht="15.75" customHeight="1">
      <c r="A136" s="485"/>
      <c r="C136" s="484"/>
      <c r="D136" s="484"/>
      <c r="E136" s="484"/>
      <c r="F136" s="484"/>
      <c r="G136" s="484"/>
      <c r="H136" s="484"/>
      <c r="I136" s="484"/>
      <c r="J136" s="484"/>
      <c r="K136" s="484"/>
      <c r="L136" s="484"/>
      <c r="M136" s="484"/>
      <c r="N136" s="484"/>
      <c r="O136" s="484"/>
    </row>
    <row r="137" spans="1:15" ht="15.75" customHeight="1">
      <c r="A137" s="485"/>
      <c r="C137" s="484"/>
      <c r="D137" s="484"/>
      <c r="E137" s="484"/>
      <c r="F137" s="484"/>
      <c r="G137" s="484"/>
      <c r="H137" s="484"/>
      <c r="I137" s="484"/>
      <c r="J137" s="484"/>
      <c r="K137" s="484"/>
      <c r="L137" s="484"/>
      <c r="M137" s="484"/>
      <c r="N137" s="484"/>
      <c r="O137" s="484"/>
    </row>
    <row r="138" spans="1:15" ht="15.75" customHeight="1">
      <c r="A138" s="485"/>
      <c r="C138" s="484"/>
      <c r="D138" s="484"/>
      <c r="E138" s="484"/>
      <c r="F138" s="484"/>
      <c r="G138" s="484"/>
      <c r="H138" s="484"/>
      <c r="I138" s="484"/>
      <c r="J138" s="484"/>
      <c r="K138" s="484"/>
      <c r="L138" s="484"/>
      <c r="M138" s="484"/>
      <c r="N138" s="484"/>
      <c r="O138" s="484"/>
    </row>
    <row r="139" spans="1:15" ht="15.75" customHeight="1">
      <c r="A139" s="485"/>
      <c r="C139" s="484"/>
      <c r="D139" s="484"/>
      <c r="E139" s="484"/>
      <c r="F139" s="484"/>
      <c r="G139" s="484"/>
      <c r="H139" s="484"/>
      <c r="I139" s="484"/>
      <c r="J139" s="484"/>
      <c r="K139" s="484"/>
      <c r="L139" s="484"/>
      <c r="M139" s="484"/>
      <c r="N139" s="484"/>
      <c r="O139" s="484"/>
    </row>
    <row r="140" spans="1:15" ht="15.75" customHeight="1">
      <c r="A140" s="485"/>
      <c r="C140" s="484"/>
      <c r="D140" s="484"/>
      <c r="E140" s="484"/>
      <c r="F140" s="484"/>
      <c r="G140" s="484"/>
      <c r="H140" s="484"/>
      <c r="I140" s="484"/>
      <c r="J140" s="484"/>
      <c r="K140" s="484"/>
      <c r="L140" s="484"/>
      <c r="M140" s="484"/>
      <c r="N140" s="484"/>
      <c r="O140" s="484"/>
    </row>
    <row r="141" spans="1:15" ht="15.75" customHeight="1">
      <c r="A141" s="485"/>
      <c r="C141" s="484"/>
      <c r="D141" s="484"/>
      <c r="E141" s="484"/>
      <c r="F141" s="484"/>
      <c r="G141" s="484"/>
      <c r="H141" s="484"/>
      <c r="I141" s="484"/>
      <c r="J141" s="484"/>
      <c r="K141" s="484"/>
      <c r="L141" s="484"/>
      <c r="M141" s="484"/>
      <c r="N141" s="484"/>
      <c r="O141" s="484"/>
    </row>
    <row r="142" spans="1:15" ht="15.75" customHeight="1">
      <c r="A142" s="485"/>
      <c r="C142" s="484"/>
      <c r="D142" s="484"/>
      <c r="E142" s="484"/>
      <c r="F142" s="484"/>
      <c r="G142" s="484"/>
      <c r="H142" s="484"/>
      <c r="I142" s="484"/>
      <c r="J142" s="484"/>
      <c r="K142" s="484"/>
      <c r="L142" s="484"/>
      <c r="M142" s="484"/>
      <c r="N142" s="484"/>
      <c r="O142" s="484"/>
    </row>
    <row r="143" spans="1:15" ht="15.75" customHeight="1">
      <c r="A143" s="485"/>
      <c r="C143" s="484"/>
      <c r="D143" s="484"/>
      <c r="E143" s="484"/>
      <c r="F143" s="484"/>
      <c r="G143" s="484"/>
      <c r="H143" s="484"/>
      <c r="I143" s="484"/>
      <c r="J143" s="484"/>
      <c r="K143" s="484"/>
      <c r="L143" s="484"/>
      <c r="M143" s="484"/>
      <c r="N143" s="484"/>
      <c r="O143" s="484"/>
    </row>
    <row r="144" spans="1:15" ht="15.75" customHeight="1">
      <c r="A144" s="485"/>
      <c r="C144" s="484"/>
      <c r="D144" s="484"/>
      <c r="E144" s="484"/>
      <c r="F144" s="484"/>
      <c r="G144" s="484"/>
      <c r="H144" s="484"/>
      <c r="I144" s="484"/>
      <c r="J144" s="484"/>
      <c r="K144" s="484"/>
      <c r="L144" s="484"/>
      <c r="M144" s="484"/>
      <c r="N144" s="484"/>
      <c r="O144" s="484"/>
    </row>
    <row r="145" spans="1:15" ht="15.75" customHeight="1">
      <c r="A145" s="485"/>
      <c r="C145" s="484"/>
      <c r="D145" s="484"/>
      <c r="E145" s="484"/>
      <c r="F145" s="484"/>
      <c r="G145" s="484"/>
      <c r="H145" s="484"/>
      <c r="I145" s="484"/>
      <c r="J145" s="484"/>
      <c r="K145" s="484"/>
      <c r="L145" s="484"/>
      <c r="M145" s="484"/>
      <c r="N145" s="484"/>
      <c r="O145" s="484"/>
    </row>
    <row r="146" spans="1:15" ht="15.75" customHeight="1">
      <c r="A146" s="485"/>
      <c r="C146" s="484"/>
      <c r="D146" s="484"/>
      <c r="E146" s="484"/>
      <c r="F146" s="484"/>
      <c r="G146" s="484"/>
      <c r="H146" s="484"/>
      <c r="I146" s="484"/>
      <c r="J146" s="484"/>
      <c r="K146" s="484"/>
      <c r="L146" s="484"/>
      <c r="M146" s="484"/>
      <c r="N146" s="484"/>
      <c r="O146" s="484"/>
    </row>
    <row r="147" spans="1:15" ht="15.75" customHeight="1">
      <c r="A147" s="485"/>
      <c r="C147" s="484"/>
      <c r="D147" s="484"/>
      <c r="E147" s="484"/>
      <c r="F147" s="484"/>
      <c r="G147" s="484"/>
      <c r="H147" s="484"/>
      <c r="I147" s="484"/>
      <c r="J147" s="484"/>
      <c r="K147" s="484"/>
      <c r="L147" s="484"/>
      <c r="M147" s="484"/>
      <c r="N147" s="484"/>
      <c r="O147" s="484"/>
    </row>
    <row r="148" spans="1:15" ht="15.75" customHeight="1">
      <c r="A148" s="485"/>
      <c r="C148" s="484"/>
      <c r="D148" s="484"/>
      <c r="E148" s="484"/>
      <c r="F148" s="484"/>
      <c r="G148" s="484"/>
      <c r="H148" s="484"/>
      <c r="I148" s="484"/>
      <c r="J148" s="484"/>
      <c r="K148" s="484"/>
      <c r="L148" s="484"/>
      <c r="M148" s="484"/>
      <c r="N148" s="484"/>
      <c r="O148" s="484"/>
    </row>
    <row r="149" spans="1:15" ht="15.75" customHeight="1">
      <c r="A149" s="485"/>
      <c r="C149" s="484"/>
      <c r="D149" s="484"/>
      <c r="E149" s="484"/>
      <c r="F149" s="484"/>
      <c r="G149" s="484"/>
      <c r="H149" s="484"/>
      <c r="I149" s="484"/>
      <c r="J149" s="484"/>
      <c r="K149" s="484"/>
      <c r="L149" s="484"/>
      <c r="M149" s="484"/>
      <c r="N149" s="484"/>
      <c r="O149" s="484"/>
    </row>
    <row r="150" spans="1:15" ht="15.75" customHeight="1">
      <c r="A150" s="485"/>
      <c r="C150" s="484"/>
      <c r="D150" s="484"/>
      <c r="E150" s="484"/>
      <c r="F150" s="484"/>
      <c r="G150" s="484"/>
      <c r="H150" s="484"/>
      <c r="I150" s="484"/>
      <c r="J150" s="484"/>
      <c r="K150" s="484"/>
      <c r="L150" s="484"/>
      <c r="M150" s="484"/>
      <c r="N150" s="484"/>
      <c r="O150" s="484"/>
    </row>
    <row r="151" spans="1:15" ht="15.75" customHeight="1">
      <c r="A151" s="485"/>
      <c r="C151" s="484"/>
      <c r="D151" s="484"/>
      <c r="E151" s="484"/>
      <c r="F151" s="484"/>
      <c r="G151" s="484"/>
      <c r="H151" s="484"/>
      <c r="I151" s="484"/>
      <c r="J151" s="484"/>
      <c r="K151" s="484"/>
      <c r="L151" s="484"/>
      <c r="M151" s="484"/>
      <c r="N151" s="484"/>
      <c r="O151" s="484"/>
    </row>
    <row r="152" spans="1:15" ht="15.75" customHeight="1">
      <c r="A152" s="485"/>
      <c r="C152" s="484"/>
      <c r="D152" s="484"/>
      <c r="E152" s="484"/>
      <c r="F152" s="484"/>
      <c r="G152" s="484"/>
      <c r="H152" s="484"/>
      <c r="I152" s="484"/>
      <c r="J152" s="484"/>
      <c r="K152" s="484"/>
      <c r="L152" s="484"/>
      <c r="M152" s="484"/>
      <c r="N152" s="484"/>
      <c r="O152" s="484"/>
    </row>
    <row r="153" spans="1:15" ht="15.75" customHeight="1">
      <c r="A153" s="485"/>
      <c r="C153" s="484"/>
      <c r="D153" s="484"/>
      <c r="E153" s="484"/>
      <c r="F153" s="484"/>
      <c r="G153" s="484"/>
      <c r="H153" s="484"/>
      <c r="I153" s="484"/>
      <c r="J153" s="484"/>
      <c r="K153" s="484"/>
      <c r="L153" s="484"/>
      <c r="M153" s="484"/>
      <c r="N153" s="484"/>
      <c r="O153" s="484"/>
    </row>
    <row r="154" spans="1:15" ht="15.75" customHeight="1">
      <c r="A154" s="485"/>
      <c r="C154" s="484"/>
      <c r="D154" s="484"/>
      <c r="E154" s="484"/>
      <c r="F154" s="484"/>
      <c r="G154" s="484"/>
      <c r="H154" s="484"/>
      <c r="I154" s="484"/>
      <c r="J154" s="484"/>
      <c r="K154" s="484"/>
      <c r="L154" s="484"/>
      <c r="M154" s="484"/>
      <c r="N154" s="484"/>
      <c r="O154" s="484"/>
    </row>
    <row r="155" spans="1:15" ht="15.75" customHeight="1">
      <c r="A155" s="485"/>
      <c r="C155" s="484"/>
      <c r="D155" s="484"/>
      <c r="E155" s="484"/>
      <c r="F155" s="484"/>
      <c r="G155" s="484"/>
      <c r="H155" s="484"/>
      <c r="I155" s="484"/>
      <c r="J155" s="484"/>
      <c r="K155" s="484"/>
      <c r="L155" s="484"/>
      <c r="M155" s="484"/>
      <c r="N155" s="484"/>
      <c r="O155" s="484"/>
    </row>
    <row r="156" spans="1:15" ht="15.75" customHeight="1">
      <c r="A156" s="485"/>
      <c r="C156" s="484"/>
      <c r="D156" s="484"/>
      <c r="E156" s="484"/>
      <c r="F156" s="484"/>
      <c r="G156" s="484"/>
      <c r="H156" s="484"/>
      <c r="I156" s="484"/>
      <c r="J156" s="484"/>
      <c r="K156" s="484"/>
      <c r="L156" s="484"/>
      <c r="M156" s="484"/>
      <c r="N156" s="484"/>
      <c r="O156" s="484"/>
    </row>
    <row r="157" spans="1:15" ht="15.75" customHeight="1">
      <c r="A157" s="485"/>
      <c r="C157" s="484"/>
      <c r="D157" s="484"/>
      <c r="E157" s="484"/>
      <c r="F157" s="484"/>
      <c r="G157" s="484"/>
      <c r="H157" s="484"/>
      <c r="I157" s="484"/>
      <c r="J157" s="484"/>
      <c r="K157" s="484"/>
      <c r="L157" s="484"/>
      <c r="M157" s="484"/>
      <c r="N157" s="484"/>
      <c r="O157" s="484"/>
    </row>
    <row r="158" spans="1:15" ht="15.75" customHeight="1">
      <c r="A158" s="485"/>
      <c r="C158" s="484"/>
      <c r="D158" s="484"/>
      <c r="E158" s="484"/>
      <c r="F158" s="484"/>
      <c r="G158" s="484"/>
      <c r="H158" s="484"/>
      <c r="I158" s="484"/>
      <c r="J158" s="484"/>
      <c r="K158" s="484"/>
      <c r="L158" s="484"/>
      <c r="M158" s="484"/>
      <c r="N158" s="484"/>
      <c r="O158" s="484"/>
    </row>
    <row r="159" spans="1:15" ht="15.75" customHeight="1">
      <c r="A159" s="485"/>
      <c r="C159" s="484"/>
      <c r="D159" s="484"/>
      <c r="E159" s="484"/>
      <c r="F159" s="484"/>
      <c r="G159" s="484"/>
      <c r="H159" s="484"/>
      <c r="I159" s="484"/>
      <c r="J159" s="484"/>
      <c r="K159" s="484"/>
      <c r="L159" s="484"/>
      <c r="M159" s="484"/>
      <c r="N159" s="484"/>
      <c r="O159" s="484"/>
    </row>
    <row r="160" spans="1:15" ht="15.75" customHeight="1">
      <c r="A160" s="485"/>
      <c r="C160" s="484"/>
      <c r="D160" s="484"/>
      <c r="E160" s="484"/>
      <c r="F160" s="484"/>
      <c r="G160" s="484"/>
      <c r="H160" s="484"/>
      <c r="I160" s="484"/>
      <c r="J160" s="484"/>
      <c r="K160" s="484"/>
      <c r="L160" s="484"/>
      <c r="M160" s="484"/>
      <c r="N160" s="484"/>
      <c r="O160" s="484"/>
    </row>
    <row r="161" spans="1:15" ht="15.75" customHeight="1">
      <c r="A161" s="485"/>
      <c r="C161" s="484"/>
      <c r="D161" s="484"/>
      <c r="E161" s="484"/>
      <c r="F161" s="484"/>
      <c r="G161" s="484"/>
      <c r="H161" s="484"/>
      <c r="I161" s="484"/>
      <c r="J161" s="484"/>
      <c r="K161" s="484"/>
      <c r="L161" s="484"/>
      <c r="M161" s="484"/>
      <c r="N161" s="484"/>
      <c r="O161" s="484"/>
    </row>
    <row r="162" spans="1:15" ht="15.75" customHeight="1">
      <c r="A162" s="485"/>
      <c r="C162" s="484"/>
      <c r="D162" s="484"/>
      <c r="E162" s="484"/>
      <c r="F162" s="484"/>
      <c r="G162" s="484"/>
      <c r="H162" s="484"/>
      <c r="I162" s="484"/>
      <c r="J162" s="484"/>
      <c r="K162" s="484"/>
      <c r="L162" s="484"/>
      <c r="M162" s="484"/>
      <c r="N162" s="484"/>
      <c r="O162" s="484"/>
    </row>
    <row r="163" spans="1:15" ht="15.75" customHeight="1">
      <c r="A163" s="485"/>
      <c r="C163" s="484"/>
      <c r="D163" s="484"/>
      <c r="E163" s="484"/>
      <c r="F163" s="484"/>
      <c r="G163" s="484"/>
      <c r="H163" s="484"/>
      <c r="I163" s="484"/>
      <c r="J163" s="484"/>
      <c r="K163" s="484"/>
      <c r="L163" s="484"/>
      <c r="M163" s="484"/>
      <c r="N163" s="484"/>
      <c r="O163" s="484"/>
    </row>
    <row r="164" spans="1:15" ht="15.75" customHeight="1">
      <c r="A164" s="485"/>
      <c r="C164" s="484"/>
      <c r="D164" s="484"/>
      <c r="E164" s="484"/>
      <c r="F164" s="484"/>
      <c r="G164" s="484"/>
      <c r="H164" s="484"/>
      <c r="I164" s="484"/>
      <c r="J164" s="484"/>
      <c r="K164" s="484"/>
      <c r="L164" s="484"/>
      <c r="M164" s="484"/>
      <c r="N164" s="484"/>
      <c r="O164" s="484"/>
    </row>
    <row r="165" spans="1:15" ht="15.75" customHeight="1">
      <c r="A165" s="485"/>
      <c r="C165" s="484"/>
      <c r="D165" s="484"/>
      <c r="E165" s="484"/>
      <c r="F165" s="484"/>
      <c r="G165" s="484"/>
      <c r="H165" s="484"/>
      <c r="I165" s="484"/>
      <c r="J165" s="484"/>
      <c r="K165" s="484"/>
      <c r="L165" s="484"/>
      <c r="M165" s="484"/>
      <c r="N165" s="484"/>
      <c r="O165" s="484"/>
    </row>
    <row r="166" spans="1:15" ht="15.75" customHeight="1">
      <c r="A166" s="485"/>
      <c r="C166" s="484"/>
      <c r="D166" s="484"/>
      <c r="E166" s="484"/>
      <c r="F166" s="484"/>
      <c r="G166" s="484"/>
      <c r="H166" s="484"/>
      <c r="I166" s="484"/>
      <c r="J166" s="484"/>
      <c r="K166" s="484"/>
      <c r="L166" s="484"/>
      <c r="M166" s="484"/>
      <c r="N166" s="484"/>
      <c r="O166" s="484"/>
    </row>
    <row r="167" spans="1:15" ht="15.75" customHeight="1">
      <c r="A167" s="485"/>
      <c r="C167" s="484"/>
      <c r="D167" s="484"/>
      <c r="E167" s="484"/>
      <c r="F167" s="484"/>
      <c r="G167" s="484"/>
      <c r="H167" s="484"/>
      <c r="I167" s="484"/>
      <c r="J167" s="484"/>
      <c r="K167" s="484"/>
      <c r="L167" s="484"/>
      <c r="M167" s="484"/>
      <c r="N167" s="484"/>
      <c r="O167" s="484"/>
    </row>
    <row r="168" spans="1:15" ht="15.75" customHeight="1">
      <c r="A168" s="485"/>
      <c r="C168" s="484"/>
      <c r="D168" s="484"/>
      <c r="E168" s="484"/>
      <c r="F168" s="484"/>
      <c r="G168" s="484"/>
      <c r="H168" s="484"/>
      <c r="I168" s="484"/>
      <c r="J168" s="484"/>
      <c r="K168" s="484"/>
      <c r="L168" s="484"/>
      <c r="M168" s="484"/>
      <c r="N168" s="484"/>
      <c r="O168" s="484"/>
    </row>
    <row r="169" spans="1:15" ht="15.75" customHeight="1">
      <c r="A169" s="485"/>
      <c r="C169" s="484"/>
      <c r="D169" s="484"/>
      <c r="E169" s="484"/>
      <c r="F169" s="484"/>
      <c r="G169" s="484"/>
      <c r="H169" s="484"/>
      <c r="I169" s="484"/>
      <c r="J169" s="484"/>
      <c r="K169" s="484"/>
      <c r="L169" s="484"/>
      <c r="M169" s="484"/>
      <c r="N169" s="484"/>
      <c r="O169" s="484"/>
    </row>
    <row r="170" spans="1:15" ht="15.75" customHeight="1">
      <c r="A170" s="485"/>
      <c r="C170" s="484"/>
      <c r="D170" s="484"/>
      <c r="E170" s="484"/>
      <c r="F170" s="484"/>
      <c r="G170" s="484"/>
      <c r="H170" s="484"/>
      <c r="I170" s="484"/>
      <c r="J170" s="484"/>
      <c r="K170" s="484"/>
      <c r="L170" s="484"/>
      <c r="M170" s="484"/>
      <c r="N170" s="484"/>
      <c r="O170" s="484"/>
    </row>
    <row r="171" spans="1:15" ht="15.75" customHeight="1">
      <c r="A171" s="485"/>
      <c r="C171" s="484"/>
      <c r="D171" s="484"/>
      <c r="E171" s="484"/>
      <c r="F171" s="484"/>
      <c r="G171" s="484"/>
      <c r="H171" s="484"/>
      <c r="I171" s="484"/>
      <c r="J171" s="484"/>
      <c r="K171" s="484"/>
      <c r="L171" s="484"/>
      <c r="M171" s="484"/>
      <c r="N171" s="484"/>
      <c r="O171" s="484"/>
    </row>
    <row r="172" spans="1:15" ht="15.75" customHeight="1">
      <c r="A172" s="485"/>
      <c r="C172" s="484"/>
      <c r="D172" s="484"/>
      <c r="E172" s="484"/>
      <c r="F172" s="484"/>
      <c r="G172" s="484"/>
      <c r="H172" s="484"/>
      <c r="I172" s="484"/>
      <c r="J172" s="484"/>
      <c r="K172" s="484"/>
      <c r="L172" s="484"/>
      <c r="M172" s="484"/>
      <c r="N172" s="484"/>
      <c r="O172" s="484"/>
    </row>
    <row r="173" spans="1:15" ht="15.75" customHeight="1">
      <c r="A173" s="485"/>
      <c r="C173" s="484"/>
      <c r="D173" s="484"/>
      <c r="E173" s="484"/>
      <c r="F173" s="484"/>
      <c r="G173" s="484"/>
      <c r="H173" s="484"/>
      <c r="I173" s="484"/>
      <c r="J173" s="484"/>
      <c r="K173" s="484"/>
      <c r="L173" s="484"/>
      <c r="M173" s="484"/>
      <c r="N173" s="484"/>
      <c r="O173" s="484"/>
    </row>
    <row r="174" spans="1:15" ht="15.75" customHeight="1">
      <c r="A174" s="485"/>
      <c r="C174" s="484"/>
      <c r="D174" s="484"/>
      <c r="E174" s="484"/>
      <c r="F174" s="484"/>
      <c r="G174" s="484"/>
      <c r="H174" s="484"/>
      <c r="I174" s="484"/>
      <c r="J174" s="484"/>
      <c r="K174" s="484"/>
      <c r="L174" s="484"/>
      <c r="M174" s="484"/>
      <c r="N174" s="484"/>
      <c r="O174" s="484"/>
    </row>
    <row r="175" spans="1:15" ht="15.75" customHeight="1">
      <c r="A175" s="485"/>
      <c r="C175" s="484"/>
      <c r="D175" s="484"/>
      <c r="E175" s="484"/>
      <c r="F175" s="484"/>
      <c r="G175" s="484"/>
      <c r="H175" s="484"/>
      <c r="I175" s="484"/>
      <c r="J175" s="484"/>
      <c r="K175" s="484"/>
      <c r="L175" s="484"/>
      <c r="M175" s="484"/>
      <c r="N175" s="484"/>
      <c r="O175" s="484"/>
    </row>
    <row r="176" spans="1:15" ht="15.75" customHeight="1">
      <c r="A176" s="485"/>
      <c r="C176" s="484"/>
      <c r="D176" s="484"/>
      <c r="E176" s="484"/>
      <c r="F176" s="484"/>
      <c r="G176" s="484"/>
      <c r="H176" s="484"/>
      <c r="I176" s="484"/>
      <c r="J176" s="484"/>
      <c r="K176" s="484"/>
      <c r="L176" s="484"/>
      <c r="M176" s="484"/>
      <c r="N176" s="484"/>
      <c r="O176" s="484"/>
    </row>
    <row r="177" spans="1:15" ht="15.75" customHeight="1">
      <c r="A177" s="485"/>
      <c r="C177" s="484"/>
      <c r="D177" s="484"/>
      <c r="E177" s="484"/>
      <c r="F177" s="484"/>
      <c r="G177" s="484"/>
      <c r="H177" s="484"/>
      <c r="I177" s="484"/>
      <c r="J177" s="484"/>
      <c r="K177" s="484"/>
      <c r="L177" s="484"/>
      <c r="M177" s="484"/>
      <c r="N177" s="484"/>
      <c r="O177" s="484"/>
    </row>
    <row r="178" spans="1:15" ht="15.75" customHeight="1">
      <c r="A178" s="485"/>
      <c r="C178" s="484"/>
      <c r="D178" s="484"/>
      <c r="E178" s="484"/>
      <c r="F178" s="484"/>
      <c r="G178" s="484"/>
      <c r="H178" s="484"/>
      <c r="I178" s="484"/>
      <c r="J178" s="484"/>
      <c r="K178" s="484"/>
      <c r="L178" s="484"/>
      <c r="M178" s="484"/>
      <c r="N178" s="484"/>
      <c r="O178" s="484"/>
    </row>
    <row r="179" spans="1:15" ht="15.75" customHeight="1">
      <c r="A179" s="485"/>
      <c r="C179" s="484"/>
      <c r="D179" s="484"/>
      <c r="E179" s="484"/>
      <c r="F179" s="484"/>
      <c r="G179" s="484"/>
      <c r="H179" s="484"/>
      <c r="I179" s="484"/>
      <c r="J179" s="484"/>
      <c r="K179" s="484"/>
      <c r="L179" s="484"/>
      <c r="M179" s="484"/>
      <c r="N179" s="484"/>
      <c r="O179" s="484"/>
    </row>
    <row r="180" spans="1:15" ht="15.75" customHeight="1">
      <c r="A180" s="485"/>
      <c r="C180" s="484"/>
      <c r="D180" s="484"/>
      <c r="E180" s="484"/>
      <c r="F180" s="484"/>
      <c r="G180" s="484"/>
      <c r="H180" s="484"/>
      <c r="I180" s="484"/>
      <c r="J180" s="484"/>
      <c r="K180" s="484"/>
      <c r="L180" s="484"/>
      <c r="M180" s="484"/>
      <c r="N180" s="484"/>
      <c r="O180" s="484"/>
    </row>
    <row r="181" spans="1:15" ht="15.75" customHeight="1">
      <c r="A181" s="485"/>
      <c r="C181" s="484"/>
      <c r="D181" s="484"/>
      <c r="E181" s="484"/>
      <c r="F181" s="484"/>
      <c r="G181" s="484"/>
      <c r="H181" s="484"/>
      <c r="I181" s="484"/>
      <c r="J181" s="484"/>
      <c r="K181" s="484"/>
      <c r="L181" s="484"/>
      <c r="M181" s="484"/>
      <c r="N181" s="484"/>
      <c r="O181" s="484"/>
    </row>
    <row r="182" spans="1:15" ht="15.75" customHeight="1">
      <c r="A182" s="485"/>
      <c r="C182" s="484"/>
      <c r="D182" s="484"/>
      <c r="E182" s="484"/>
      <c r="F182" s="484"/>
      <c r="G182" s="484"/>
      <c r="H182" s="484"/>
      <c r="I182" s="484"/>
      <c r="J182" s="484"/>
      <c r="K182" s="484"/>
      <c r="L182" s="484"/>
      <c r="M182" s="484"/>
      <c r="N182" s="484"/>
      <c r="O182" s="484"/>
    </row>
    <row r="183" spans="1:15" ht="15.75" customHeight="1">
      <c r="A183" s="485"/>
      <c r="C183" s="484"/>
      <c r="D183" s="484"/>
      <c r="E183" s="484"/>
      <c r="F183" s="484"/>
      <c r="G183" s="484"/>
      <c r="H183" s="484"/>
      <c r="I183" s="484"/>
      <c r="J183" s="484"/>
      <c r="K183" s="484"/>
      <c r="L183" s="484"/>
      <c r="M183" s="484"/>
      <c r="N183" s="484"/>
      <c r="O183" s="484"/>
    </row>
    <row r="184" spans="1:15" ht="15.75" customHeight="1">
      <c r="A184" s="485"/>
      <c r="C184" s="484"/>
      <c r="D184" s="484"/>
      <c r="E184" s="484"/>
      <c r="F184" s="484"/>
      <c r="G184" s="484"/>
      <c r="H184" s="484"/>
      <c r="I184" s="484"/>
      <c r="J184" s="484"/>
      <c r="K184" s="484"/>
      <c r="L184" s="484"/>
      <c r="M184" s="484"/>
      <c r="N184" s="484"/>
      <c r="O184" s="484"/>
    </row>
    <row r="185" spans="1:15" ht="15.75" customHeight="1">
      <c r="A185" s="485"/>
      <c r="C185" s="484"/>
      <c r="D185" s="484"/>
      <c r="E185" s="484"/>
      <c r="F185" s="484"/>
      <c r="G185" s="484"/>
      <c r="H185" s="484"/>
      <c r="I185" s="484"/>
      <c r="J185" s="484"/>
      <c r="K185" s="484"/>
      <c r="L185" s="484"/>
      <c r="M185" s="484"/>
      <c r="N185" s="484"/>
      <c r="O185" s="484"/>
    </row>
    <row r="186" spans="1:15" ht="15.75" customHeight="1">
      <c r="A186" s="485"/>
      <c r="C186" s="484"/>
      <c r="D186" s="484"/>
      <c r="E186" s="484"/>
      <c r="F186" s="484"/>
      <c r="G186" s="484"/>
      <c r="H186" s="484"/>
      <c r="I186" s="484"/>
      <c r="J186" s="484"/>
      <c r="K186" s="484"/>
      <c r="L186" s="484"/>
      <c r="M186" s="484"/>
      <c r="N186" s="484"/>
      <c r="O186" s="484"/>
    </row>
    <row r="187" spans="1:15" ht="15.75" customHeight="1">
      <c r="A187" s="485"/>
      <c r="C187" s="484"/>
      <c r="D187" s="484"/>
      <c r="E187" s="484"/>
      <c r="F187" s="484"/>
      <c r="G187" s="484"/>
      <c r="H187" s="484"/>
      <c r="I187" s="484"/>
      <c r="J187" s="484"/>
      <c r="K187" s="484"/>
      <c r="L187" s="484"/>
      <c r="M187" s="484"/>
      <c r="N187" s="484"/>
      <c r="O187" s="484"/>
    </row>
    <row r="188" spans="1:15" ht="15.75" customHeight="1">
      <c r="A188" s="485"/>
      <c r="C188" s="484"/>
      <c r="D188" s="484"/>
      <c r="E188" s="484"/>
      <c r="F188" s="484"/>
      <c r="G188" s="484"/>
      <c r="H188" s="484"/>
      <c r="I188" s="484"/>
      <c r="J188" s="484"/>
      <c r="K188" s="484"/>
      <c r="L188" s="484"/>
      <c r="M188" s="484"/>
      <c r="N188" s="484"/>
      <c r="O188" s="484"/>
    </row>
    <row r="189" spans="1:15" ht="15.75" customHeight="1">
      <c r="A189" s="485"/>
      <c r="C189" s="484"/>
      <c r="D189" s="484"/>
      <c r="E189" s="484"/>
      <c r="F189" s="484"/>
      <c r="G189" s="484"/>
      <c r="H189" s="484"/>
      <c r="I189" s="484"/>
      <c r="J189" s="484"/>
      <c r="K189" s="484"/>
      <c r="L189" s="484"/>
      <c r="M189" s="484"/>
      <c r="N189" s="484"/>
      <c r="O189" s="484"/>
    </row>
    <row r="190" spans="1:15" ht="15.75" customHeight="1">
      <c r="A190" s="485"/>
      <c r="C190" s="484"/>
      <c r="D190" s="484"/>
      <c r="E190" s="484"/>
      <c r="F190" s="484"/>
      <c r="G190" s="484"/>
      <c r="H190" s="484"/>
      <c r="I190" s="484"/>
      <c r="J190" s="484"/>
      <c r="K190" s="484"/>
      <c r="L190" s="484"/>
      <c r="M190" s="484"/>
      <c r="N190" s="484"/>
      <c r="O190" s="484"/>
    </row>
    <row r="191" spans="1:15" ht="15.75" customHeight="1">
      <c r="A191" s="485"/>
      <c r="C191" s="484"/>
      <c r="D191" s="484"/>
      <c r="E191" s="484"/>
      <c r="F191" s="484"/>
      <c r="G191" s="484"/>
      <c r="H191" s="484"/>
      <c r="I191" s="484"/>
      <c r="J191" s="484"/>
      <c r="K191" s="484"/>
      <c r="L191" s="484"/>
      <c r="M191" s="484"/>
      <c r="N191" s="484"/>
      <c r="O191" s="484"/>
    </row>
    <row r="192" spans="1:15" ht="15.75" customHeight="1">
      <c r="A192" s="485"/>
      <c r="C192" s="484"/>
      <c r="D192" s="484"/>
      <c r="E192" s="484"/>
      <c r="F192" s="484"/>
      <c r="G192" s="484"/>
      <c r="H192" s="484"/>
      <c r="I192" s="484"/>
      <c r="J192" s="484"/>
      <c r="K192" s="484"/>
      <c r="L192" s="484"/>
      <c r="M192" s="484"/>
      <c r="N192" s="484"/>
      <c r="O192" s="484"/>
    </row>
    <row r="193" spans="1:15" ht="15.75" customHeight="1">
      <c r="A193" s="485"/>
      <c r="C193" s="484"/>
      <c r="D193" s="484"/>
      <c r="E193" s="484"/>
      <c r="F193" s="484"/>
      <c r="G193" s="484"/>
      <c r="H193" s="484"/>
      <c r="I193" s="484"/>
      <c r="J193" s="484"/>
      <c r="K193" s="484"/>
      <c r="L193" s="484"/>
      <c r="M193" s="484"/>
      <c r="N193" s="484"/>
      <c r="O193" s="484"/>
    </row>
    <row r="194" spans="1:15" ht="15.75" customHeight="1">
      <c r="A194" s="485"/>
      <c r="C194" s="484"/>
      <c r="D194" s="484"/>
      <c r="E194" s="484"/>
      <c r="F194" s="484"/>
      <c r="G194" s="484"/>
      <c r="H194" s="484"/>
      <c r="I194" s="484"/>
      <c r="J194" s="484"/>
      <c r="K194" s="484"/>
      <c r="L194" s="484"/>
      <c r="M194" s="484"/>
      <c r="N194" s="484"/>
      <c r="O194" s="484"/>
    </row>
    <row r="195" spans="1:15" ht="15.75" customHeight="1">
      <c r="A195" s="485"/>
      <c r="C195" s="484"/>
      <c r="D195" s="484"/>
      <c r="E195" s="484"/>
      <c r="F195" s="484"/>
      <c r="G195" s="484"/>
      <c r="H195" s="484"/>
      <c r="I195" s="484"/>
      <c r="J195" s="484"/>
      <c r="K195" s="484"/>
      <c r="L195" s="484"/>
      <c r="M195" s="484"/>
      <c r="N195" s="484"/>
      <c r="O195" s="484"/>
    </row>
    <row r="196" spans="1:15" ht="15.75" customHeight="1">
      <c r="A196" s="485"/>
      <c r="C196" s="484"/>
      <c r="D196" s="484"/>
      <c r="E196" s="484"/>
      <c r="F196" s="484"/>
      <c r="G196" s="484"/>
      <c r="H196" s="484"/>
      <c r="I196" s="484"/>
      <c r="J196" s="484"/>
      <c r="K196" s="484"/>
      <c r="L196" s="484"/>
      <c r="M196" s="484"/>
      <c r="N196" s="484"/>
      <c r="O196" s="484"/>
    </row>
    <row r="197" spans="1:15" ht="15.75" customHeight="1">
      <c r="A197" s="485"/>
      <c r="C197" s="484"/>
      <c r="D197" s="484"/>
      <c r="E197" s="484"/>
      <c r="F197" s="484"/>
      <c r="G197" s="484"/>
      <c r="H197" s="484"/>
      <c r="I197" s="484"/>
      <c r="J197" s="484"/>
      <c r="K197" s="484"/>
      <c r="L197" s="484"/>
      <c r="M197" s="484"/>
      <c r="N197" s="484"/>
      <c r="O197" s="484"/>
    </row>
    <row r="198" spans="1:15" ht="15.75" customHeight="1">
      <c r="A198" s="485"/>
      <c r="C198" s="484"/>
      <c r="D198" s="484"/>
      <c r="E198" s="484"/>
      <c r="F198" s="484"/>
      <c r="G198" s="484"/>
      <c r="H198" s="484"/>
      <c r="I198" s="484"/>
      <c r="J198" s="484"/>
      <c r="K198" s="484"/>
      <c r="L198" s="484"/>
      <c r="M198" s="484"/>
      <c r="N198" s="484"/>
      <c r="O198" s="484"/>
    </row>
    <row r="199" spans="1:15" ht="15.75" customHeight="1">
      <c r="A199" s="485"/>
      <c r="C199" s="484"/>
      <c r="D199" s="484"/>
      <c r="E199" s="484"/>
      <c r="F199" s="484"/>
      <c r="G199" s="484"/>
      <c r="H199" s="484"/>
      <c r="I199" s="484"/>
      <c r="J199" s="484"/>
      <c r="K199" s="484"/>
      <c r="L199" s="484"/>
      <c r="M199" s="484"/>
      <c r="N199" s="484"/>
      <c r="O199" s="484"/>
    </row>
    <row r="200" spans="1:15" ht="15.75" customHeight="1">
      <c r="A200" s="485"/>
      <c r="C200" s="484"/>
      <c r="D200" s="484"/>
      <c r="E200" s="484"/>
      <c r="F200" s="484"/>
      <c r="G200" s="484"/>
      <c r="H200" s="484"/>
      <c r="I200" s="484"/>
      <c r="J200" s="484"/>
      <c r="K200" s="484"/>
      <c r="L200" s="484"/>
      <c r="M200" s="484"/>
      <c r="N200" s="484"/>
      <c r="O200" s="484"/>
    </row>
    <row r="201" spans="1:15" ht="15.75" customHeight="1">
      <c r="A201" s="485"/>
      <c r="C201" s="484"/>
      <c r="D201" s="484"/>
      <c r="E201" s="484"/>
      <c r="F201" s="484"/>
      <c r="G201" s="484"/>
      <c r="H201" s="484"/>
      <c r="I201" s="484"/>
      <c r="J201" s="484"/>
      <c r="K201" s="484"/>
      <c r="L201" s="484"/>
      <c r="M201" s="484"/>
      <c r="N201" s="484"/>
      <c r="O201" s="484"/>
    </row>
    <row r="202" spans="1:15" ht="15.75" customHeight="1">
      <c r="A202" s="485"/>
      <c r="C202" s="484"/>
      <c r="D202" s="484"/>
      <c r="E202" s="484"/>
      <c r="F202" s="484"/>
      <c r="G202" s="484"/>
      <c r="H202" s="484"/>
      <c r="I202" s="484"/>
      <c r="J202" s="484"/>
      <c r="K202" s="484"/>
      <c r="L202" s="484"/>
      <c r="M202" s="484"/>
      <c r="N202" s="484"/>
      <c r="O202" s="484"/>
    </row>
    <row r="203" spans="1:15" ht="15.75" customHeight="1">
      <c r="A203" s="485"/>
      <c r="C203" s="484"/>
      <c r="D203" s="484"/>
      <c r="E203" s="484"/>
      <c r="F203" s="484"/>
      <c r="G203" s="484"/>
      <c r="H203" s="484"/>
      <c r="I203" s="484"/>
      <c r="J203" s="484"/>
      <c r="K203" s="484"/>
      <c r="L203" s="484"/>
      <c r="M203" s="484"/>
      <c r="N203" s="484"/>
      <c r="O203" s="484"/>
    </row>
    <row r="204" spans="1:15" ht="15.75" customHeight="1">
      <c r="A204" s="485"/>
      <c r="C204" s="484"/>
      <c r="D204" s="484"/>
      <c r="E204" s="484"/>
      <c r="F204" s="484"/>
      <c r="G204" s="484"/>
      <c r="H204" s="484"/>
      <c r="I204" s="484"/>
      <c r="J204" s="484"/>
      <c r="K204" s="484"/>
      <c r="L204" s="484"/>
      <c r="M204" s="484"/>
      <c r="N204" s="484"/>
      <c r="O204" s="484"/>
    </row>
    <row r="205" spans="1:15" ht="15.75" customHeight="1">
      <c r="A205" s="485"/>
      <c r="C205" s="484"/>
      <c r="D205" s="484"/>
      <c r="E205" s="484"/>
      <c r="F205" s="484"/>
      <c r="G205" s="484"/>
      <c r="H205" s="484"/>
      <c r="I205" s="484"/>
      <c r="J205" s="484"/>
      <c r="K205" s="484"/>
      <c r="L205" s="484"/>
      <c r="M205" s="484"/>
      <c r="N205" s="484"/>
      <c r="O205" s="484"/>
    </row>
    <row r="206" spans="1:15" ht="15.75" customHeight="1">
      <c r="A206" s="485"/>
      <c r="C206" s="484"/>
      <c r="D206" s="484"/>
      <c r="E206" s="484"/>
      <c r="F206" s="484"/>
      <c r="G206" s="484"/>
      <c r="H206" s="484"/>
      <c r="I206" s="484"/>
      <c r="J206" s="484"/>
      <c r="K206" s="484"/>
      <c r="L206" s="484"/>
      <c r="M206" s="484"/>
      <c r="N206" s="484"/>
      <c r="O206" s="484"/>
    </row>
    <row r="207" spans="1:15" ht="15.75" customHeight="1">
      <c r="A207" s="485"/>
      <c r="C207" s="484"/>
      <c r="D207" s="484"/>
      <c r="E207" s="484"/>
      <c r="F207" s="484"/>
      <c r="G207" s="484"/>
      <c r="H207" s="484"/>
      <c r="I207" s="484"/>
      <c r="J207" s="484"/>
      <c r="K207" s="484"/>
      <c r="L207" s="484"/>
      <c r="M207" s="484"/>
      <c r="N207" s="484"/>
      <c r="O207" s="484"/>
    </row>
    <row r="208" spans="1:15" ht="15.75" customHeight="1">
      <c r="A208" s="485"/>
      <c r="C208" s="484"/>
      <c r="D208" s="484"/>
      <c r="E208" s="484"/>
      <c r="F208" s="484"/>
      <c r="G208" s="484"/>
      <c r="H208" s="484"/>
      <c r="I208" s="484"/>
      <c r="J208" s="484"/>
      <c r="K208" s="484"/>
      <c r="L208" s="484"/>
      <c r="M208" s="484"/>
      <c r="N208" s="484"/>
      <c r="O208" s="484"/>
    </row>
    <row r="209" spans="1:15" ht="15.75" customHeight="1">
      <c r="A209" s="485"/>
      <c r="C209" s="484"/>
      <c r="D209" s="484"/>
      <c r="E209" s="484"/>
      <c r="F209" s="484"/>
      <c r="G209" s="484"/>
      <c r="H209" s="484"/>
      <c r="I209" s="484"/>
      <c r="J209" s="484"/>
      <c r="K209" s="484"/>
      <c r="L209" s="484"/>
      <c r="M209" s="484"/>
      <c r="N209" s="484"/>
      <c r="O209" s="484"/>
    </row>
    <row r="210" spans="1:15" ht="15.75" customHeight="1">
      <c r="A210" s="485"/>
      <c r="C210" s="484"/>
      <c r="D210" s="484"/>
      <c r="E210" s="484"/>
      <c r="F210" s="484"/>
      <c r="G210" s="484"/>
      <c r="H210" s="484"/>
      <c r="I210" s="484"/>
      <c r="J210" s="484"/>
      <c r="K210" s="484"/>
      <c r="L210" s="484"/>
      <c r="M210" s="484"/>
      <c r="N210" s="484"/>
      <c r="O210" s="484"/>
    </row>
    <row r="211" spans="1:15" ht="15.75" customHeight="1">
      <c r="A211" s="485"/>
      <c r="C211" s="484"/>
      <c r="D211" s="484"/>
      <c r="E211" s="484"/>
      <c r="F211" s="484"/>
      <c r="G211" s="484"/>
      <c r="H211" s="484"/>
      <c r="I211" s="484"/>
      <c r="J211" s="484"/>
      <c r="K211" s="484"/>
      <c r="L211" s="484"/>
      <c r="M211" s="484"/>
      <c r="N211" s="484"/>
      <c r="O211" s="484"/>
    </row>
    <row r="212" spans="1:15" ht="15.75" customHeight="1">
      <c r="A212" s="485"/>
      <c r="C212" s="484"/>
      <c r="D212" s="484"/>
      <c r="E212" s="484"/>
      <c r="F212" s="484"/>
      <c r="G212" s="484"/>
      <c r="H212" s="484"/>
      <c r="I212" s="484"/>
      <c r="J212" s="484"/>
      <c r="K212" s="484"/>
      <c r="L212" s="484"/>
      <c r="M212" s="484"/>
      <c r="N212" s="484"/>
      <c r="O212" s="484"/>
    </row>
    <row r="213" spans="1:15" ht="15.75" customHeight="1">
      <c r="A213" s="485"/>
      <c r="C213" s="484"/>
      <c r="D213" s="484"/>
      <c r="E213" s="484"/>
      <c r="F213" s="484"/>
      <c r="G213" s="484"/>
      <c r="H213" s="484"/>
      <c r="I213" s="484"/>
      <c r="J213" s="484"/>
      <c r="K213" s="484"/>
      <c r="L213" s="484"/>
      <c r="M213" s="484"/>
      <c r="N213" s="484"/>
      <c r="O213" s="484"/>
    </row>
    <row r="214" spans="1:15" ht="15.75" customHeight="1">
      <c r="A214" s="485"/>
      <c r="C214" s="484"/>
      <c r="D214" s="484"/>
      <c r="E214" s="484"/>
      <c r="F214" s="484"/>
      <c r="G214" s="484"/>
      <c r="H214" s="484"/>
      <c r="I214" s="484"/>
      <c r="J214" s="484"/>
      <c r="K214" s="484"/>
      <c r="L214" s="484"/>
      <c r="M214" s="484"/>
      <c r="N214" s="484"/>
      <c r="O214" s="484"/>
    </row>
    <row r="215" spans="1:15" ht="15.75" customHeight="1">
      <c r="A215" s="485"/>
      <c r="C215" s="484"/>
      <c r="D215" s="484"/>
      <c r="E215" s="484"/>
      <c r="F215" s="484"/>
      <c r="G215" s="484"/>
      <c r="H215" s="484"/>
      <c r="I215" s="484"/>
      <c r="J215" s="484"/>
      <c r="K215" s="484"/>
      <c r="L215" s="484"/>
      <c r="M215" s="484"/>
      <c r="N215" s="484"/>
      <c r="O215" s="484"/>
    </row>
    <row r="216" spans="1:15" ht="15.75" customHeight="1">
      <c r="A216" s="485"/>
      <c r="C216" s="484"/>
      <c r="D216" s="484"/>
      <c r="E216" s="484"/>
      <c r="F216" s="484"/>
      <c r="G216" s="484"/>
      <c r="H216" s="484"/>
      <c r="I216" s="484"/>
      <c r="J216" s="484"/>
      <c r="K216" s="484"/>
      <c r="L216" s="484"/>
      <c r="M216" s="484"/>
      <c r="N216" s="484"/>
      <c r="O216" s="484"/>
    </row>
    <row r="217" spans="1:15" ht="15.75" customHeight="1">
      <c r="A217" s="485"/>
      <c r="C217" s="484"/>
      <c r="D217" s="484"/>
      <c r="E217" s="484"/>
      <c r="F217" s="484"/>
      <c r="G217" s="484"/>
      <c r="H217" s="484"/>
      <c r="I217" s="484"/>
      <c r="J217" s="484"/>
      <c r="K217" s="484"/>
      <c r="L217" s="484"/>
      <c r="M217" s="484"/>
      <c r="N217" s="484"/>
      <c r="O217" s="484"/>
    </row>
    <row r="218" spans="1:15" ht="15.75" customHeight="1">
      <c r="A218" s="485"/>
      <c r="C218" s="484"/>
      <c r="D218" s="484"/>
      <c r="E218" s="484"/>
      <c r="F218" s="484"/>
      <c r="G218" s="484"/>
      <c r="H218" s="484"/>
      <c r="I218" s="484"/>
      <c r="J218" s="484"/>
      <c r="K218" s="484"/>
      <c r="L218" s="484"/>
      <c r="M218" s="484"/>
      <c r="N218" s="484"/>
      <c r="O218" s="484"/>
    </row>
    <row r="219" spans="1:15" ht="15.75" customHeight="1">
      <c r="A219" s="485"/>
      <c r="C219" s="484"/>
      <c r="D219" s="484"/>
      <c r="E219" s="484"/>
      <c r="F219" s="484"/>
      <c r="G219" s="484"/>
      <c r="H219" s="484"/>
      <c r="I219" s="484"/>
      <c r="J219" s="484"/>
      <c r="K219" s="484"/>
      <c r="L219" s="484"/>
      <c r="M219" s="484"/>
      <c r="N219" s="484"/>
      <c r="O219" s="484"/>
    </row>
    <row r="220" spans="1:15" ht="15.75" customHeight="1">
      <c r="A220" s="485"/>
      <c r="C220" s="484"/>
      <c r="D220" s="484"/>
      <c r="E220" s="484"/>
      <c r="F220" s="484"/>
      <c r="G220" s="484"/>
      <c r="H220" s="484"/>
      <c r="I220" s="484"/>
      <c r="J220" s="484"/>
      <c r="K220" s="484"/>
      <c r="L220" s="484"/>
      <c r="M220" s="484"/>
      <c r="N220" s="484"/>
      <c r="O220" s="484"/>
    </row>
    <row r="221" spans="1:15" ht="15.75" customHeight="1">
      <c r="A221" s="485"/>
      <c r="C221" s="484"/>
      <c r="D221" s="484"/>
      <c r="E221" s="484"/>
      <c r="F221" s="484"/>
      <c r="G221" s="484"/>
      <c r="H221" s="484"/>
      <c r="I221" s="484"/>
      <c r="J221" s="484"/>
      <c r="K221" s="484"/>
      <c r="L221" s="484"/>
      <c r="M221" s="484"/>
      <c r="N221" s="484"/>
      <c r="O221" s="484"/>
    </row>
    <row r="222" spans="1:15" ht="15.75" customHeight="1">
      <c r="A222" s="485"/>
      <c r="C222" s="484"/>
      <c r="D222" s="484"/>
      <c r="E222" s="484"/>
      <c r="F222" s="484"/>
      <c r="G222" s="484"/>
      <c r="H222" s="484"/>
      <c r="I222" s="484"/>
      <c r="J222" s="484"/>
      <c r="K222" s="484"/>
      <c r="L222" s="484"/>
      <c r="M222" s="484"/>
      <c r="N222" s="484"/>
      <c r="O222" s="484"/>
    </row>
    <row r="223" spans="1:15" ht="15.75" customHeight="1">
      <c r="A223" s="485"/>
      <c r="C223" s="484"/>
      <c r="D223" s="484"/>
      <c r="E223" s="484"/>
      <c r="F223" s="484"/>
      <c r="G223" s="484"/>
      <c r="H223" s="484"/>
      <c r="I223" s="484"/>
      <c r="J223" s="484"/>
      <c r="K223" s="484"/>
      <c r="L223" s="484"/>
      <c r="M223" s="484"/>
      <c r="N223" s="484"/>
      <c r="O223" s="484"/>
    </row>
    <row r="224" spans="1:15" ht="15.75" customHeight="1">
      <c r="A224" s="485"/>
      <c r="C224" s="484"/>
      <c r="D224" s="484"/>
      <c r="E224" s="484"/>
      <c r="F224" s="484"/>
      <c r="G224" s="484"/>
      <c r="H224" s="484"/>
      <c r="I224" s="484"/>
      <c r="J224" s="484"/>
      <c r="K224" s="484"/>
      <c r="L224" s="484"/>
      <c r="M224" s="484"/>
      <c r="N224" s="484"/>
      <c r="O224" s="484"/>
    </row>
    <row r="225" spans="1:15" ht="15.75" customHeight="1">
      <c r="A225" s="485"/>
      <c r="C225" s="484"/>
      <c r="D225" s="484"/>
      <c r="E225" s="484"/>
      <c r="F225" s="484"/>
      <c r="G225" s="484"/>
      <c r="H225" s="484"/>
      <c r="I225" s="484"/>
      <c r="J225" s="484"/>
      <c r="K225" s="484"/>
      <c r="L225" s="484"/>
      <c r="M225" s="484"/>
      <c r="N225" s="484"/>
      <c r="O225" s="484"/>
    </row>
    <row r="226" spans="1:15" ht="15.75" customHeight="1">
      <c r="A226" s="485"/>
      <c r="C226" s="484"/>
      <c r="D226" s="484"/>
      <c r="E226" s="484"/>
      <c r="F226" s="484"/>
      <c r="G226" s="484"/>
      <c r="H226" s="484"/>
      <c r="I226" s="484"/>
      <c r="J226" s="484"/>
      <c r="K226" s="484"/>
      <c r="L226" s="484"/>
      <c r="M226" s="484"/>
      <c r="N226" s="484"/>
      <c r="O226" s="484"/>
    </row>
    <row r="227" spans="1:15" ht="15.75" customHeight="1">
      <c r="A227" s="485"/>
      <c r="C227" s="484"/>
      <c r="D227" s="484"/>
      <c r="E227" s="484"/>
      <c r="F227" s="484"/>
      <c r="G227" s="484"/>
      <c r="H227" s="484"/>
      <c r="I227" s="484"/>
      <c r="J227" s="484"/>
      <c r="K227" s="484"/>
      <c r="L227" s="484"/>
      <c r="M227" s="484"/>
      <c r="N227" s="484"/>
      <c r="O227" s="484"/>
    </row>
    <row r="228" spans="1:15" ht="15.75" customHeight="1"/>
    <row r="229" spans="1:15" ht="15.75" customHeight="1"/>
    <row r="230" spans="1:15" ht="15.75" customHeight="1"/>
    <row r="231" spans="1:15" ht="15.75" customHeight="1"/>
    <row r="232" spans="1:15" ht="15.75" customHeight="1"/>
    <row r="233" spans="1:15" ht="15.75" customHeight="1"/>
    <row r="234" spans="1:15" ht="15.75" customHeight="1"/>
    <row r="235" spans="1:15" ht="15.75" customHeight="1"/>
    <row r="236" spans="1:15" ht="15.75" customHeight="1"/>
    <row r="237" spans="1:15" ht="15.75" customHeight="1"/>
    <row r="238" spans="1:15" ht="15.75" customHeight="1"/>
    <row r="239" spans="1:15" ht="15.75" customHeight="1"/>
    <row r="240" spans="1:15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D7:L7"/>
    <mergeCell ref="B10:C10"/>
    <mergeCell ref="D10:G10"/>
    <mergeCell ref="C12:L12"/>
    <mergeCell ref="B14:B26"/>
    <mergeCell ref="B7:C7"/>
    <mergeCell ref="B8:C8"/>
    <mergeCell ref="D8:G8"/>
    <mergeCell ref="I8:L8"/>
    <mergeCell ref="B9:C9"/>
    <mergeCell ref="D9:G9"/>
    <mergeCell ref="J9:L9"/>
    <mergeCell ref="B1:C1"/>
    <mergeCell ref="B2:L2"/>
    <mergeCell ref="B4:C4"/>
    <mergeCell ref="B6:C6"/>
    <mergeCell ref="D6:G6"/>
    <mergeCell ref="J6:L6"/>
  </mergeCells>
  <conditionalFormatting sqref="K14">
    <cfRule type="cellIs" dxfId="189" priority="1" operator="greaterThan">
      <formula>0</formula>
    </cfRule>
  </conditionalFormatting>
  <conditionalFormatting sqref="K15">
    <cfRule type="cellIs" dxfId="188" priority="2" operator="greaterThan">
      <formula>0</formula>
    </cfRule>
  </conditionalFormatting>
  <conditionalFormatting sqref="K16">
    <cfRule type="cellIs" dxfId="187" priority="3" operator="greaterThan">
      <formula>0</formula>
    </cfRule>
  </conditionalFormatting>
  <conditionalFormatting sqref="K17">
    <cfRule type="cellIs" dxfId="186" priority="4" operator="greaterThan">
      <formula>0</formula>
    </cfRule>
  </conditionalFormatting>
  <conditionalFormatting sqref="K18:K24">
    <cfRule type="cellIs" dxfId="185" priority="5" operator="greaterThan">
      <formula>0</formula>
    </cfRule>
  </conditionalFormatting>
  <conditionalFormatting sqref="H14">
    <cfRule type="expression" dxfId="184" priority="6">
      <formula>$K$14&gt;0</formula>
    </cfRule>
  </conditionalFormatting>
  <conditionalFormatting sqref="H15">
    <cfRule type="expression" dxfId="183" priority="7">
      <formula>$K$15&gt;0</formula>
    </cfRule>
  </conditionalFormatting>
  <conditionalFormatting sqref="H16">
    <cfRule type="expression" dxfId="182" priority="8">
      <formula>$K$16&gt;0</formula>
    </cfRule>
  </conditionalFormatting>
  <conditionalFormatting sqref="H17">
    <cfRule type="expression" dxfId="181" priority="9">
      <formula>$K$17&gt;0</formula>
    </cfRule>
  </conditionalFormatting>
  <conditionalFormatting sqref="H18">
    <cfRule type="expression" dxfId="180" priority="10">
      <formula>$K$18&gt;0</formula>
    </cfRule>
  </conditionalFormatting>
  <conditionalFormatting sqref="H18">
    <cfRule type="expression" dxfId="179" priority="11">
      <formula>$K$17&gt;0</formula>
    </cfRule>
  </conditionalFormatting>
  <conditionalFormatting sqref="H19">
    <cfRule type="expression" dxfId="178" priority="12">
      <formula>$K$19&gt;0</formula>
    </cfRule>
  </conditionalFormatting>
  <conditionalFormatting sqref="H20">
    <cfRule type="expression" dxfId="177" priority="13">
      <formula>$K$20&gt;0</formula>
    </cfRule>
  </conditionalFormatting>
  <conditionalFormatting sqref="H21">
    <cfRule type="expression" dxfId="176" priority="14">
      <formula>$K$21&gt;0</formula>
    </cfRule>
  </conditionalFormatting>
  <conditionalFormatting sqref="H22">
    <cfRule type="expression" dxfId="175" priority="15">
      <formula>$K$22&gt;0</formula>
    </cfRule>
  </conditionalFormatting>
  <conditionalFormatting sqref="H23">
    <cfRule type="expression" dxfId="174" priority="16">
      <formula>$K$23&gt;0</formula>
    </cfRule>
  </conditionalFormatting>
  <conditionalFormatting sqref="H24">
    <cfRule type="expression" dxfId="173" priority="17">
      <formula>$K$24&gt;0</formula>
    </cfRule>
  </conditionalFormatting>
  <conditionalFormatting sqref="H25">
    <cfRule type="expression" dxfId="172" priority="18">
      <formula>$K$25&gt;0</formula>
    </cfRule>
  </conditionalFormatting>
  <conditionalFormatting sqref="M14">
    <cfRule type="expression" dxfId="171" priority="19">
      <formula>$K$14&gt;0</formula>
    </cfRule>
  </conditionalFormatting>
  <conditionalFormatting sqref="M15">
    <cfRule type="expression" dxfId="170" priority="20">
      <formula>$K$15&gt;0</formula>
    </cfRule>
  </conditionalFormatting>
  <conditionalFormatting sqref="M16">
    <cfRule type="expression" dxfId="169" priority="21">
      <formula>$K$16&gt;0</formula>
    </cfRule>
  </conditionalFormatting>
  <conditionalFormatting sqref="M17">
    <cfRule type="expression" dxfId="168" priority="22">
      <formula>$K$17&gt;0</formula>
    </cfRule>
  </conditionalFormatting>
  <conditionalFormatting sqref="M18">
    <cfRule type="expression" dxfId="167" priority="23">
      <formula>$K$18&gt;0</formula>
    </cfRule>
  </conditionalFormatting>
  <conditionalFormatting sqref="M19">
    <cfRule type="expression" dxfId="166" priority="24">
      <formula>$K$19&gt;0</formula>
    </cfRule>
  </conditionalFormatting>
  <conditionalFormatting sqref="M20">
    <cfRule type="expression" dxfId="165" priority="25">
      <formula>$K$20&gt;0</formula>
    </cfRule>
  </conditionalFormatting>
  <conditionalFormatting sqref="M21">
    <cfRule type="expression" dxfId="164" priority="26">
      <formula>$K$21&gt;0</formula>
    </cfRule>
  </conditionalFormatting>
  <conditionalFormatting sqref="M22">
    <cfRule type="expression" dxfId="163" priority="27">
      <formula>$K$22&gt;0</formula>
    </cfRule>
  </conditionalFormatting>
  <conditionalFormatting sqref="M23">
    <cfRule type="expression" dxfId="162" priority="28">
      <formula>$K$23&gt;0</formula>
    </cfRule>
  </conditionalFormatting>
  <conditionalFormatting sqref="M24">
    <cfRule type="expression" dxfId="161" priority="29">
      <formula>$K$24&gt;0</formula>
    </cfRule>
  </conditionalFormatting>
  <conditionalFormatting sqref="M25">
    <cfRule type="expression" dxfId="160" priority="30">
      <formula>$K$25&gt;0</formula>
    </cfRule>
  </conditionalFormatting>
  <conditionalFormatting sqref="C14">
    <cfRule type="expression" dxfId="159" priority="31">
      <formula>$E$14&gt;0</formula>
    </cfRule>
  </conditionalFormatting>
  <conditionalFormatting sqref="C14">
    <cfRule type="expression" dxfId="158" priority="32">
      <formula>$C$14&gt;0</formula>
    </cfRule>
  </conditionalFormatting>
  <conditionalFormatting sqref="C16">
    <cfRule type="expression" dxfId="157" priority="33">
      <formula>$E$16&gt;0</formula>
    </cfRule>
  </conditionalFormatting>
  <conditionalFormatting sqref="C17">
    <cfRule type="expression" dxfId="156" priority="34">
      <formula>$E$17&gt;0</formula>
    </cfRule>
  </conditionalFormatting>
  <conditionalFormatting sqref="C18">
    <cfRule type="expression" dxfId="155" priority="35">
      <formula>$E$18&gt;0</formula>
    </cfRule>
  </conditionalFormatting>
  <conditionalFormatting sqref="C19">
    <cfRule type="expression" dxfId="154" priority="36">
      <formula>$E$19&gt;0</formula>
    </cfRule>
  </conditionalFormatting>
  <conditionalFormatting sqref="C20">
    <cfRule type="expression" dxfId="153" priority="37">
      <formula>$E$20&gt;0</formula>
    </cfRule>
  </conditionalFormatting>
  <conditionalFormatting sqref="C21">
    <cfRule type="expression" dxfId="152" priority="38">
      <formula>$E$21&gt;0</formula>
    </cfRule>
  </conditionalFormatting>
  <conditionalFormatting sqref="C22">
    <cfRule type="expression" dxfId="151" priority="39">
      <formula>$E$22&gt;0</formula>
    </cfRule>
  </conditionalFormatting>
  <conditionalFormatting sqref="C23">
    <cfRule type="expression" dxfId="150" priority="40">
      <formula>$E$23&gt;0</formula>
    </cfRule>
  </conditionalFormatting>
  <conditionalFormatting sqref="C24">
    <cfRule type="expression" dxfId="149" priority="41">
      <formula>$E$24&gt;0</formula>
    </cfRule>
  </conditionalFormatting>
  <conditionalFormatting sqref="C25">
    <cfRule type="expression" dxfId="148" priority="42">
      <formula>$E$25&gt;0</formula>
    </cfRule>
  </conditionalFormatting>
  <conditionalFormatting sqref="C15">
    <cfRule type="expression" dxfId="147" priority="43">
      <formula>$E$15&gt;0</formula>
    </cfRule>
  </conditionalFormatting>
  <conditionalFormatting sqref="E15">
    <cfRule type="cellIs" dxfId="146" priority="44" operator="greaterThan">
      <formula>0</formula>
    </cfRule>
  </conditionalFormatting>
  <conditionalFormatting sqref="E14">
    <cfRule type="cellIs" dxfId="145" priority="45" operator="greaterThan">
      <formula>0</formula>
    </cfRule>
  </conditionalFormatting>
  <conditionalFormatting sqref="E17">
    <cfRule type="cellIs" dxfId="144" priority="46" operator="greaterThan">
      <formula>0</formula>
    </cfRule>
  </conditionalFormatting>
  <conditionalFormatting sqref="E18">
    <cfRule type="cellIs" dxfId="143" priority="47" operator="greaterThan">
      <formula>0</formula>
    </cfRule>
  </conditionalFormatting>
  <conditionalFormatting sqref="E19">
    <cfRule type="cellIs" dxfId="142" priority="48" operator="greaterThan">
      <formula>0</formula>
    </cfRule>
  </conditionalFormatting>
  <conditionalFormatting sqref="E20">
    <cfRule type="cellIs" dxfId="141" priority="49" operator="greaterThan">
      <formula>0</formula>
    </cfRule>
  </conditionalFormatting>
  <conditionalFormatting sqref="E21">
    <cfRule type="cellIs" dxfId="140" priority="50" operator="greaterThan">
      <formula>0</formula>
    </cfRule>
  </conditionalFormatting>
  <conditionalFormatting sqref="E22">
    <cfRule type="cellIs" dxfId="139" priority="51" operator="greaterThan">
      <formula>0</formula>
    </cfRule>
  </conditionalFormatting>
  <conditionalFormatting sqref="E23">
    <cfRule type="cellIs" dxfId="138" priority="52" operator="greaterThan">
      <formula>0</formula>
    </cfRule>
  </conditionalFormatting>
  <conditionalFormatting sqref="E24">
    <cfRule type="cellIs" dxfId="137" priority="53" operator="greaterThan">
      <formula>0</formula>
    </cfRule>
  </conditionalFormatting>
  <conditionalFormatting sqref="E25">
    <cfRule type="cellIs" dxfId="136" priority="54" operator="greaterThan">
      <formula>0</formula>
    </cfRule>
  </conditionalFormatting>
  <conditionalFormatting sqref="I14">
    <cfRule type="cellIs" dxfId="135" priority="55" operator="greaterThan">
      <formula>0</formula>
    </cfRule>
  </conditionalFormatting>
  <conditionalFormatting sqref="I15">
    <cfRule type="cellIs" dxfId="134" priority="56" operator="greaterThan">
      <formula>0</formula>
    </cfRule>
  </conditionalFormatting>
  <conditionalFormatting sqref="I16">
    <cfRule type="cellIs" dxfId="133" priority="57" operator="greaterThan">
      <formula>0</formula>
    </cfRule>
  </conditionalFormatting>
  <conditionalFormatting sqref="I17">
    <cfRule type="cellIs" dxfId="132" priority="58" operator="greaterThan">
      <formula>0</formula>
    </cfRule>
  </conditionalFormatting>
  <conditionalFormatting sqref="I18">
    <cfRule type="cellIs" dxfId="131" priority="59" operator="greaterThan">
      <formula>0</formula>
    </cfRule>
  </conditionalFormatting>
  <conditionalFormatting sqref="I19">
    <cfRule type="cellIs" dxfId="130" priority="60" operator="greaterThan">
      <formula>0</formula>
    </cfRule>
  </conditionalFormatting>
  <conditionalFormatting sqref="I20">
    <cfRule type="cellIs" dxfId="129" priority="61" operator="greaterThan">
      <formula>0</formula>
    </cfRule>
  </conditionalFormatting>
  <conditionalFormatting sqref="I21">
    <cfRule type="cellIs" dxfId="128" priority="62" operator="greaterThan">
      <formula>0</formula>
    </cfRule>
  </conditionalFormatting>
  <conditionalFormatting sqref="I22">
    <cfRule type="cellIs" dxfId="127" priority="63" operator="greaterThan">
      <formula>0</formula>
    </cfRule>
  </conditionalFormatting>
  <conditionalFormatting sqref="I23">
    <cfRule type="cellIs" dxfId="126" priority="64" operator="greaterThan">
      <formula>0</formula>
    </cfRule>
  </conditionalFormatting>
  <conditionalFormatting sqref="I24">
    <cfRule type="cellIs" dxfId="125" priority="65" operator="greaterThan">
      <formula>0</formula>
    </cfRule>
  </conditionalFormatting>
  <conditionalFormatting sqref="I25">
    <cfRule type="cellIs" dxfId="124" priority="66" operator="greaterThan">
      <formula>0</formula>
    </cfRule>
  </conditionalFormatting>
  <printOptions horizontalCentered="1"/>
  <pageMargins left="0.19685039370078741" right="0.11811023622047245" top="0.19685039370078741" bottom="0.19685039370078741" header="0" footer="0"/>
  <pageSetup paperSize="9" scale="53" fitToHeight="0" orientation="landscape" r:id="rId1"/>
  <headerFooter>
    <oddFooter>&amp;C&amp;A » Página -&amp;P  de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83"/>
  <sheetViews>
    <sheetView workbookViewId="0">
      <selection activeCell="C30" sqref="C30:H30"/>
    </sheetView>
  </sheetViews>
  <sheetFormatPr defaultColWidth="14.42578125" defaultRowHeight="15" customHeight="1"/>
  <cols>
    <col min="1" max="1" width="4.42578125" customWidth="1"/>
    <col min="2" max="2" width="74.85546875" customWidth="1"/>
    <col min="3" max="3" width="10" customWidth="1"/>
    <col min="4" max="4" width="11.5703125" customWidth="1"/>
    <col min="5" max="5" width="13.85546875" customWidth="1"/>
    <col min="6" max="6" width="15.28515625" customWidth="1"/>
    <col min="7" max="7" width="7.5703125" customWidth="1"/>
    <col min="8" max="8" width="14.28515625" customWidth="1"/>
  </cols>
  <sheetData>
    <row r="1" spans="1:9" ht="18" customHeight="1">
      <c r="A1" s="525"/>
      <c r="B1" s="1029" t="s">
        <v>342</v>
      </c>
      <c r="C1" s="947"/>
      <c r="D1" s="947"/>
      <c r="E1" s="947"/>
      <c r="F1" s="947"/>
      <c r="G1" s="947"/>
      <c r="H1" s="947"/>
    </row>
    <row r="2" spans="1:9" ht="9.75" customHeight="1">
      <c r="A2" s="525"/>
      <c r="B2" s="526"/>
      <c r="C2" s="526"/>
      <c r="D2" s="527"/>
      <c r="E2" s="526"/>
      <c r="F2" s="526"/>
      <c r="G2" s="526"/>
      <c r="H2" s="526"/>
    </row>
    <row r="3" spans="1:9" ht="9.75" customHeight="1">
      <c r="A3" s="525"/>
      <c r="B3" s="528" t="s">
        <v>343</v>
      </c>
      <c r="C3" s="526"/>
      <c r="D3" s="527"/>
      <c r="E3" s="526"/>
      <c r="F3" s="526"/>
      <c r="G3" s="526"/>
      <c r="H3" s="526"/>
    </row>
    <row r="4" spans="1:9" ht="30" customHeight="1">
      <c r="A4" s="525"/>
      <c r="B4" s="1030" t="s">
        <v>344</v>
      </c>
      <c r="C4" s="949"/>
      <c r="D4" s="949"/>
      <c r="E4" s="949"/>
      <c r="F4" s="949"/>
      <c r="G4" s="949"/>
      <c r="H4" s="950"/>
    </row>
    <row r="5" spans="1:9" ht="15.75" customHeight="1">
      <c r="A5" s="1031" t="s">
        <v>345</v>
      </c>
      <c r="B5" s="947"/>
      <c r="C5" s="947"/>
      <c r="D5" s="947"/>
      <c r="E5" s="947"/>
      <c r="F5" s="947"/>
      <c r="G5" s="947"/>
      <c r="H5" s="947"/>
    </row>
    <row r="6" spans="1:9" ht="42" customHeight="1">
      <c r="A6" s="529" t="s">
        <v>346</v>
      </c>
      <c r="B6" s="530" t="s">
        <v>347</v>
      </c>
      <c r="C6" s="530" t="s">
        <v>348</v>
      </c>
      <c r="D6" s="530" t="s">
        <v>349</v>
      </c>
      <c r="E6" s="530" t="s">
        <v>350</v>
      </c>
      <c r="F6" s="530" t="s">
        <v>351</v>
      </c>
      <c r="G6" s="1032" t="s">
        <v>352</v>
      </c>
      <c r="H6" s="950"/>
      <c r="I6" s="531" t="s">
        <v>353</v>
      </c>
    </row>
    <row r="7" spans="1:9" ht="15.75" customHeight="1">
      <c r="A7" s="532">
        <v>1</v>
      </c>
      <c r="B7" s="533">
        <v>1</v>
      </c>
      <c r="C7" s="534">
        <v>1</v>
      </c>
      <c r="D7" s="535">
        <v>1</v>
      </c>
      <c r="E7" s="536">
        <v>1</v>
      </c>
      <c r="F7" s="537"/>
      <c r="G7" s="538">
        <f>Insumos_Base!F4</f>
        <v>0</v>
      </c>
      <c r="H7" s="538">
        <f>Insumos_Base!G4</f>
        <v>0</v>
      </c>
      <c r="I7" s="539" t="s">
        <v>354</v>
      </c>
    </row>
    <row r="8" spans="1:9" ht="15.75" customHeight="1">
      <c r="A8" s="540">
        <f>Insumos_Base!A5</f>
        <v>0</v>
      </c>
      <c r="B8" s="541">
        <f>Insumos_Base!C5</f>
        <v>0</v>
      </c>
      <c r="C8" s="542">
        <f>Insumos_Base!D5</f>
        <v>0</v>
      </c>
      <c r="D8" s="543">
        <f>Insumos_Base!E5</f>
        <v>0</v>
      </c>
      <c r="E8" s="544">
        <f>Insumos_Base!H5</f>
        <v>0</v>
      </c>
      <c r="F8" s="545"/>
      <c r="G8" s="538">
        <f>Insumos_Base!F5</f>
        <v>0</v>
      </c>
      <c r="H8" s="538">
        <f>Insumos_Base!G5</f>
        <v>0</v>
      </c>
      <c r="I8" s="539" t="s">
        <v>354</v>
      </c>
    </row>
    <row r="9" spans="1:9" ht="15.75" customHeight="1">
      <c r="A9" s="540">
        <f>Insumos_Base!A6</f>
        <v>0</v>
      </c>
      <c r="B9" s="541">
        <f>Insumos_Base!C6</f>
        <v>0</v>
      </c>
      <c r="C9" s="542">
        <f>Insumos_Base!D6</f>
        <v>0</v>
      </c>
      <c r="D9" s="543">
        <f>Insumos_Base!E6</f>
        <v>0</v>
      </c>
      <c r="E9" s="544">
        <f>Insumos_Base!H6</f>
        <v>0</v>
      </c>
      <c r="F9" s="545"/>
      <c r="G9" s="538">
        <f>Insumos_Base!F6</f>
        <v>0</v>
      </c>
      <c r="H9" s="538">
        <f>Insumos_Base!G6</f>
        <v>0</v>
      </c>
      <c r="I9" s="539" t="s">
        <v>354</v>
      </c>
    </row>
    <row r="10" spans="1:9" ht="15.75" customHeight="1">
      <c r="A10" s="540">
        <f>Insumos_Base!A7</f>
        <v>0</v>
      </c>
      <c r="B10" s="541">
        <f>Insumos_Base!C7</f>
        <v>0</v>
      </c>
      <c r="C10" s="542">
        <f>Insumos_Base!D7</f>
        <v>0</v>
      </c>
      <c r="D10" s="543">
        <f>Insumos_Base!E7</f>
        <v>0</v>
      </c>
      <c r="E10" s="544">
        <f>Insumos_Base!H7</f>
        <v>0</v>
      </c>
      <c r="F10" s="545"/>
      <c r="G10" s="538">
        <f>Insumos_Base!F7</f>
        <v>0</v>
      </c>
      <c r="H10" s="538">
        <f>Insumos_Base!G7</f>
        <v>0</v>
      </c>
      <c r="I10" s="539" t="s">
        <v>354</v>
      </c>
    </row>
    <row r="11" spans="1:9" ht="15.75" customHeight="1">
      <c r="A11" s="540">
        <f>Insumos_Base!A8</f>
        <v>0</v>
      </c>
      <c r="B11" s="541">
        <f>Insumos_Base!C8</f>
        <v>0</v>
      </c>
      <c r="C11" s="542">
        <f>Insumos_Base!D8</f>
        <v>0</v>
      </c>
      <c r="D11" s="543">
        <f>Insumos_Base!E8</f>
        <v>0</v>
      </c>
      <c r="E11" s="544">
        <f>Insumos_Base!H8</f>
        <v>0</v>
      </c>
      <c r="F11" s="545"/>
      <c r="G11" s="538">
        <f>Insumos_Base!F8</f>
        <v>0</v>
      </c>
      <c r="H11" s="538">
        <f>Insumos_Base!G8</f>
        <v>0</v>
      </c>
      <c r="I11" s="539" t="s">
        <v>354</v>
      </c>
    </row>
    <row r="12" spans="1:9" ht="15.75" customHeight="1">
      <c r="A12" s="540">
        <f>Insumos_Base!A9</f>
        <v>0</v>
      </c>
      <c r="B12" s="541">
        <f>Insumos_Base!C9</f>
        <v>0</v>
      </c>
      <c r="C12" s="542">
        <f>Insumos_Base!D9</f>
        <v>0</v>
      </c>
      <c r="D12" s="543">
        <f>Insumos_Base!E9</f>
        <v>0</v>
      </c>
      <c r="E12" s="544">
        <f>Insumos_Base!H9</f>
        <v>0</v>
      </c>
      <c r="F12" s="545"/>
      <c r="G12" s="538">
        <f>Insumos_Base!F9</f>
        <v>0</v>
      </c>
      <c r="H12" s="538">
        <f>Insumos_Base!G9</f>
        <v>0</v>
      </c>
      <c r="I12" s="539" t="s">
        <v>354</v>
      </c>
    </row>
    <row r="13" spans="1:9" ht="15.75" customHeight="1">
      <c r="A13" s="540">
        <f>Insumos_Base!A10</f>
        <v>0</v>
      </c>
      <c r="B13" s="541">
        <f>Insumos_Base!C10</f>
        <v>0</v>
      </c>
      <c r="C13" s="542">
        <f>Insumos_Base!D10</f>
        <v>0</v>
      </c>
      <c r="D13" s="543">
        <f>Insumos_Base!E10</f>
        <v>0</v>
      </c>
      <c r="E13" s="544">
        <f>Insumos_Base!H10</f>
        <v>0</v>
      </c>
      <c r="F13" s="545"/>
      <c r="G13" s="538">
        <f>Insumos_Base!F10</f>
        <v>0</v>
      </c>
      <c r="H13" s="538">
        <f>Insumos_Base!G10</f>
        <v>0</v>
      </c>
      <c r="I13" s="539" t="s">
        <v>354</v>
      </c>
    </row>
    <row r="14" spans="1:9" ht="15.75" customHeight="1">
      <c r="A14" s="540">
        <f>Insumos_Base!A11</f>
        <v>0</v>
      </c>
      <c r="B14" s="541">
        <f>Insumos_Base!C11</f>
        <v>0</v>
      </c>
      <c r="C14" s="542">
        <f>Insumos_Base!D11</f>
        <v>0</v>
      </c>
      <c r="D14" s="543">
        <f>Insumos_Base!E11</f>
        <v>0</v>
      </c>
      <c r="E14" s="544">
        <f>Insumos_Base!H11</f>
        <v>0</v>
      </c>
      <c r="F14" s="545"/>
      <c r="G14" s="538">
        <f>Insumos_Base!F11</f>
        <v>0</v>
      </c>
      <c r="H14" s="538">
        <f>Insumos_Base!G11</f>
        <v>0</v>
      </c>
      <c r="I14" s="539" t="s">
        <v>354</v>
      </c>
    </row>
    <row r="15" spans="1:9" ht="15.75" customHeight="1">
      <c r="A15" s="540">
        <f>Insumos_Base!A12</f>
        <v>0</v>
      </c>
      <c r="B15" s="541">
        <f>Insumos_Base!C12</f>
        <v>0</v>
      </c>
      <c r="C15" s="542">
        <f>Insumos_Base!D12</f>
        <v>0</v>
      </c>
      <c r="D15" s="543">
        <f>Insumos_Base!E12</f>
        <v>0</v>
      </c>
      <c r="E15" s="544">
        <f>Insumos_Base!H12</f>
        <v>0</v>
      </c>
      <c r="F15" s="545"/>
      <c r="G15" s="538">
        <f>Insumos_Base!F12</f>
        <v>0</v>
      </c>
      <c r="H15" s="538">
        <f>Insumos_Base!G12</f>
        <v>0</v>
      </c>
      <c r="I15" s="539" t="s">
        <v>354</v>
      </c>
    </row>
    <row r="16" spans="1:9" ht="15.75" customHeight="1">
      <c r="A16" s="540">
        <f>Insumos_Base!A13</f>
        <v>0</v>
      </c>
      <c r="B16" s="541">
        <f>Insumos_Base!C13</f>
        <v>0</v>
      </c>
      <c r="C16" s="542">
        <f>Insumos_Base!D13</f>
        <v>0</v>
      </c>
      <c r="D16" s="543">
        <f>Insumos_Base!E13</f>
        <v>0</v>
      </c>
      <c r="E16" s="544">
        <f>Insumos_Base!H13</f>
        <v>0</v>
      </c>
      <c r="F16" s="545"/>
      <c r="G16" s="538">
        <f>Insumos_Base!F13</f>
        <v>0</v>
      </c>
      <c r="H16" s="538">
        <f>Insumos_Base!G13</f>
        <v>0</v>
      </c>
      <c r="I16" s="539" t="s">
        <v>354</v>
      </c>
    </row>
    <row r="17" spans="1:9" ht="15.75" customHeight="1">
      <c r="A17" s="546">
        <f>Insumos_Base!A14</f>
        <v>0</v>
      </c>
      <c r="B17" s="547">
        <f>Insumos_Base!C14</f>
        <v>0</v>
      </c>
      <c r="C17" s="548">
        <f>Insumos_Base!D14</f>
        <v>0</v>
      </c>
      <c r="D17" s="549">
        <f>Insumos_Base!E14</f>
        <v>0</v>
      </c>
      <c r="E17" s="550">
        <f>Insumos_Base!H14</f>
        <v>0</v>
      </c>
      <c r="F17" s="551"/>
      <c r="G17" s="552">
        <f>Insumos_Base!F14</f>
        <v>0</v>
      </c>
      <c r="H17" s="552">
        <f>Insumos_Base!G14</f>
        <v>0</v>
      </c>
      <c r="I17" s="553" t="s">
        <v>355</v>
      </c>
    </row>
    <row r="18" spans="1:9" ht="15.75" customHeight="1">
      <c r="A18" s="546">
        <f>Insumos_Base!A15</f>
        <v>0</v>
      </c>
      <c r="B18" s="547">
        <f>Insumos_Base!C15</f>
        <v>0</v>
      </c>
      <c r="C18" s="548">
        <f>Insumos_Base!D15</f>
        <v>0</v>
      </c>
      <c r="D18" s="549">
        <f>Insumos_Base!E15</f>
        <v>0</v>
      </c>
      <c r="E18" s="550">
        <f>Insumos_Base!H15</f>
        <v>0</v>
      </c>
      <c r="F18" s="551"/>
      <c r="G18" s="552">
        <f>Insumos_Base!F15</f>
        <v>0</v>
      </c>
      <c r="H18" s="552">
        <f>Insumos_Base!G15</f>
        <v>0</v>
      </c>
      <c r="I18" s="553" t="s">
        <v>355</v>
      </c>
    </row>
    <row r="19" spans="1:9" ht="15.75" customHeight="1">
      <c r="A19" s="540"/>
      <c r="B19" s="541"/>
      <c r="C19" s="542"/>
      <c r="D19" s="543"/>
      <c r="E19" s="554"/>
      <c r="F19" s="545"/>
      <c r="G19" s="538"/>
      <c r="H19" s="538"/>
      <c r="I19" s="555"/>
    </row>
    <row r="20" spans="1:9" ht="15.75" customHeight="1">
      <c r="A20" s="540"/>
      <c r="B20" s="541"/>
      <c r="C20" s="542"/>
      <c r="D20" s="543"/>
      <c r="E20" s="554"/>
      <c r="F20" s="545"/>
      <c r="G20" s="538"/>
      <c r="H20" s="538"/>
      <c r="I20" s="555"/>
    </row>
    <row r="21" spans="1:9" ht="15.75" customHeight="1">
      <c r="A21" s="540"/>
      <c r="B21" s="541"/>
      <c r="C21" s="542"/>
      <c r="D21" s="543"/>
      <c r="E21" s="554"/>
      <c r="F21" s="545"/>
      <c r="G21" s="538"/>
      <c r="H21" s="538"/>
      <c r="I21" s="555"/>
    </row>
    <row r="22" spans="1:9" ht="15.75" customHeight="1">
      <c r="A22" s="540"/>
      <c r="B22" s="541"/>
      <c r="C22" s="542"/>
      <c r="D22" s="543"/>
      <c r="E22" s="554"/>
      <c r="F22" s="545"/>
      <c r="G22" s="538"/>
      <c r="H22" s="538"/>
      <c r="I22" s="555"/>
    </row>
    <row r="23" spans="1:9" ht="15.75" customHeight="1">
      <c r="A23" s="1033" t="s">
        <v>356</v>
      </c>
      <c r="B23" s="950"/>
      <c r="C23" s="1034">
        <f>SUM(F7:F22)</f>
        <v>0</v>
      </c>
      <c r="D23" s="949"/>
      <c r="E23" s="949"/>
      <c r="F23" s="949"/>
      <c r="G23" s="949"/>
      <c r="H23" s="950"/>
    </row>
    <row r="24" spans="1:9" ht="15.75" customHeight="1">
      <c r="A24" s="1"/>
      <c r="B24" s="1"/>
      <c r="C24" s="1"/>
      <c r="D24" s="1"/>
      <c r="E24" s="1"/>
      <c r="F24" s="1"/>
      <c r="G24" s="1"/>
      <c r="H24" s="1"/>
    </row>
    <row r="25" spans="1:9" ht="15.75" customHeight="1">
      <c r="A25" s="1"/>
      <c r="B25" s="1"/>
      <c r="C25" s="1"/>
      <c r="D25" s="1"/>
      <c r="E25" s="1"/>
      <c r="F25" s="1"/>
      <c r="G25" s="1"/>
      <c r="H25" s="1"/>
    </row>
    <row r="26" spans="1:9" ht="15.75" customHeight="1">
      <c r="A26" s="1"/>
      <c r="B26" s="1"/>
      <c r="C26" s="1"/>
      <c r="D26" s="1"/>
      <c r="E26" s="1"/>
      <c r="F26" s="1"/>
      <c r="G26" s="1"/>
      <c r="H26" s="1"/>
    </row>
    <row r="27" spans="1:9" ht="15.75" customHeight="1">
      <c r="A27" s="1"/>
      <c r="B27" s="1"/>
      <c r="C27" s="1"/>
      <c r="D27" s="1"/>
      <c r="E27" s="1"/>
      <c r="F27" s="1"/>
      <c r="G27" s="1"/>
      <c r="H27" s="1"/>
    </row>
    <row r="28" spans="1:9" ht="15.75" customHeight="1">
      <c r="A28" s="1"/>
      <c r="B28" s="1"/>
      <c r="C28" s="1"/>
      <c r="D28" s="1"/>
      <c r="E28" s="1"/>
      <c r="F28" s="1"/>
      <c r="G28" s="1"/>
      <c r="H28" s="1"/>
    </row>
    <row r="29" spans="1:9" ht="15.75" customHeight="1">
      <c r="A29" s="1"/>
      <c r="B29" s="1"/>
      <c r="C29" s="1"/>
      <c r="D29" s="1"/>
      <c r="E29" s="1"/>
      <c r="F29" s="1"/>
      <c r="G29" s="1"/>
      <c r="H29" s="1"/>
    </row>
    <row r="30" spans="1:9" ht="15.75" customHeight="1">
      <c r="A30" s="1"/>
      <c r="B30" s="1"/>
      <c r="C30" s="1"/>
      <c r="D30" s="1"/>
      <c r="E30" s="1"/>
      <c r="F30" s="1"/>
      <c r="G30" s="1"/>
      <c r="H30" s="1"/>
    </row>
    <row r="31" spans="1:9" ht="15.75" customHeight="1">
      <c r="A31" s="1"/>
      <c r="B31" s="1"/>
      <c r="C31" s="1"/>
      <c r="D31" s="1"/>
      <c r="E31" s="1"/>
      <c r="F31" s="1"/>
      <c r="G31" s="1"/>
      <c r="H31" s="1"/>
    </row>
    <row r="32" spans="1:9" ht="15.75" customHeight="1">
      <c r="A32" s="1"/>
      <c r="B32" s="1"/>
      <c r="C32" s="1"/>
      <c r="D32" s="1"/>
      <c r="E32" s="1"/>
      <c r="F32" s="1"/>
      <c r="G32" s="1"/>
      <c r="H32" s="1"/>
    </row>
    <row r="33" spans="1:8" ht="15.75" customHeight="1">
      <c r="A33" s="1"/>
      <c r="B33" s="1"/>
      <c r="C33" s="1"/>
      <c r="D33" s="1"/>
      <c r="E33" s="1"/>
      <c r="F33" s="1"/>
      <c r="G33" s="1"/>
      <c r="H33" s="1"/>
    </row>
    <row r="34" spans="1:8" ht="15.75" customHeight="1">
      <c r="A34" s="1"/>
      <c r="B34" s="1"/>
      <c r="C34" s="1"/>
      <c r="D34" s="1"/>
      <c r="E34" s="1"/>
      <c r="F34" s="1"/>
      <c r="G34" s="1"/>
      <c r="H34" s="1"/>
    </row>
    <row r="35" spans="1:8" ht="15.75" customHeight="1">
      <c r="A35" s="1"/>
      <c r="B35" s="1"/>
      <c r="C35" s="1"/>
      <c r="D35" s="1"/>
      <c r="E35" s="1"/>
      <c r="F35" s="1"/>
      <c r="G35" s="1"/>
      <c r="H35" s="1"/>
    </row>
    <row r="36" spans="1:8" ht="15.75" customHeight="1">
      <c r="A36" s="1"/>
      <c r="B36" s="1"/>
      <c r="C36" s="1"/>
      <c r="D36" s="1"/>
      <c r="E36" s="1"/>
      <c r="F36" s="1"/>
      <c r="G36" s="1"/>
      <c r="H36" s="1"/>
    </row>
    <row r="37" spans="1:8" ht="15.75" customHeight="1">
      <c r="A37" s="1"/>
      <c r="B37" s="1"/>
      <c r="C37" s="1"/>
      <c r="D37" s="1"/>
      <c r="E37" s="1"/>
      <c r="F37" s="1"/>
      <c r="G37" s="1"/>
      <c r="H37" s="1"/>
    </row>
    <row r="38" spans="1:8" ht="15.75" customHeight="1">
      <c r="A38" s="1"/>
      <c r="B38" s="1"/>
      <c r="C38" s="1"/>
      <c r="D38" s="1"/>
      <c r="E38" s="1"/>
      <c r="F38" s="1"/>
      <c r="G38" s="1"/>
      <c r="H38" s="1"/>
    </row>
    <row r="39" spans="1:8" ht="15.75" customHeight="1">
      <c r="A39" s="1"/>
      <c r="B39" s="1"/>
      <c r="C39" s="1"/>
      <c r="D39" s="1"/>
      <c r="E39" s="1"/>
      <c r="F39" s="1"/>
      <c r="G39" s="1"/>
      <c r="H39" s="1"/>
    </row>
    <row r="40" spans="1:8" ht="15.75" customHeight="1">
      <c r="A40" s="1"/>
      <c r="B40" s="1"/>
      <c r="C40" s="1"/>
      <c r="D40" s="1"/>
      <c r="E40" s="1"/>
      <c r="F40" s="1"/>
      <c r="G40" s="1"/>
      <c r="H40" s="1"/>
    </row>
    <row r="41" spans="1:8" ht="15.75" customHeight="1">
      <c r="A41" s="1"/>
      <c r="B41" s="1"/>
      <c r="C41" s="1"/>
      <c r="D41" s="1"/>
      <c r="E41" s="1"/>
      <c r="F41" s="1"/>
      <c r="G41" s="1"/>
      <c r="H41" s="1"/>
    </row>
    <row r="42" spans="1:8" ht="15.75" customHeight="1">
      <c r="A42" s="1"/>
      <c r="B42" s="1"/>
      <c r="C42" s="1"/>
      <c r="D42" s="1"/>
      <c r="E42" s="1"/>
      <c r="F42" s="1"/>
      <c r="G42" s="1"/>
      <c r="H42" s="1"/>
    </row>
    <row r="43" spans="1:8" ht="15.75" customHeight="1">
      <c r="A43" s="1"/>
      <c r="B43" s="1"/>
      <c r="C43" s="1"/>
      <c r="D43" s="1"/>
      <c r="E43" s="1"/>
      <c r="F43" s="1"/>
      <c r="G43" s="1"/>
      <c r="H43" s="1"/>
    </row>
    <row r="44" spans="1:8" ht="15.75" customHeight="1">
      <c r="A44" s="1"/>
      <c r="B44" s="1"/>
      <c r="C44" s="1"/>
      <c r="D44" s="1"/>
      <c r="E44" s="1"/>
      <c r="F44" s="1"/>
      <c r="G44" s="1"/>
      <c r="H44" s="1"/>
    </row>
    <row r="45" spans="1:8" ht="15.75" customHeight="1">
      <c r="A45" s="1"/>
      <c r="B45" s="1"/>
      <c r="C45" s="1"/>
      <c r="D45" s="1"/>
      <c r="E45" s="1"/>
      <c r="F45" s="1"/>
      <c r="G45" s="1"/>
      <c r="H45" s="1"/>
    </row>
    <row r="46" spans="1:8" ht="15.75" customHeight="1">
      <c r="A46" s="1"/>
      <c r="B46" s="1"/>
      <c r="C46" s="1"/>
      <c r="D46" s="1"/>
      <c r="E46" s="1"/>
      <c r="F46" s="1"/>
      <c r="G46" s="1"/>
      <c r="H46" s="1"/>
    </row>
    <row r="47" spans="1:8" ht="15.75" customHeight="1">
      <c r="A47" s="1"/>
      <c r="B47" s="1"/>
      <c r="C47" s="1"/>
      <c r="D47" s="1"/>
      <c r="E47" s="1"/>
      <c r="F47" s="1"/>
      <c r="G47" s="1"/>
      <c r="H47" s="1"/>
    </row>
    <row r="48" spans="1:8" ht="15.75" customHeight="1">
      <c r="A48" s="1"/>
      <c r="B48" s="1"/>
      <c r="C48" s="1"/>
      <c r="D48" s="1"/>
      <c r="E48" s="1"/>
      <c r="F48" s="1"/>
      <c r="G48" s="1"/>
      <c r="H48" s="1"/>
    </row>
    <row r="49" spans="1:8" ht="15.75" customHeight="1">
      <c r="A49" s="1"/>
      <c r="B49" s="1"/>
      <c r="C49" s="1"/>
      <c r="D49" s="1"/>
      <c r="E49" s="1"/>
      <c r="F49" s="1"/>
      <c r="G49" s="1"/>
      <c r="H49" s="1"/>
    </row>
    <row r="50" spans="1:8" ht="15.75" customHeight="1">
      <c r="A50" s="1"/>
      <c r="B50" s="1"/>
      <c r="C50" s="1"/>
      <c r="D50" s="1"/>
      <c r="E50" s="1"/>
      <c r="F50" s="1"/>
      <c r="G50" s="1"/>
      <c r="H50" s="1"/>
    </row>
    <row r="51" spans="1:8" ht="15.75" customHeight="1">
      <c r="A51" s="1"/>
      <c r="B51" s="1"/>
      <c r="C51" s="1"/>
      <c r="D51" s="1"/>
      <c r="E51" s="1"/>
      <c r="F51" s="1"/>
      <c r="G51" s="1"/>
      <c r="H51" s="1"/>
    </row>
    <row r="52" spans="1:8" ht="15.75" customHeight="1">
      <c r="A52" s="1"/>
      <c r="B52" s="1"/>
      <c r="C52" s="1"/>
      <c r="D52" s="1"/>
      <c r="E52" s="1"/>
      <c r="F52" s="1"/>
      <c r="G52" s="1"/>
      <c r="H52" s="1"/>
    </row>
    <row r="53" spans="1:8" ht="15.75" customHeight="1">
      <c r="A53" s="1"/>
      <c r="B53" s="1"/>
      <c r="C53" s="1"/>
      <c r="D53" s="1"/>
      <c r="E53" s="1"/>
      <c r="F53" s="1"/>
      <c r="G53" s="1"/>
      <c r="H53" s="1"/>
    </row>
    <row r="54" spans="1:8" ht="15.75" customHeight="1">
      <c r="A54" s="1"/>
      <c r="B54" s="1"/>
      <c r="C54" s="1"/>
      <c r="D54" s="1"/>
      <c r="E54" s="1"/>
      <c r="F54" s="1"/>
      <c r="G54" s="1"/>
      <c r="H54" s="1"/>
    </row>
    <row r="55" spans="1:8" ht="15.75" customHeight="1">
      <c r="A55" s="1"/>
      <c r="B55" s="1"/>
      <c r="C55" s="1"/>
      <c r="D55" s="1"/>
      <c r="E55" s="1"/>
      <c r="F55" s="1"/>
      <c r="G55" s="1"/>
      <c r="H55" s="1"/>
    </row>
    <row r="56" spans="1:8" ht="15.75" customHeight="1">
      <c r="A56" s="1"/>
      <c r="B56" s="1"/>
      <c r="C56" s="1"/>
      <c r="D56" s="1"/>
      <c r="E56" s="1"/>
      <c r="F56" s="1"/>
      <c r="G56" s="1"/>
      <c r="H56" s="1"/>
    </row>
    <row r="57" spans="1:8" ht="15.75" customHeight="1">
      <c r="A57" s="1"/>
      <c r="B57" s="1"/>
      <c r="C57" s="1"/>
      <c r="D57" s="1"/>
      <c r="E57" s="1"/>
      <c r="F57" s="1"/>
      <c r="G57" s="1"/>
      <c r="H57" s="1"/>
    </row>
    <row r="58" spans="1:8" ht="15.75" customHeight="1">
      <c r="A58" s="1"/>
      <c r="B58" s="1"/>
      <c r="C58" s="1"/>
      <c r="D58" s="1"/>
      <c r="E58" s="1"/>
      <c r="F58" s="1"/>
      <c r="G58" s="1"/>
      <c r="H58" s="1"/>
    </row>
    <row r="59" spans="1:8" ht="15.75" customHeight="1">
      <c r="A59" s="1"/>
      <c r="B59" s="1"/>
      <c r="C59" s="1"/>
      <c r="D59" s="1"/>
      <c r="E59" s="1"/>
      <c r="F59" s="1"/>
      <c r="G59" s="1"/>
      <c r="H59" s="1"/>
    </row>
    <row r="60" spans="1:8" ht="15.75" customHeight="1">
      <c r="A60" s="1"/>
      <c r="B60" s="1"/>
      <c r="C60" s="1"/>
      <c r="D60" s="1"/>
      <c r="E60" s="1"/>
      <c r="F60" s="1"/>
      <c r="G60" s="1"/>
      <c r="H60" s="1"/>
    </row>
    <row r="61" spans="1:8" ht="15.75" customHeight="1">
      <c r="A61" s="1"/>
      <c r="B61" s="1"/>
      <c r="C61" s="1"/>
      <c r="D61" s="1"/>
      <c r="E61" s="1"/>
      <c r="F61" s="1"/>
      <c r="G61" s="1"/>
      <c r="H61" s="1"/>
    </row>
    <row r="62" spans="1:8" ht="15.75" customHeight="1">
      <c r="A62" s="1"/>
      <c r="B62" s="1"/>
      <c r="C62" s="1"/>
      <c r="D62" s="1"/>
      <c r="E62" s="1"/>
      <c r="F62" s="1"/>
      <c r="G62" s="1"/>
      <c r="H62" s="1"/>
    </row>
    <row r="63" spans="1:8" ht="15.75" customHeight="1">
      <c r="A63" s="1"/>
      <c r="B63" s="1"/>
      <c r="C63" s="1"/>
      <c r="D63" s="1"/>
      <c r="E63" s="1"/>
      <c r="F63" s="1"/>
      <c r="G63" s="1"/>
      <c r="H63" s="1"/>
    </row>
    <row r="64" spans="1:8" ht="15.75" customHeight="1">
      <c r="A64" s="1"/>
      <c r="B64" s="1"/>
      <c r="C64" s="1"/>
      <c r="D64" s="1"/>
      <c r="E64" s="1"/>
      <c r="F64" s="1"/>
      <c r="G64" s="1"/>
      <c r="H64" s="1"/>
    </row>
    <row r="65" spans="1:8" ht="15.75" customHeight="1">
      <c r="A65" s="1"/>
      <c r="B65" s="1"/>
      <c r="C65" s="1"/>
      <c r="D65" s="1"/>
      <c r="E65" s="1"/>
      <c r="F65" s="1"/>
      <c r="G65" s="1"/>
      <c r="H65" s="1"/>
    </row>
    <row r="66" spans="1:8" ht="15.75" customHeight="1">
      <c r="A66" s="1"/>
      <c r="B66" s="1"/>
      <c r="C66" s="1"/>
      <c r="D66" s="1"/>
      <c r="E66" s="1"/>
      <c r="F66" s="1"/>
      <c r="G66" s="1"/>
      <c r="H66" s="1"/>
    </row>
    <row r="67" spans="1:8" ht="15.75" customHeight="1">
      <c r="A67" s="1"/>
      <c r="B67" s="1"/>
      <c r="C67" s="1"/>
      <c r="D67" s="1"/>
      <c r="E67" s="1"/>
      <c r="F67" s="1"/>
      <c r="G67" s="1"/>
      <c r="H67" s="1"/>
    </row>
    <row r="68" spans="1:8" ht="15.75" customHeight="1">
      <c r="A68" s="1"/>
      <c r="B68" s="1"/>
      <c r="C68" s="1"/>
      <c r="D68" s="1"/>
      <c r="E68" s="1"/>
      <c r="F68" s="1"/>
      <c r="G68" s="1"/>
      <c r="H68" s="1"/>
    </row>
    <row r="69" spans="1:8" ht="15.75" customHeight="1">
      <c r="A69" s="1"/>
      <c r="B69" s="1"/>
      <c r="C69" s="1"/>
      <c r="D69" s="1"/>
      <c r="E69" s="1"/>
      <c r="F69" s="1"/>
      <c r="G69" s="1"/>
      <c r="H69" s="1"/>
    </row>
    <row r="70" spans="1:8" ht="15.75" customHeight="1">
      <c r="A70" s="1"/>
      <c r="B70" s="1"/>
      <c r="C70" s="1"/>
      <c r="D70" s="1"/>
      <c r="E70" s="1"/>
      <c r="F70" s="1"/>
      <c r="G70" s="1"/>
      <c r="H70" s="1"/>
    </row>
    <row r="71" spans="1:8" ht="15.75" customHeight="1">
      <c r="A71" s="1"/>
      <c r="B71" s="1"/>
      <c r="C71" s="1"/>
      <c r="D71" s="1"/>
      <c r="E71" s="1"/>
      <c r="F71" s="1"/>
      <c r="G71" s="1"/>
      <c r="H71" s="1"/>
    </row>
    <row r="72" spans="1:8" ht="15.75" customHeight="1">
      <c r="A72" s="1"/>
      <c r="B72" s="1"/>
      <c r="C72" s="1"/>
      <c r="D72" s="1"/>
      <c r="E72" s="1"/>
      <c r="F72" s="1"/>
      <c r="G72" s="1"/>
      <c r="H72" s="1"/>
    </row>
    <row r="73" spans="1:8" ht="15.75" customHeight="1">
      <c r="A73" s="1"/>
      <c r="B73" s="1"/>
      <c r="C73" s="1"/>
      <c r="D73" s="1"/>
      <c r="E73" s="1"/>
      <c r="F73" s="1"/>
      <c r="G73" s="1"/>
      <c r="H73" s="1"/>
    </row>
    <row r="74" spans="1:8" ht="15.75" customHeight="1">
      <c r="A74" s="1"/>
      <c r="B74" s="1"/>
      <c r="C74" s="1"/>
      <c r="D74" s="1"/>
      <c r="E74" s="1"/>
      <c r="F74" s="1"/>
      <c r="G74" s="1"/>
      <c r="H74" s="1"/>
    </row>
    <row r="75" spans="1:8" ht="15.75" customHeight="1">
      <c r="A75" s="1"/>
      <c r="B75" s="1"/>
      <c r="C75" s="1"/>
      <c r="D75" s="1"/>
      <c r="E75" s="1"/>
      <c r="F75" s="1"/>
      <c r="G75" s="1"/>
      <c r="H75" s="1"/>
    </row>
    <row r="76" spans="1:8" ht="15.75" customHeight="1">
      <c r="A76" s="1"/>
      <c r="B76" s="1"/>
      <c r="C76" s="1"/>
      <c r="D76" s="1"/>
      <c r="E76" s="1"/>
      <c r="F76" s="1"/>
      <c r="G76" s="1"/>
      <c r="H76" s="1"/>
    </row>
    <row r="77" spans="1:8" ht="15.75" customHeight="1">
      <c r="A77" s="1"/>
      <c r="B77" s="1"/>
      <c r="C77" s="1"/>
      <c r="D77" s="1"/>
      <c r="E77" s="1"/>
      <c r="F77" s="1"/>
      <c r="G77" s="1"/>
      <c r="H77" s="1"/>
    </row>
    <row r="78" spans="1:8" ht="15.75" customHeight="1">
      <c r="A78" s="1"/>
      <c r="B78" s="1"/>
      <c r="C78" s="1"/>
      <c r="D78" s="1"/>
      <c r="E78" s="1"/>
      <c r="F78" s="1"/>
      <c r="G78" s="1"/>
      <c r="H78" s="1"/>
    </row>
    <row r="79" spans="1:8" ht="15.75" customHeight="1">
      <c r="A79" s="1"/>
      <c r="B79" s="1"/>
      <c r="C79" s="1"/>
      <c r="D79" s="1"/>
      <c r="E79" s="1"/>
      <c r="F79" s="1"/>
      <c r="G79" s="1"/>
      <c r="H79" s="1"/>
    </row>
    <row r="80" spans="1:8" ht="15.75" customHeight="1">
      <c r="A80" s="1"/>
      <c r="B80" s="1"/>
      <c r="C80" s="1"/>
      <c r="D80" s="1"/>
      <c r="E80" s="1"/>
      <c r="F80" s="1"/>
      <c r="G80" s="1"/>
      <c r="H80" s="1"/>
    </row>
    <row r="81" spans="1:8" ht="15.75" customHeight="1">
      <c r="A81" s="1"/>
      <c r="B81" s="1"/>
      <c r="C81" s="1"/>
      <c r="D81" s="1"/>
      <c r="E81" s="1"/>
      <c r="F81" s="1"/>
      <c r="G81" s="1"/>
      <c r="H81" s="1"/>
    </row>
    <row r="82" spans="1:8" ht="15.75" customHeight="1">
      <c r="A82" s="1"/>
      <c r="B82" s="1"/>
      <c r="C82" s="1"/>
      <c r="D82" s="1"/>
      <c r="E82" s="1"/>
      <c r="F82" s="1"/>
      <c r="G82" s="1"/>
      <c r="H82" s="1"/>
    </row>
    <row r="83" spans="1:8" ht="15.75" customHeight="1">
      <c r="A83" s="1"/>
      <c r="B83" s="1"/>
      <c r="C83" s="1"/>
      <c r="D83" s="1"/>
      <c r="E83" s="1"/>
      <c r="F83" s="1"/>
      <c r="G83" s="1"/>
      <c r="H83" s="1"/>
    </row>
    <row r="84" spans="1:8" ht="15.75" customHeight="1">
      <c r="A84" s="1"/>
      <c r="B84" s="1"/>
      <c r="C84" s="1"/>
      <c r="D84" s="1"/>
      <c r="E84" s="1"/>
      <c r="F84" s="1"/>
      <c r="G84" s="1"/>
      <c r="H84" s="1"/>
    </row>
    <row r="85" spans="1:8" ht="15.75" customHeight="1">
      <c r="A85" s="1"/>
      <c r="B85" s="1"/>
      <c r="C85" s="1"/>
      <c r="D85" s="1"/>
      <c r="E85" s="1"/>
      <c r="F85" s="1"/>
      <c r="G85" s="1"/>
      <c r="H85" s="1"/>
    </row>
    <row r="86" spans="1:8" ht="15.75" customHeight="1">
      <c r="A86" s="1"/>
      <c r="B86" s="1"/>
      <c r="C86" s="1"/>
      <c r="D86" s="1"/>
      <c r="E86" s="1"/>
      <c r="F86" s="1"/>
      <c r="G86" s="1"/>
      <c r="H86" s="1"/>
    </row>
    <row r="87" spans="1:8" ht="15.75" customHeight="1">
      <c r="A87" s="1"/>
      <c r="B87" s="1"/>
      <c r="C87" s="1"/>
      <c r="D87" s="1"/>
      <c r="E87" s="1"/>
      <c r="F87" s="1"/>
      <c r="G87" s="1"/>
      <c r="H87" s="1"/>
    </row>
    <row r="88" spans="1:8" ht="15.75" customHeight="1">
      <c r="A88" s="1"/>
      <c r="B88" s="1"/>
      <c r="C88" s="1"/>
      <c r="D88" s="1"/>
      <c r="E88" s="1"/>
      <c r="F88" s="1"/>
      <c r="G88" s="1"/>
      <c r="H88" s="1"/>
    </row>
    <row r="89" spans="1:8" ht="15.75" customHeight="1">
      <c r="A89" s="1"/>
      <c r="B89" s="1"/>
      <c r="C89" s="1"/>
      <c r="D89" s="1"/>
      <c r="E89" s="1"/>
      <c r="F89" s="1"/>
      <c r="G89" s="1"/>
      <c r="H89" s="1"/>
    </row>
    <row r="90" spans="1:8" ht="15.75" customHeight="1">
      <c r="A90" s="1"/>
      <c r="B90" s="1"/>
      <c r="C90" s="1"/>
      <c r="D90" s="1"/>
      <c r="E90" s="1"/>
      <c r="F90" s="1"/>
      <c r="G90" s="1"/>
      <c r="H90" s="1"/>
    </row>
    <row r="91" spans="1:8" ht="15.75" customHeight="1">
      <c r="A91" s="1"/>
      <c r="B91" s="1"/>
      <c r="C91" s="1"/>
      <c r="D91" s="1"/>
      <c r="E91" s="1"/>
      <c r="F91" s="1"/>
      <c r="G91" s="1"/>
      <c r="H91" s="1"/>
    </row>
    <row r="92" spans="1:8" ht="15.75" customHeight="1">
      <c r="A92" s="1"/>
      <c r="B92" s="1"/>
      <c r="C92" s="1"/>
      <c r="D92" s="1"/>
      <c r="E92" s="1"/>
      <c r="F92" s="1"/>
      <c r="G92" s="1"/>
      <c r="H92" s="1"/>
    </row>
    <row r="93" spans="1:8" ht="15.75" customHeight="1">
      <c r="A93" s="1"/>
      <c r="B93" s="1"/>
      <c r="C93" s="1"/>
      <c r="D93" s="1"/>
      <c r="E93" s="1"/>
      <c r="F93" s="1"/>
      <c r="G93" s="1"/>
      <c r="H93" s="1"/>
    </row>
    <row r="94" spans="1:8" ht="15.75" customHeight="1">
      <c r="A94" s="1"/>
      <c r="B94" s="1"/>
      <c r="C94" s="1"/>
      <c r="D94" s="1"/>
      <c r="E94" s="1"/>
      <c r="F94" s="1"/>
      <c r="G94" s="1"/>
      <c r="H94" s="1"/>
    </row>
    <row r="95" spans="1:8" ht="15.75" customHeight="1">
      <c r="A95" s="1"/>
      <c r="B95" s="1"/>
      <c r="C95" s="1"/>
      <c r="D95" s="1"/>
      <c r="E95" s="1"/>
      <c r="F95" s="1"/>
      <c r="G95" s="1"/>
      <c r="H95" s="1"/>
    </row>
    <row r="96" spans="1:8" ht="15.75" customHeight="1">
      <c r="A96" s="1"/>
      <c r="B96" s="1"/>
      <c r="C96" s="1"/>
      <c r="D96" s="1"/>
      <c r="E96" s="1"/>
      <c r="F96" s="1"/>
      <c r="G96" s="1"/>
      <c r="H96" s="1"/>
    </row>
    <row r="97" spans="1:8" ht="15.75" customHeight="1">
      <c r="A97" s="1"/>
      <c r="B97" s="1"/>
      <c r="C97" s="1"/>
      <c r="D97" s="1"/>
      <c r="E97" s="1"/>
      <c r="F97" s="1"/>
      <c r="G97" s="1"/>
      <c r="H97" s="1"/>
    </row>
    <row r="98" spans="1:8" ht="15.75" customHeight="1">
      <c r="A98" s="1"/>
      <c r="B98" s="1"/>
      <c r="C98" s="1"/>
      <c r="D98" s="1"/>
      <c r="E98" s="1"/>
      <c r="F98" s="1"/>
      <c r="G98" s="1"/>
      <c r="H98" s="1"/>
    </row>
    <row r="99" spans="1:8" ht="15.75" customHeight="1">
      <c r="A99" s="1"/>
      <c r="B99" s="1"/>
      <c r="C99" s="1"/>
      <c r="D99" s="1"/>
      <c r="E99" s="1"/>
      <c r="F99" s="1"/>
      <c r="G99" s="1"/>
      <c r="H99" s="1"/>
    </row>
    <row r="100" spans="1:8" ht="15.75" customHeight="1">
      <c r="A100" s="1"/>
      <c r="B100" s="1"/>
      <c r="C100" s="1"/>
      <c r="D100" s="1"/>
      <c r="E100" s="1"/>
      <c r="F100" s="1"/>
      <c r="G100" s="1"/>
      <c r="H100" s="1"/>
    </row>
    <row r="101" spans="1:8" ht="15.75" customHeight="1">
      <c r="A101" s="1"/>
      <c r="B101" s="1"/>
      <c r="C101" s="1"/>
      <c r="D101" s="1"/>
      <c r="E101" s="1"/>
      <c r="F101" s="1"/>
      <c r="G101" s="1"/>
      <c r="H101" s="1"/>
    </row>
    <row r="102" spans="1:8" ht="15.75" customHeight="1">
      <c r="A102" s="1"/>
      <c r="B102" s="1"/>
      <c r="C102" s="1"/>
      <c r="D102" s="1"/>
      <c r="E102" s="1"/>
      <c r="F102" s="1"/>
      <c r="G102" s="1"/>
      <c r="H102" s="1"/>
    </row>
    <row r="103" spans="1:8" ht="15.75" customHeight="1">
      <c r="A103" s="1"/>
      <c r="B103" s="1"/>
      <c r="C103" s="1"/>
      <c r="D103" s="1"/>
      <c r="E103" s="1"/>
      <c r="F103" s="1"/>
      <c r="G103" s="1"/>
      <c r="H103" s="1"/>
    </row>
    <row r="104" spans="1:8" ht="15.75" customHeight="1">
      <c r="A104" s="1"/>
      <c r="B104" s="1"/>
      <c r="C104" s="1"/>
      <c r="D104" s="1"/>
      <c r="E104" s="1"/>
      <c r="F104" s="1"/>
      <c r="G104" s="1"/>
      <c r="H104" s="1"/>
    </row>
    <row r="105" spans="1:8" ht="15.75" customHeight="1">
      <c r="A105" s="1"/>
      <c r="B105" s="1"/>
      <c r="C105" s="1"/>
      <c r="D105" s="1"/>
      <c r="E105" s="1"/>
      <c r="F105" s="1"/>
      <c r="G105" s="1"/>
      <c r="H105" s="1"/>
    </row>
    <row r="106" spans="1:8" ht="15.75" customHeight="1">
      <c r="A106" s="1"/>
      <c r="B106" s="1"/>
      <c r="C106" s="1"/>
      <c r="D106" s="1"/>
      <c r="E106" s="1"/>
      <c r="F106" s="1"/>
      <c r="G106" s="1"/>
      <c r="H106" s="1"/>
    </row>
    <row r="107" spans="1:8" ht="15.75" customHeight="1">
      <c r="A107" s="1"/>
      <c r="B107" s="1"/>
      <c r="C107" s="1"/>
      <c r="D107" s="1"/>
      <c r="E107" s="1"/>
      <c r="F107" s="1"/>
      <c r="G107" s="1"/>
      <c r="H107" s="1"/>
    </row>
    <row r="108" spans="1:8" ht="15.75" customHeight="1">
      <c r="A108" s="1"/>
      <c r="B108" s="1"/>
      <c r="C108" s="1"/>
      <c r="D108" s="1"/>
      <c r="E108" s="1"/>
      <c r="F108" s="1"/>
      <c r="G108" s="1"/>
      <c r="H108" s="1"/>
    </row>
    <row r="109" spans="1:8" ht="15.75" customHeight="1">
      <c r="A109" s="1"/>
      <c r="B109" s="1"/>
      <c r="C109" s="1"/>
      <c r="D109" s="1"/>
      <c r="E109" s="1"/>
      <c r="F109" s="1"/>
      <c r="G109" s="1"/>
      <c r="H109" s="1"/>
    </row>
    <row r="110" spans="1:8" ht="15.75" customHeight="1">
      <c r="A110" s="1"/>
      <c r="B110" s="1"/>
      <c r="C110" s="1"/>
      <c r="D110" s="1"/>
      <c r="E110" s="1"/>
      <c r="F110" s="1"/>
      <c r="G110" s="1"/>
      <c r="H110" s="1"/>
    </row>
    <row r="111" spans="1:8" ht="15.75" customHeight="1">
      <c r="A111" s="1"/>
      <c r="B111" s="1"/>
      <c r="C111" s="1"/>
      <c r="D111" s="1"/>
      <c r="E111" s="1"/>
      <c r="F111" s="1"/>
      <c r="G111" s="1"/>
      <c r="H111" s="1"/>
    </row>
    <row r="112" spans="1:8" ht="15.75" customHeight="1">
      <c r="A112" s="1"/>
      <c r="B112" s="1"/>
      <c r="C112" s="1"/>
      <c r="D112" s="1"/>
      <c r="E112" s="1"/>
      <c r="F112" s="1"/>
      <c r="G112" s="1"/>
      <c r="H112" s="1"/>
    </row>
    <row r="113" spans="1:8" ht="15.75" customHeight="1">
      <c r="A113" s="1"/>
      <c r="B113" s="1"/>
      <c r="C113" s="1"/>
      <c r="D113" s="1"/>
      <c r="E113" s="1"/>
      <c r="F113" s="1"/>
      <c r="G113" s="1"/>
      <c r="H113" s="1"/>
    </row>
    <row r="114" spans="1:8" ht="15.75" customHeight="1">
      <c r="A114" s="1"/>
      <c r="B114" s="1"/>
      <c r="C114" s="1"/>
      <c r="D114" s="1"/>
      <c r="E114" s="1"/>
      <c r="F114" s="1"/>
      <c r="G114" s="1"/>
      <c r="H114" s="1"/>
    </row>
    <row r="115" spans="1:8" ht="15.75" customHeight="1">
      <c r="A115" s="1"/>
      <c r="B115" s="1"/>
      <c r="C115" s="1"/>
      <c r="D115" s="1"/>
      <c r="E115" s="1"/>
      <c r="F115" s="1"/>
      <c r="G115" s="1"/>
      <c r="H115" s="1"/>
    </row>
    <row r="116" spans="1:8" ht="15.75" customHeight="1">
      <c r="A116" s="1"/>
      <c r="B116" s="1"/>
      <c r="C116" s="1"/>
      <c r="D116" s="1"/>
      <c r="E116" s="1"/>
      <c r="F116" s="1"/>
      <c r="G116" s="1"/>
      <c r="H116" s="1"/>
    </row>
    <row r="117" spans="1:8" ht="15.75" customHeight="1">
      <c r="A117" s="1"/>
      <c r="B117" s="1"/>
      <c r="C117" s="1"/>
      <c r="D117" s="1"/>
      <c r="E117" s="1"/>
      <c r="F117" s="1"/>
      <c r="G117" s="1"/>
      <c r="H117" s="1"/>
    </row>
    <row r="118" spans="1:8" ht="15.75" customHeight="1">
      <c r="A118" s="1"/>
      <c r="B118" s="1"/>
      <c r="C118" s="1"/>
      <c r="D118" s="1"/>
      <c r="E118" s="1"/>
      <c r="F118" s="1"/>
      <c r="G118" s="1"/>
      <c r="H118" s="1"/>
    </row>
    <row r="119" spans="1:8" ht="15.75" customHeight="1">
      <c r="A119" s="1"/>
      <c r="B119" s="1"/>
      <c r="C119" s="1"/>
      <c r="D119" s="1"/>
      <c r="E119" s="1"/>
      <c r="F119" s="1"/>
      <c r="G119" s="1"/>
      <c r="H119" s="1"/>
    </row>
    <row r="120" spans="1:8" ht="15.75" customHeight="1">
      <c r="A120" s="1"/>
      <c r="B120" s="1"/>
      <c r="C120" s="1"/>
      <c r="D120" s="1"/>
      <c r="E120" s="1"/>
      <c r="F120" s="1"/>
      <c r="G120" s="1"/>
      <c r="H120" s="1"/>
    </row>
    <row r="121" spans="1:8" ht="15.75" customHeight="1">
      <c r="A121" s="1"/>
      <c r="B121" s="1"/>
      <c r="C121" s="1"/>
      <c r="D121" s="1"/>
      <c r="E121" s="1"/>
      <c r="F121" s="1"/>
      <c r="G121" s="1"/>
      <c r="H121" s="1"/>
    </row>
    <row r="122" spans="1:8" ht="15.75" customHeight="1">
      <c r="A122" s="1"/>
      <c r="B122" s="1"/>
      <c r="C122" s="1"/>
      <c r="D122" s="1"/>
      <c r="E122" s="1"/>
      <c r="F122" s="1"/>
      <c r="G122" s="1"/>
      <c r="H122" s="1"/>
    </row>
    <row r="123" spans="1:8" ht="15.75" customHeight="1">
      <c r="A123" s="1"/>
      <c r="B123" s="1"/>
      <c r="C123" s="1"/>
      <c r="D123" s="1"/>
      <c r="E123" s="1"/>
      <c r="F123" s="1"/>
      <c r="G123" s="1"/>
      <c r="H123" s="1"/>
    </row>
    <row r="124" spans="1:8" ht="15.75" customHeight="1">
      <c r="A124" s="1"/>
      <c r="B124" s="1"/>
      <c r="C124" s="1"/>
      <c r="D124" s="1"/>
      <c r="E124" s="1"/>
      <c r="F124" s="1"/>
      <c r="G124" s="1"/>
      <c r="H124" s="1"/>
    </row>
    <row r="125" spans="1:8" ht="15.75" customHeight="1">
      <c r="A125" s="1"/>
      <c r="B125" s="1"/>
      <c r="C125" s="1"/>
      <c r="D125" s="1"/>
      <c r="E125" s="1"/>
      <c r="F125" s="1"/>
      <c r="G125" s="1"/>
      <c r="H125" s="1"/>
    </row>
    <row r="126" spans="1:8" ht="15.75" customHeight="1">
      <c r="A126" s="1"/>
      <c r="B126" s="1"/>
      <c r="C126" s="1"/>
      <c r="D126" s="1"/>
      <c r="E126" s="1"/>
      <c r="F126" s="1"/>
      <c r="G126" s="1"/>
      <c r="H126" s="1"/>
    </row>
    <row r="127" spans="1:8" ht="15.75" customHeight="1">
      <c r="A127" s="1"/>
      <c r="B127" s="1"/>
      <c r="C127" s="1"/>
      <c r="D127" s="1"/>
      <c r="E127" s="1"/>
      <c r="F127" s="1"/>
      <c r="G127" s="1"/>
      <c r="H127" s="1"/>
    </row>
    <row r="128" spans="1:8" ht="15.75" customHeight="1">
      <c r="A128" s="1"/>
      <c r="B128" s="1"/>
      <c r="C128" s="1"/>
      <c r="D128" s="1"/>
      <c r="E128" s="1"/>
      <c r="F128" s="1"/>
      <c r="G128" s="1"/>
      <c r="H128" s="1"/>
    </row>
    <row r="129" spans="1:8" ht="15.75" customHeight="1">
      <c r="A129" s="1"/>
      <c r="B129" s="1"/>
      <c r="C129" s="1"/>
      <c r="D129" s="1"/>
      <c r="E129" s="1"/>
      <c r="F129" s="1"/>
      <c r="G129" s="1"/>
      <c r="H129" s="1"/>
    </row>
    <row r="130" spans="1:8" ht="15.75" customHeight="1">
      <c r="A130" s="1"/>
      <c r="B130" s="1"/>
      <c r="C130" s="1"/>
      <c r="D130" s="1"/>
      <c r="E130" s="1"/>
      <c r="F130" s="1"/>
      <c r="G130" s="1"/>
      <c r="H130" s="1"/>
    </row>
    <row r="131" spans="1:8" ht="15.75" customHeight="1">
      <c r="A131" s="1"/>
      <c r="B131" s="1"/>
      <c r="C131" s="1"/>
      <c r="D131" s="1"/>
      <c r="E131" s="1"/>
      <c r="F131" s="1"/>
      <c r="G131" s="1"/>
      <c r="H131" s="1"/>
    </row>
    <row r="132" spans="1:8" ht="15.75" customHeight="1">
      <c r="A132" s="1"/>
      <c r="B132" s="1"/>
      <c r="C132" s="1"/>
      <c r="D132" s="1"/>
      <c r="E132" s="1"/>
      <c r="F132" s="1"/>
      <c r="G132" s="1"/>
      <c r="H132" s="1"/>
    </row>
    <row r="133" spans="1:8" ht="15.75" customHeight="1">
      <c r="A133" s="1"/>
      <c r="B133" s="1"/>
      <c r="C133" s="1"/>
      <c r="D133" s="1"/>
      <c r="E133" s="1"/>
      <c r="F133" s="1"/>
      <c r="G133" s="1"/>
      <c r="H133" s="1"/>
    </row>
    <row r="134" spans="1:8" ht="15.75" customHeight="1">
      <c r="A134" s="1"/>
      <c r="B134" s="1"/>
      <c r="C134" s="1"/>
      <c r="D134" s="1"/>
      <c r="E134" s="1"/>
      <c r="F134" s="1"/>
      <c r="G134" s="1"/>
      <c r="H134" s="1"/>
    </row>
    <row r="135" spans="1:8" ht="15.75" customHeight="1">
      <c r="A135" s="1"/>
      <c r="B135" s="1"/>
      <c r="C135" s="1"/>
      <c r="D135" s="1"/>
      <c r="E135" s="1"/>
      <c r="F135" s="1"/>
      <c r="G135" s="1"/>
      <c r="H135" s="1"/>
    </row>
    <row r="136" spans="1:8" ht="15.75" customHeight="1">
      <c r="A136" s="1"/>
      <c r="B136" s="1"/>
      <c r="C136" s="1"/>
      <c r="D136" s="1"/>
      <c r="E136" s="1"/>
      <c r="F136" s="1"/>
      <c r="G136" s="1"/>
      <c r="H136" s="1"/>
    </row>
    <row r="137" spans="1:8" ht="15.75" customHeight="1">
      <c r="A137" s="1"/>
      <c r="B137" s="1"/>
      <c r="C137" s="1"/>
      <c r="D137" s="1"/>
      <c r="E137" s="1"/>
      <c r="F137" s="1"/>
      <c r="G137" s="1"/>
      <c r="H137" s="1"/>
    </row>
    <row r="138" spans="1:8" ht="15.75" customHeight="1">
      <c r="A138" s="1"/>
      <c r="B138" s="1"/>
      <c r="C138" s="1"/>
      <c r="D138" s="1"/>
      <c r="E138" s="1"/>
      <c r="F138" s="1"/>
      <c r="G138" s="1"/>
      <c r="H138" s="1"/>
    </row>
    <row r="139" spans="1:8" ht="15.75" customHeight="1">
      <c r="A139" s="1"/>
      <c r="B139" s="1"/>
      <c r="C139" s="1"/>
      <c r="D139" s="1"/>
      <c r="E139" s="1"/>
      <c r="F139" s="1"/>
      <c r="G139" s="1"/>
      <c r="H139" s="1"/>
    </row>
    <row r="140" spans="1:8" ht="15.75" customHeight="1">
      <c r="A140" s="1"/>
      <c r="B140" s="1"/>
      <c r="C140" s="1"/>
      <c r="D140" s="1"/>
      <c r="E140" s="1"/>
      <c r="F140" s="1"/>
      <c r="G140" s="1"/>
      <c r="H140" s="1"/>
    </row>
    <row r="141" spans="1:8" ht="15.75" customHeight="1">
      <c r="A141" s="1"/>
      <c r="B141" s="1"/>
      <c r="C141" s="1"/>
      <c r="D141" s="1"/>
      <c r="E141" s="1"/>
      <c r="F141" s="1"/>
      <c r="G141" s="1"/>
      <c r="H141" s="1"/>
    </row>
    <row r="142" spans="1:8" ht="15.75" customHeight="1">
      <c r="A142" s="1"/>
      <c r="B142" s="1"/>
      <c r="C142" s="1"/>
      <c r="D142" s="1"/>
      <c r="E142" s="1"/>
      <c r="F142" s="1"/>
      <c r="G142" s="1"/>
      <c r="H142" s="1"/>
    </row>
    <row r="143" spans="1:8" ht="15.75" customHeight="1">
      <c r="A143" s="1"/>
      <c r="B143" s="1"/>
      <c r="C143" s="1"/>
      <c r="D143" s="1"/>
      <c r="E143" s="1"/>
      <c r="F143" s="1"/>
      <c r="G143" s="1"/>
      <c r="H143" s="1"/>
    </row>
    <row r="144" spans="1:8" ht="15.75" customHeight="1">
      <c r="A144" s="1"/>
      <c r="B144" s="1"/>
      <c r="C144" s="1"/>
      <c r="D144" s="1"/>
      <c r="E144" s="1"/>
      <c r="F144" s="1"/>
      <c r="G144" s="1"/>
      <c r="H144" s="1"/>
    </row>
    <row r="145" spans="1:8" ht="15.75" customHeight="1">
      <c r="A145" s="1"/>
      <c r="B145" s="1"/>
      <c r="C145" s="1"/>
      <c r="D145" s="1"/>
      <c r="E145" s="1"/>
      <c r="F145" s="1"/>
      <c r="G145" s="1"/>
      <c r="H145" s="1"/>
    </row>
    <row r="146" spans="1:8" ht="15.75" customHeight="1">
      <c r="A146" s="1"/>
      <c r="B146" s="1"/>
      <c r="C146" s="1"/>
      <c r="D146" s="1"/>
      <c r="E146" s="1"/>
      <c r="F146" s="1"/>
      <c r="G146" s="1"/>
      <c r="H146" s="1"/>
    </row>
    <row r="147" spans="1:8" ht="15.75" customHeight="1">
      <c r="A147" s="1"/>
      <c r="B147" s="1"/>
      <c r="C147" s="1"/>
      <c r="D147" s="1"/>
      <c r="E147" s="1"/>
      <c r="F147" s="1"/>
      <c r="G147" s="1"/>
      <c r="H147" s="1"/>
    </row>
    <row r="148" spans="1:8" ht="15.75" customHeight="1">
      <c r="A148" s="1"/>
      <c r="B148" s="1"/>
      <c r="C148" s="1"/>
      <c r="D148" s="1"/>
      <c r="E148" s="1"/>
      <c r="F148" s="1"/>
      <c r="G148" s="1"/>
      <c r="H148" s="1"/>
    </row>
    <row r="149" spans="1:8" ht="15.75" customHeight="1">
      <c r="A149" s="1"/>
      <c r="B149" s="1"/>
      <c r="C149" s="1"/>
      <c r="D149" s="1"/>
      <c r="E149" s="1"/>
      <c r="F149" s="1"/>
      <c r="G149" s="1"/>
      <c r="H149" s="1"/>
    </row>
    <row r="150" spans="1:8" ht="15.75" customHeight="1">
      <c r="A150" s="1"/>
      <c r="B150" s="1"/>
      <c r="C150" s="1"/>
      <c r="D150" s="1"/>
      <c r="E150" s="1"/>
      <c r="F150" s="1"/>
      <c r="G150" s="1"/>
      <c r="H150" s="1"/>
    </row>
    <row r="151" spans="1:8" ht="15.75" customHeight="1">
      <c r="A151" s="1"/>
      <c r="B151" s="1"/>
      <c r="C151" s="1"/>
      <c r="D151" s="1"/>
      <c r="E151" s="1"/>
      <c r="F151" s="1"/>
      <c r="G151" s="1"/>
      <c r="H151" s="1"/>
    </row>
    <row r="152" spans="1:8" ht="15.75" customHeight="1">
      <c r="A152" s="1"/>
      <c r="B152" s="1"/>
      <c r="C152" s="1"/>
      <c r="D152" s="1"/>
      <c r="E152" s="1"/>
      <c r="F152" s="1"/>
      <c r="G152" s="1"/>
      <c r="H152" s="1"/>
    </row>
    <row r="153" spans="1:8" ht="15.75" customHeight="1">
      <c r="A153" s="1"/>
      <c r="B153" s="1"/>
      <c r="C153" s="1"/>
      <c r="D153" s="1"/>
      <c r="E153" s="1"/>
      <c r="F153" s="1"/>
      <c r="G153" s="1"/>
      <c r="H153" s="1"/>
    </row>
    <row r="154" spans="1:8" ht="15.75" customHeight="1">
      <c r="A154" s="1"/>
      <c r="B154" s="1"/>
      <c r="C154" s="1"/>
      <c r="D154" s="1"/>
      <c r="E154" s="1"/>
      <c r="F154" s="1"/>
      <c r="G154" s="1"/>
      <c r="H154" s="1"/>
    </row>
    <row r="155" spans="1:8" ht="15.75" customHeight="1">
      <c r="A155" s="1"/>
      <c r="B155" s="1"/>
      <c r="C155" s="1"/>
      <c r="D155" s="1"/>
      <c r="E155" s="1"/>
      <c r="F155" s="1"/>
      <c r="G155" s="1"/>
      <c r="H155" s="1"/>
    </row>
    <row r="156" spans="1:8" ht="15.75" customHeight="1">
      <c r="A156" s="1"/>
      <c r="B156" s="1"/>
      <c r="C156" s="1"/>
      <c r="D156" s="1"/>
      <c r="E156" s="1"/>
      <c r="F156" s="1"/>
      <c r="G156" s="1"/>
      <c r="H156" s="1"/>
    </row>
    <row r="157" spans="1:8" ht="15.75" customHeight="1">
      <c r="A157" s="1"/>
      <c r="B157" s="1"/>
      <c r="C157" s="1"/>
      <c r="D157" s="1"/>
      <c r="E157" s="1"/>
      <c r="F157" s="1"/>
      <c r="G157" s="1"/>
      <c r="H157" s="1"/>
    </row>
    <row r="158" spans="1:8" ht="15.75" customHeight="1">
      <c r="A158" s="1"/>
      <c r="B158" s="1"/>
      <c r="C158" s="1"/>
      <c r="D158" s="1"/>
      <c r="E158" s="1"/>
      <c r="F158" s="1"/>
      <c r="G158" s="1"/>
      <c r="H158" s="1"/>
    </row>
    <row r="159" spans="1:8" ht="15.75" customHeight="1">
      <c r="A159" s="1"/>
      <c r="B159" s="1"/>
      <c r="C159" s="1"/>
      <c r="D159" s="1"/>
      <c r="E159" s="1"/>
      <c r="F159" s="1"/>
      <c r="G159" s="1"/>
      <c r="H159" s="1"/>
    </row>
    <row r="160" spans="1:8" ht="15.75" customHeight="1">
      <c r="A160" s="1"/>
      <c r="B160" s="1"/>
      <c r="C160" s="1"/>
      <c r="D160" s="1"/>
      <c r="E160" s="1"/>
      <c r="F160" s="1"/>
      <c r="G160" s="1"/>
      <c r="H160" s="1"/>
    </row>
    <row r="161" spans="1:8" ht="15.75" customHeight="1">
      <c r="A161" s="1"/>
      <c r="B161" s="1"/>
      <c r="C161" s="1"/>
      <c r="D161" s="1"/>
      <c r="E161" s="1"/>
      <c r="F161" s="1"/>
      <c r="G161" s="1"/>
      <c r="H161" s="1"/>
    </row>
    <row r="162" spans="1:8" ht="15.75" customHeight="1">
      <c r="A162" s="1"/>
      <c r="B162" s="1"/>
      <c r="C162" s="1"/>
      <c r="D162" s="1"/>
      <c r="E162" s="1"/>
      <c r="F162" s="1"/>
      <c r="G162" s="1"/>
      <c r="H162" s="1"/>
    </row>
    <row r="163" spans="1:8" ht="15.75" customHeight="1">
      <c r="A163" s="1"/>
      <c r="B163" s="1"/>
      <c r="C163" s="1"/>
      <c r="D163" s="1"/>
      <c r="E163" s="1"/>
      <c r="F163" s="1"/>
      <c r="G163" s="1"/>
      <c r="H163" s="1"/>
    </row>
    <row r="164" spans="1:8" ht="15.75" customHeight="1">
      <c r="A164" s="1"/>
      <c r="B164" s="1"/>
      <c r="C164" s="1"/>
      <c r="D164" s="1"/>
      <c r="E164" s="1"/>
      <c r="F164" s="1"/>
      <c r="G164" s="1"/>
      <c r="H164" s="1"/>
    </row>
    <row r="165" spans="1:8" ht="15.75" customHeight="1">
      <c r="A165" s="1"/>
      <c r="B165" s="1"/>
      <c r="C165" s="1"/>
      <c r="D165" s="1"/>
      <c r="E165" s="1"/>
      <c r="F165" s="1"/>
      <c r="G165" s="1"/>
      <c r="H165" s="1"/>
    </row>
    <row r="166" spans="1:8" ht="15.75" customHeight="1">
      <c r="A166" s="1"/>
      <c r="B166" s="1"/>
      <c r="C166" s="1"/>
      <c r="D166" s="1"/>
      <c r="E166" s="1"/>
      <c r="F166" s="1"/>
      <c r="G166" s="1"/>
      <c r="H166" s="1"/>
    </row>
    <row r="167" spans="1:8" ht="15.75" customHeight="1">
      <c r="A167" s="1"/>
      <c r="B167" s="1"/>
      <c r="C167" s="1"/>
      <c r="D167" s="1"/>
      <c r="E167" s="1"/>
      <c r="F167" s="1"/>
      <c r="G167" s="1"/>
      <c r="H167" s="1"/>
    </row>
    <row r="168" spans="1:8" ht="15.75" customHeight="1">
      <c r="A168" s="1"/>
      <c r="B168" s="1"/>
      <c r="C168" s="1"/>
      <c r="D168" s="1"/>
      <c r="E168" s="1"/>
      <c r="F168" s="1"/>
      <c r="G168" s="1"/>
      <c r="H168" s="1"/>
    </row>
    <row r="169" spans="1:8" ht="15.75" customHeight="1">
      <c r="A169" s="1"/>
      <c r="B169" s="1"/>
      <c r="C169" s="1"/>
      <c r="D169" s="1"/>
      <c r="E169" s="1"/>
      <c r="F169" s="1"/>
      <c r="G169" s="1"/>
      <c r="H169" s="1"/>
    </row>
    <row r="170" spans="1:8" ht="15.75" customHeight="1">
      <c r="A170" s="1"/>
      <c r="B170" s="1"/>
      <c r="C170" s="1"/>
      <c r="D170" s="1"/>
      <c r="E170" s="1"/>
      <c r="F170" s="1"/>
      <c r="G170" s="1"/>
      <c r="H170" s="1"/>
    </row>
    <row r="171" spans="1:8" ht="15.75" customHeight="1">
      <c r="A171" s="1"/>
      <c r="B171" s="1"/>
      <c r="C171" s="1"/>
      <c r="D171" s="1"/>
      <c r="E171" s="1"/>
      <c r="F171" s="1"/>
      <c r="G171" s="1"/>
      <c r="H171" s="1"/>
    </row>
    <row r="172" spans="1:8" ht="15.75" customHeight="1">
      <c r="A172" s="1"/>
      <c r="B172" s="1"/>
      <c r="C172" s="1"/>
      <c r="D172" s="1"/>
      <c r="E172" s="1"/>
      <c r="F172" s="1"/>
      <c r="G172" s="1"/>
      <c r="H172" s="1"/>
    </row>
    <row r="173" spans="1:8" ht="15.75" customHeight="1">
      <c r="A173" s="1"/>
      <c r="B173" s="1"/>
      <c r="C173" s="1"/>
      <c r="D173" s="1"/>
      <c r="E173" s="1"/>
      <c r="F173" s="1"/>
      <c r="G173" s="1"/>
      <c r="H173" s="1"/>
    </row>
    <row r="174" spans="1:8" ht="15.75" customHeight="1">
      <c r="A174" s="1"/>
      <c r="B174" s="1"/>
      <c r="C174" s="1"/>
      <c r="D174" s="1"/>
      <c r="E174" s="1"/>
      <c r="F174" s="1"/>
      <c r="G174" s="1"/>
      <c r="H174" s="1"/>
    </row>
    <row r="175" spans="1:8" ht="15.75" customHeight="1">
      <c r="A175" s="1"/>
      <c r="B175" s="1"/>
      <c r="C175" s="1"/>
      <c r="D175" s="1"/>
      <c r="E175" s="1"/>
      <c r="F175" s="1"/>
      <c r="G175" s="1"/>
      <c r="H175" s="1"/>
    </row>
    <row r="176" spans="1:8" ht="15.75" customHeight="1">
      <c r="A176" s="1"/>
      <c r="B176" s="1"/>
      <c r="C176" s="1"/>
      <c r="D176" s="1"/>
      <c r="E176" s="1"/>
      <c r="F176" s="1"/>
      <c r="G176" s="1"/>
      <c r="H176" s="1"/>
    </row>
    <row r="177" spans="1:8" ht="15.75" customHeight="1">
      <c r="A177" s="1"/>
      <c r="B177" s="1"/>
      <c r="C177" s="1"/>
      <c r="D177" s="1"/>
      <c r="E177" s="1"/>
      <c r="F177" s="1"/>
      <c r="G177" s="1"/>
      <c r="H177" s="1"/>
    </row>
    <row r="178" spans="1:8" ht="15.75" customHeight="1">
      <c r="A178" s="1"/>
      <c r="B178" s="1"/>
      <c r="C178" s="1"/>
      <c r="D178" s="1"/>
      <c r="E178" s="1"/>
      <c r="F178" s="1"/>
      <c r="G178" s="1"/>
      <c r="H178" s="1"/>
    </row>
    <row r="179" spans="1:8" ht="15.75" customHeight="1">
      <c r="A179" s="1"/>
      <c r="B179" s="1"/>
      <c r="C179" s="1"/>
      <c r="D179" s="1"/>
      <c r="E179" s="1"/>
      <c r="F179" s="1"/>
      <c r="G179" s="1"/>
      <c r="H179" s="1"/>
    </row>
    <row r="180" spans="1:8" ht="15.75" customHeight="1">
      <c r="A180" s="1"/>
      <c r="B180" s="1"/>
      <c r="C180" s="1"/>
      <c r="D180" s="1"/>
      <c r="E180" s="1"/>
      <c r="F180" s="1"/>
      <c r="G180" s="1"/>
      <c r="H180" s="1"/>
    </row>
    <row r="181" spans="1:8" ht="15.75" customHeight="1">
      <c r="A181" s="1"/>
      <c r="B181" s="1"/>
      <c r="C181" s="1"/>
      <c r="D181" s="1"/>
      <c r="E181" s="1"/>
      <c r="F181" s="1"/>
      <c r="G181" s="1"/>
      <c r="H181" s="1"/>
    </row>
    <row r="182" spans="1:8" ht="15.75" customHeight="1">
      <c r="A182" s="1"/>
      <c r="B182" s="1"/>
      <c r="C182" s="1"/>
      <c r="D182" s="1"/>
      <c r="E182" s="1"/>
      <c r="F182" s="1"/>
      <c r="G182" s="1"/>
      <c r="H182" s="1"/>
    </row>
    <row r="183" spans="1:8" ht="15.75" customHeight="1">
      <c r="A183" s="1"/>
      <c r="B183" s="1"/>
      <c r="C183" s="1"/>
      <c r="D183" s="1"/>
      <c r="E183" s="1"/>
      <c r="F183" s="1"/>
      <c r="G183" s="1"/>
      <c r="H183" s="1"/>
    </row>
    <row r="184" spans="1:8" ht="15.75" customHeight="1">
      <c r="A184" s="1"/>
      <c r="B184" s="1"/>
      <c r="C184" s="1"/>
      <c r="D184" s="1"/>
      <c r="E184" s="1"/>
      <c r="F184" s="1"/>
      <c r="G184" s="1"/>
      <c r="H184" s="1"/>
    </row>
    <row r="185" spans="1:8" ht="15.75" customHeight="1">
      <c r="A185" s="1"/>
      <c r="B185" s="1"/>
      <c r="C185" s="1"/>
      <c r="D185" s="1"/>
      <c r="E185" s="1"/>
      <c r="F185" s="1"/>
      <c r="G185" s="1"/>
      <c r="H185" s="1"/>
    </row>
    <row r="186" spans="1:8" ht="15.75" customHeight="1">
      <c r="A186" s="1"/>
      <c r="B186" s="1"/>
      <c r="C186" s="1"/>
      <c r="D186" s="1"/>
      <c r="E186" s="1"/>
      <c r="F186" s="1"/>
      <c r="G186" s="1"/>
      <c r="H186" s="1"/>
    </row>
    <row r="187" spans="1:8" ht="15.75" customHeight="1">
      <c r="A187" s="1"/>
      <c r="B187" s="1"/>
      <c r="C187" s="1"/>
      <c r="D187" s="1"/>
      <c r="E187" s="1"/>
      <c r="F187" s="1"/>
      <c r="G187" s="1"/>
      <c r="H187" s="1"/>
    </row>
    <row r="188" spans="1:8" ht="15.75" customHeight="1">
      <c r="A188" s="1"/>
      <c r="B188" s="1"/>
      <c r="C188" s="1"/>
      <c r="D188" s="1"/>
      <c r="E188" s="1"/>
      <c r="F188" s="1"/>
      <c r="G188" s="1"/>
      <c r="H188" s="1"/>
    </row>
    <row r="189" spans="1:8" ht="15.75" customHeight="1">
      <c r="A189" s="1"/>
      <c r="B189" s="1"/>
      <c r="C189" s="1"/>
      <c r="D189" s="1"/>
      <c r="E189" s="1"/>
      <c r="F189" s="1"/>
      <c r="G189" s="1"/>
      <c r="H189" s="1"/>
    </row>
    <row r="190" spans="1:8" ht="15.75" customHeight="1">
      <c r="A190" s="1"/>
      <c r="B190" s="1"/>
      <c r="C190" s="1"/>
      <c r="D190" s="1"/>
      <c r="E190" s="1"/>
      <c r="F190" s="1"/>
      <c r="G190" s="1"/>
      <c r="H190" s="1"/>
    </row>
    <row r="191" spans="1:8" ht="15.75" customHeight="1">
      <c r="A191" s="1"/>
      <c r="B191" s="1"/>
      <c r="C191" s="1"/>
      <c r="D191" s="1"/>
      <c r="E191" s="1"/>
      <c r="F191" s="1"/>
      <c r="G191" s="1"/>
      <c r="H191" s="1"/>
    </row>
    <row r="192" spans="1:8" ht="15.75" customHeight="1">
      <c r="A192" s="1"/>
      <c r="B192" s="1"/>
      <c r="C192" s="1"/>
      <c r="D192" s="1"/>
      <c r="E192" s="1"/>
      <c r="F192" s="1"/>
      <c r="G192" s="1"/>
      <c r="H192" s="1"/>
    </row>
    <row r="193" spans="1:8" ht="15.75" customHeight="1">
      <c r="A193" s="1"/>
      <c r="B193" s="1"/>
      <c r="C193" s="1"/>
      <c r="D193" s="1"/>
      <c r="E193" s="1"/>
      <c r="F193" s="1"/>
      <c r="G193" s="1"/>
      <c r="H193" s="1"/>
    </row>
    <row r="194" spans="1:8" ht="15.75" customHeight="1">
      <c r="A194" s="1"/>
      <c r="B194" s="1"/>
      <c r="C194" s="1"/>
      <c r="D194" s="1"/>
      <c r="E194" s="1"/>
      <c r="F194" s="1"/>
      <c r="G194" s="1"/>
      <c r="H194" s="1"/>
    </row>
    <row r="195" spans="1:8" ht="15.75" customHeight="1">
      <c r="A195" s="1"/>
      <c r="B195" s="1"/>
      <c r="C195" s="1"/>
      <c r="D195" s="1"/>
      <c r="E195" s="1"/>
      <c r="F195" s="1"/>
      <c r="G195" s="1"/>
      <c r="H195" s="1"/>
    </row>
    <row r="196" spans="1:8" ht="15.75" customHeight="1">
      <c r="A196" s="1"/>
      <c r="B196" s="1"/>
      <c r="C196" s="1"/>
      <c r="D196" s="1"/>
      <c r="E196" s="1"/>
      <c r="F196" s="1"/>
      <c r="G196" s="1"/>
      <c r="H196" s="1"/>
    </row>
    <row r="197" spans="1:8" ht="15.75" customHeight="1">
      <c r="A197" s="1"/>
      <c r="B197" s="1"/>
      <c r="C197" s="1"/>
      <c r="D197" s="1"/>
      <c r="E197" s="1"/>
      <c r="F197" s="1"/>
      <c r="G197" s="1"/>
      <c r="H197" s="1"/>
    </row>
    <row r="198" spans="1:8" ht="15.75" customHeight="1">
      <c r="A198" s="1"/>
      <c r="B198" s="1"/>
      <c r="C198" s="1"/>
      <c r="D198" s="1"/>
      <c r="E198" s="1"/>
      <c r="F198" s="1"/>
      <c r="G198" s="1"/>
      <c r="H198" s="1"/>
    </row>
    <row r="199" spans="1:8" ht="15.75" customHeight="1">
      <c r="A199" s="1"/>
      <c r="B199" s="1"/>
      <c r="C199" s="1"/>
      <c r="D199" s="1"/>
      <c r="E199" s="1"/>
      <c r="F199" s="1"/>
      <c r="G199" s="1"/>
      <c r="H199" s="1"/>
    </row>
    <row r="200" spans="1:8" ht="15.75" customHeight="1">
      <c r="A200" s="1"/>
      <c r="B200" s="1"/>
      <c r="C200" s="1"/>
      <c r="D200" s="1"/>
      <c r="E200" s="1"/>
      <c r="F200" s="1"/>
      <c r="G200" s="1"/>
      <c r="H200" s="1"/>
    </row>
    <row r="201" spans="1:8" ht="15.75" customHeight="1">
      <c r="A201" s="1"/>
      <c r="B201" s="1"/>
      <c r="C201" s="1"/>
      <c r="D201" s="1"/>
      <c r="E201" s="1"/>
      <c r="F201" s="1"/>
      <c r="G201" s="1"/>
      <c r="H201" s="1"/>
    </row>
    <row r="202" spans="1:8" ht="15.75" customHeight="1">
      <c r="A202" s="1"/>
      <c r="B202" s="1"/>
      <c r="C202" s="1"/>
      <c r="D202" s="1"/>
      <c r="E202" s="1"/>
      <c r="F202" s="1"/>
      <c r="G202" s="1"/>
      <c r="H202" s="1"/>
    </row>
    <row r="203" spans="1:8" ht="15.75" customHeight="1">
      <c r="A203" s="1"/>
      <c r="B203" s="1"/>
      <c r="C203" s="1"/>
      <c r="D203" s="1"/>
      <c r="E203" s="1"/>
      <c r="F203" s="1"/>
      <c r="G203" s="1"/>
      <c r="H203" s="1"/>
    </row>
    <row r="204" spans="1:8" ht="15.75" customHeight="1">
      <c r="A204" s="1"/>
      <c r="B204" s="1"/>
      <c r="C204" s="1"/>
      <c r="D204" s="1"/>
      <c r="E204" s="1"/>
      <c r="F204" s="1"/>
      <c r="G204" s="1"/>
      <c r="H204" s="1"/>
    </row>
    <row r="205" spans="1:8" ht="15.75" customHeight="1">
      <c r="A205" s="1"/>
      <c r="B205" s="1"/>
      <c r="C205" s="1"/>
      <c r="D205" s="1"/>
      <c r="E205" s="1"/>
      <c r="F205" s="1"/>
      <c r="G205" s="1"/>
      <c r="H205" s="1"/>
    </row>
    <row r="206" spans="1:8" ht="15.75" customHeight="1">
      <c r="A206" s="1"/>
      <c r="B206" s="1"/>
      <c r="C206" s="1"/>
      <c r="D206" s="1"/>
      <c r="E206" s="1"/>
      <c r="F206" s="1"/>
      <c r="G206" s="1"/>
      <c r="H206" s="1"/>
    </row>
    <row r="207" spans="1:8" ht="15.75" customHeight="1">
      <c r="A207" s="1"/>
      <c r="B207" s="1"/>
      <c r="C207" s="1"/>
      <c r="D207" s="1"/>
      <c r="E207" s="1"/>
      <c r="F207" s="1"/>
      <c r="G207" s="1"/>
      <c r="H207" s="1"/>
    </row>
    <row r="208" spans="1:8" ht="15.75" customHeight="1">
      <c r="A208" s="1"/>
      <c r="B208" s="1"/>
      <c r="C208" s="1"/>
      <c r="D208" s="1"/>
      <c r="E208" s="1"/>
      <c r="F208" s="1"/>
      <c r="G208" s="1"/>
      <c r="H208" s="1"/>
    </row>
    <row r="209" spans="1:8" ht="15.75" customHeight="1">
      <c r="A209" s="1"/>
      <c r="B209" s="1"/>
      <c r="C209" s="1"/>
      <c r="D209" s="1"/>
      <c r="E209" s="1"/>
      <c r="F209" s="1"/>
      <c r="G209" s="1"/>
      <c r="H209" s="1"/>
    </row>
    <row r="210" spans="1:8" ht="15.75" customHeight="1">
      <c r="A210" s="1"/>
      <c r="B210" s="1"/>
      <c r="C210" s="1"/>
      <c r="D210" s="1"/>
      <c r="E210" s="1"/>
      <c r="F210" s="1"/>
      <c r="G210" s="1"/>
      <c r="H210" s="1"/>
    </row>
    <row r="211" spans="1:8" ht="15.75" customHeight="1">
      <c r="A211" s="1"/>
      <c r="B211" s="1"/>
      <c r="C211" s="1"/>
      <c r="D211" s="1"/>
      <c r="E211" s="1"/>
      <c r="F211" s="1"/>
      <c r="G211" s="1"/>
      <c r="H211" s="1"/>
    </row>
    <row r="212" spans="1:8" ht="15.75" customHeight="1">
      <c r="A212" s="1"/>
      <c r="B212" s="1"/>
      <c r="C212" s="1"/>
      <c r="D212" s="1"/>
      <c r="E212" s="1"/>
      <c r="F212" s="1"/>
      <c r="G212" s="1"/>
      <c r="H212" s="1"/>
    </row>
    <row r="213" spans="1:8" ht="15.75" customHeight="1">
      <c r="A213" s="1"/>
      <c r="B213" s="1"/>
      <c r="C213" s="1"/>
      <c r="D213" s="1"/>
      <c r="E213" s="1"/>
      <c r="F213" s="1"/>
      <c r="G213" s="1"/>
      <c r="H213" s="1"/>
    </row>
    <row r="214" spans="1:8" ht="15.75" customHeight="1">
      <c r="A214" s="1"/>
      <c r="B214" s="1"/>
      <c r="C214" s="1"/>
      <c r="D214" s="1"/>
      <c r="E214" s="1"/>
      <c r="F214" s="1"/>
      <c r="G214" s="1"/>
      <c r="H214" s="1"/>
    </row>
    <row r="215" spans="1:8" ht="15.75" customHeight="1">
      <c r="A215" s="1"/>
      <c r="B215" s="1"/>
      <c r="C215" s="1"/>
      <c r="D215" s="1"/>
      <c r="E215" s="1"/>
      <c r="F215" s="1"/>
      <c r="G215" s="1"/>
      <c r="H215" s="1"/>
    </row>
    <row r="216" spans="1:8" ht="15.75" customHeight="1">
      <c r="A216" s="1"/>
      <c r="B216" s="1"/>
      <c r="C216" s="1"/>
      <c r="D216" s="1"/>
      <c r="E216" s="1"/>
      <c r="F216" s="1"/>
      <c r="G216" s="1"/>
      <c r="H216" s="1"/>
    </row>
    <row r="217" spans="1:8" ht="15.75" customHeight="1">
      <c r="A217" s="1"/>
      <c r="B217" s="1"/>
      <c r="C217" s="1"/>
      <c r="D217" s="1"/>
      <c r="E217" s="1"/>
      <c r="F217" s="1"/>
      <c r="G217" s="1"/>
      <c r="H217" s="1"/>
    </row>
    <row r="218" spans="1:8" ht="15.75" customHeight="1">
      <c r="A218" s="1"/>
      <c r="B218" s="1"/>
      <c r="C218" s="1"/>
      <c r="D218" s="1"/>
      <c r="E218" s="1"/>
      <c r="F218" s="1"/>
      <c r="G218" s="1"/>
      <c r="H218" s="1"/>
    </row>
    <row r="219" spans="1:8" ht="15.75" customHeight="1">
      <c r="A219" s="1"/>
      <c r="B219" s="1"/>
      <c r="C219" s="1"/>
      <c r="D219" s="1"/>
      <c r="E219" s="1"/>
      <c r="F219" s="1"/>
      <c r="G219" s="1"/>
      <c r="H219" s="1"/>
    </row>
    <row r="220" spans="1:8" ht="15.75" customHeight="1">
      <c r="A220" s="1"/>
      <c r="B220" s="1"/>
      <c r="C220" s="1"/>
      <c r="D220" s="1"/>
      <c r="E220" s="1"/>
      <c r="F220" s="1"/>
      <c r="G220" s="1"/>
      <c r="H220" s="1"/>
    </row>
    <row r="221" spans="1:8" ht="15.75" customHeight="1">
      <c r="A221" s="1"/>
      <c r="B221" s="1"/>
      <c r="C221" s="1"/>
      <c r="D221" s="1"/>
      <c r="E221" s="1"/>
      <c r="F221" s="1"/>
      <c r="G221" s="1"/>
      <c r="H221" s="1"/>
    </row>
    <row r="222" spans="1:8" ht="15.75" customHeight="1"/>
    <row r="223" spans="1:8" ht="15.75" customHeight="1"/>
    <row r="224" spans="1:8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</sheetData>
  <mergeCells count="6">
    <mergeCell ref="B1:H1"/>
    <mergeCell ref="B4:H4"/>
    <mergeCell ref="A5:H5"/>
    <mergeCell ref="G6:H6"/>
    <mergeCell ref="A23:B23"/>
    <mergeCell ref="C23:H23"/>
  </mergeCells>
  <printOptions horizontalCentered="1" verticalCentered="1"/>
  <pageMargins left="0.11811023622047245" right="0.11811023622047245" top="0.11811023622047245" bottom="0.11811023622047245" header="0" footer="0"/>
  <pageSetup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921"/>
  <sheetViews>
    <sheetView workbookViewId="0">
      <selection activeCell="C30" sqref="C30:H30"/>
    </sheetView>
  </sheetViews>
  <sheetFormatPr defaultColWidth="14.42578125" defaultRowHeight="15" customHeight="1"/>
  <cols>
    <col min="1" max="1" width="9.85546875" customWidth="1"/>
    <col min="2" max="2" width="17.42578125" hidden="1" customWidth="1"/>
    <col min="3" max="3" width="52.7109375" customWidth="1"/>
    <col min="4" max="5" width="14.42578125" customWidth="1"/>
    <col min="6" max="6" width="7.5703125" customWidth="1"/>
    <col min="7" max="7" width="10.42578125" customWidth="1"/>
    <col min="8" max="8" width="22.140625" customWidth="1"/>
  </cols>
  <sheetData>
    <row r="1" spans="1:8" ht="15.75">
      <c r="A1" s="1035" t="s">
        <v>357</v>
      </c>
      <c r="B1" s="949"/>
      <c r="C1" s="949"/>
      <c r="D1" s="949"/>
      <c r="E1" s="949"/>
      <c r="F1" s="949"/>
      <c r="G1" s="950"/>
    </row>
    <row r="2" spans="1:8" ht="18.75">
      <c r="A2" s="556"/>
      <c r="B2" s="557"/>
      <c r="C2" s="1036" t="s">
        <v>358</v>
      </c>
      <c r="D2" s="1037"/>
      <c r="E2" s="1037"/>
      <c r="F2" s="1037"/>
      <c r="G2" s="1038"/>
      <c r="H2" s="558"/>
    </row>
    <row r="3" spans="1:8" ht="30">
      <c r="A3" s="559" t="s">
        <v>359</v>
      </c>
      <c r="B3" s="560" t="s">
        <v>360</v>
      </c>
      <c r="C3" s="561" t="s">
        <v>361</v>
      </c>
      <c r="D3" s="561" t="s">
        <v>362</v>
      </c>
      <c r="E3" s="561" t="s">
        <v>363</v>
      </c>
      <c r="F3" s="1039" t="s">
        <v>352</v>
      </c>
      <c r="G3" s="1038"/>
      <c r="H3" s="562" t="s">
        <v>364</v>
      </c>
    </row>
    <row r="4" spans="1:8">
      <c r="A4" s="563"/>
      <c r="B4" s="564"/>
      <c r="C4" s="565"/>
      <c r="D4" s="566"/>
      <c r="E4" s="567"/>
      <c r="F4" s="568"/>
      <c r="G4" s="568"/>
      <c r="H4" s="569"/>
    </row>
    <row r="5" spans="1:8">
      <c r="A5" s="570"/>
      <c r="B5" s="564"/>
      <c r="C5" s="571"/>
      <c r="D5" s="572"/>
      <c r="E5" s="573"/>
      <c r="F5" s="572"/>
      <c r="G5" s="572"/>
      <c r="H5" s="572"/>
    </row>
    <row r="6" spans="1:8">
      <c r="A6" s="563"/>
      <c r="B6" s="564"/>
      <c r="C6" s="565"/>
      <c r="D6" s="566"/>
      <c r="E6" s="567"/>
      <c r="F6" s="568"/>
      <c r="G6" s="568"/>
      <c r="H6" s="569"/>
    </row>
    <row r="7" spans="1:8">
      <c r="A7" s="570"/>
      <c r="B7" s="564"/>
      <c r="C7" s="571"/>
      <c r="D7" s="572"/>
      <c r="E7" s="573"/>
      <c r="F7" s="572"/>
      <c r="G7" s="572"/>
      <c r="H7" s="572"/>
    </row>
    <row r="8" spans="1:8">
      <c r="A8" s="563"/>
      <c r="B8" s="564"/>
      <c r="C8" s="565"/>
      <c r="D8" s="566"/>
      <c r="E8" s="567"/>
      <c r="F8" s="568"/>
      <c r="G8" s="568"/>
      <c r="H8" s="569"/>
    </row>
    <row r="9" spans="1:8">
      <c r="A9" s="570"/>
      <c r="B9" s="564"/>
      <c r="C9" s="571"/>
      <c r="D9" s="572"/>
      <c r="E9" s="573"/>
      <c r="F9" s="572"/>
      <c r="G9" s="572"/>
      <c r="H9" s="572"/>
    </row>
    <row r="10" spans="1:8">
      <c r="A10" s="563"/>
      <c r="B10" s="564"/>
      <c r="C10" s="565"/>
      <c r="D10" s="566"/>
      <c r="E10" s="567"/>
      <c r="F10" s="568"/>
      <c r="G10" s="568"/>
      <c r="H10" s="569"/>
    </row>
    <row r="11" spans="1:8">
      <c r="A11" s="570"/>
      <c r="B11" s="564"/>
      <c r="C11" s="571"/>
      <c r="D11" s="572"/>
      <c r="E11" s="573"/>
      <c r="F11" s="572"/>
      <c r="G11" s="572"/>
      <c r="H11" s="572"/>
    </row>
    <row r="12" spans="1:8">
      <c r="A12" s="563"/>
      <c r="B12" s="564"/>
      <c r="C12" s="565"/>
      <c r="D12" s="566"/>
      <c r="E12" s="567"/>
      <c r="F12" s="568"/>
      <c r="G12" s="568"/>
      <c r="H12" s="569"/>
    </row>
    <row r="13" spans="1:8">
      <c r="A13" s="570"/>
      <c r="B13" s="564"/>
      <c r="C13" s="571"/>
      <c r="D13" s="572"/>
      <c r="E13" s="573"/>
      <c r="F13" s="572"/>
      <c r="G13" s="572"/>
      <c r="H13" s="572"/>
    </row>
    <row r="14" spans="1:8" ht="15.75">
      <c r="A14" s="563"/>
      <c r="B14" s="564"/>
      <c r="C14" s="565"/>
      <c r="D14" s="566"/>
      <c r="E14" s="567"/>
      <c r="F14" s="568"/>
      <c r="G14" s="568"/>
      <c r="H14" s="574"/>
    </row>
    <row r="15" spans="1:8">
      <c r="A15" s="570"/>
      <c r="B15" s="564"/>
      <c r="C15" s="571"/>
      <c r="D15" s="572"/>
      <c r="E15" s="573"/>
      <c r="F15" s="572"/>
      <c r="G15" s="572"/>
      <c r="H15" s="575"/>
    </row>
    <row r="16" spans="1:8">
      <c r="A16" s="563"/>
      <c r="B16" s="564" t="str">
        <f t="shared" ref="B16:B18" si="0">LEFT(C16,20)</f>
        <v/>
      </c>
      <c r="C16" s="565"/>
      <c r="D16" s="566"/>
      <c r="E16" s="576"/>
      <c r="F16" s="568"/>
      <c r="G16" s="568"/>
      <c r="H16" s="569">
        <v>0</v>
      </c>
    </row>
    <row r="17" spans="1:8">
      <c r="A17" s="570"/>
      <c r="B17" s="564" t="str">
        <f t="shared" si="0"/>
        <v/>
      </c>
      <c r="C17" s="571"/>
      <c r="D17" s="572"/>
      <c r="E17" s="577"/>
      <c r="F17" s="572"/>
      <c r="G17" s="572"/>
      <c r="H17" s="572">
        <v>0</v>
      </c>
    </row>
    <row r="18" spans="1:8">
      <c r="A18" s="563"/>
      <c r="B18" s="564" t="str">
        <f t="shared" si="0"/>
        <v/>
      </c>
      <c r="C18" s="565"/>
      <c r="D18" s="566"/>
      <c r="E18" s="578"/>
      <c r="F18" s="568"/>
      <c r="G18" s="568"/>
      <c r="H18" s="569">
        <v>0</v>
      </c>
    </row>
    <row r="19" spans="1:8" ht="15.75" customHeight="1"/>
    <row r="20" spans="1:8" ht="15.75" customHeight="1"/>
    <row r="21" spans="1:8" ht="15.75" customHeight="1"/>
    <row r="22" spans="1:8" ht="15.75" customHeight="1"/>
    <row r="23" spans="1:8" ht="15.75" customHeight="1"/>
    <row r="24" spans="1:8" ht="15.75" customHeight="1"/>
    <row r="25" spans="1:8" ht="15.75" customHeight="1"/>
    <row r="26" spans="1:8" ht="15.75" customHeight="1"/>
    <row r="27" spans="1:8" ht="15.75" customHeight="1"/>
    <row r="28" spans="1:8" ht="15.75" customHeight="1"/>
    <row r="29" spans="1:8" ht="15.75" customHeight="1"/>
    <row r="30" spans="1:8" ht="15.75" customHeight="1"/>
    <row r="31" spans="1:8" ht="15.75" customHeight="1"/>
    <row r="32" spans="1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</sheetData>
  <mergeCells count="3">
    <mergeCell ref="A1:G1"/>
    <mergeCell ref="C2:G2"/>
    <mergeCell ref="F3:G3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Z1007"/>
  <sheetViews>
    <sheetView topLeftCell="A154" workbookViewId="0">
      <selection activeCell="C30" sqref="C30:H30"/>
    </sheetView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4.7109375" customWidth="1"/>
    <col min="5" max="5" width="20.42578125" customWidth="1"/>
    <col min="6" max="6" width="15.140625" customWidth="1"/>
    <col min="7" max="7" width="20.85546875" customWidth="1"/>
    <col min="8" max="8" width="19.85546875" customWidth="1"/>
    <col min="9" max="9" width="12.42578125" customWidth="1"/>
    <col min="10" max="10" width="26.85546875" customWidth="1"/>
    <col min="11" max="11" width="13.28515625" customWidth="1"/>
    <col min="14" max="14" width="16.7109375" customWidth="1"/>
  </cols>
  <sheetData>
    <row r="1" spans="1:11" ht="14.25" customHeight="1">
      <c r="A1" s="579"/>
      <c r="B1" s="580" t="s">
        <v>365</v>
      </c>
      <c r="C1" s="581"/>
      <c r="D1" s="581"/>
      <c r="E1" s="581"/>
      <c r="F1" s="581"/>
      <c r="G1" s="581"/>
      <c r="H1" s="581"/>
      <c r="I1" s="581"/>
      <c r="J1" s="582"/>
      <c r="K1" s="579"/>
    </row>
    <row r="2" spans="1:11" ht="18.75" customHeight="1">
      <c r="A2" s="579"/>
      <c r="B2" s="1066" t="str">
        <f>'1-ABA-DE-CARREGAMENTO'!C11</f>
        <v xml:space="preserve"> S E R V I Ç O S     -    INTERPRETE DE LIBRAS e SINAIS </v>
      </c>
      <c r="C2" s="1054"/>
      <c r="D2" s="1054"/>
      <c r="E2" s="1054"/>
      <c r="F2" s="1054"/>
      <c r="G2" s="1054"/>
      <c r="H2" s="1054"/>
      <c r="I2" s="1054"/>
      <c r="J2" s="1055"/>
      <c r="K2" s="583"/>
    </row>
    <row r="3" spans="1:11" ht="22.5" customHeight="1">
      <c r="A3" s="579"/>
      <c r="B3" s="1067" t="str">
        <f>'1-ABA-DE-CARREGAMENTO'!C33</f>
        <v>2614-25_INTERP.LIBRAS_30hs</v>
      </c>
      <c r="C3" s="1037"/>
      <c r="D3" s="1037"/>
      <c r="E3" s="1037"/>
      <c r="F3" s="1037"/>
      <c r="G3" s="1037"/>
      <c r="H3" s="1037"/>
      <c r="I3" s="1037"/>
      <c r="J3" s="1038"/>
      <c r="K3" s="584"/>
    </row>
    <row r="4" spans="1:11" ht="20.25" customHeight="1">
      <c r="A4" s="579"/>
      <c r="B4" s="1060" t="s">
        <v>366</v>
      </c>
      <c r="C4" s="1037"/>
      <c r="D4" s="1037"/>
      <c r="E4" s="1037"/>
      <c r="F4" s="1038"/>
      <c r="G4" s="1068">
        <f>'1-ABA-DE-CARREGAMENTO'!C12</f>
        <v>0</v>
      </c>
      <c r="H4" s="1037"/>
      <c r="I4" s="1037"/>
      <c r="J4" s="1038"/>
      <c r="K4" s="585"/>
    </row>
    <row r="5" spans="1:11" ht="15" customHeight="1">
      <c r="A5" s="579"/>
      <c r="B5" s="1051" t="s">
        <v>367</v>
      </c>
      <c r="C5" s="949"/>
      <c r="D5" s="949"/>
      <c r="E5" s="949"/>
      <c r="F5" s="950"/>
      <c r="G5" s="1069">
        <f>'1-ABA-DE-CARREGAMENTO'!C13</f>
        <v>0</v>
      </c>
      <c r="H5" s="949"/>
      <c r="I5" s="949"/>
      <c r="J5" s="950"/>
      <c r="K5" s="585"/>
    </row>
    <row r="6" spans="1:11" ht="15" customHeight="1">
      <c r="A6" s="579"/>
      <c r="B6" s="1070">
        <f>'1-ABA-DE-CARREGAMENTO'!C16</f>
        <v>0</v>
      </c>
      <c r="C6" s="949"/>
      <c r="D6" s="949"/>
      <c r="E6" s="949"/>
      <c r="F6" s="949"/>
      <c r="G6" s="949"/>
      <c r="H6" s="949"/>
      <c r="I6" s="949"/>
      <c r="J6" s="950"/>
      <c r="K6" s="587"/>
    </row>
    <row r="7" spans="1:11" ht="19.5" customHeight="1">
      <c r="A7" s="579"/>
      <c r="B7" s="1050" t="s">
        <v>368</v>
      </c>
      <c r="C7" s="949"/>
      <c r="D7" s="949"/>
      <c r="E7" s="949"/>
      <c r="F7" s="949"/>
      <c r="G7" s="949"/>
      <c r="H7" s="949"/>
      <c r="I7" s="949"/>
      <c r="J7" s="950"/>
      <c r="K7" s="588"/>
    </row>
    <row r="8" spans="1:11" ht="19.5" customHeight="1">
      <c r="A8" s="579"/>
      <c r="B8" s="589" t="s">
        <v>369</v>
      </c>
      <c r="C8" s="1051" t="s">
        <v>370</v>
      </c>
      <c r="D8" s="949"/>
      <c r="E8" s="949"/>
      <c r="F8" s="949"/>
      <c r="G8" s="949"/>
      <c r="H8" s="950"/>
      <c r="I8" s="1071">
        <f>'1-ABA-DE-CARREGAMENTO'!C16</f>
        <v>0</v>
      </c>
      <c r="J8" s="950"/>
      <c r="K8" s="590"/>
    </row>
    <row r="9" spans="1:11" ht="15" customHeight="1">
      <c r="A9" s="579"/>
      <c r="B9" s="589" t="s">
        <v>371</v>
      </c>
      <c r="C9" s="1051" t="s">
        <v>372</v>
      </c>
      <c r="D9" s="949"/>
      <c r="E9" s="949"/>
      <c r="F9" s="949"/>
      <c r="G9" s="949"/>
      <c r="H9" s="950"/>
      <c r="I9" s="1069" t="str">
        <f>'1-ABA-DE-CARREGAMENTO'!C14</f>
        <v xml:space="preserve">SANTO-AUGUSTO </v>
      </c>
      <c r="J9" s="950"/>
      <c r="K9" s="585"/>
    </row>
    <row r="10" spans="1:11" ht="12.75" customHeight="1">
      <c r="A10" s="579"/>
      <c r="B10" s="589" t="s">
        <v>373</v>
      </c>
      <c r="C10" s="1051" t="s">
        <v>374</v>
      </c>
      <c r="D10" s="949"/>
      <c r="E10" s="949"/>
      <c r="F10" s="949"/>
      <c r="G10" s="949"/>
      <c r="H10" s="950"/>
      <c r="I10" s="1069" t="str">
        <f>'1-ABA-DE-CARREGAMENTO'!C35</f>
        <v>TABELA_nivel-E</v>
      </c>
      <c r="J10" s="950"/>
      <c r="K10" s="585"/>
    </row>
    <row r="11" spans="1:11" ht="15.75" customHeight="1">
      <c r="A11" s="579"/>
      <c r="B11" s="591" t="s">
        <v>375</v>
      </c>
      <c r="C11" s="1072" t="s">
        <v>376</v>
      </c>
      <c r="D11" s="949"/>
      <c r="E11" s="949"/>
      <c r="F11" s="949"/>
      <c r="G11" s="949"/>
      <c r="H11" s="950"/>
      <c r="I11" s="1073">
        <f>'1-ABA-DE-CARREGAMENTO'!C94</f>
        <v>30</v>
      </c>
      <c r="J11" s="950"/>
      <c r="K11" s="585"/>
    </row>
    <row r="12" spans="1:11" ht="13.5" customHeight="1">
      <c r="A12" s="579"/>
      <c r="B12" s="1074" t="s">
        <v>377</v>
      </c>
      <c r="C12" s="949"/>
      <c r="D12" s="949"/>
      <c r="E12" s="949"/>
      <c r="F12" s="949"/>
      <c r="G12" s="949"/>
      <c r="H12" s="949"/>
      <c r="I12" s="949"/>
      <c r="J12" s="950"/>
      <c r="K12" s="592"/>
    </row>
    <row r="13" spans="1:11" ht="72" customHeight="1">
      <c r="A13" s="579"/>
      <c r="B13" s="1075" t="str">
        <f>'1-ABA-DE-CARREGAMENTO'!C11</f>
        <v xml:space="preserve"> S E R V I Ç O S     -    INTERPRETE DE LIBRAS e SINAIS </v>
      </c>
      <c r="C13" s="949"/>
      <c r="D13" s="949"/>
      <c r="E13" s="949"/>
      <c r="F13" s="949"/>
      <c r="G13" s="1075" t="s">
        <v>378</v>
      </c>
      <c r="H13" s="950"/>
      <c r="I13" s="1075" t="s">
        <v>379</v>
      </c>
      <c r="J13" s="950"/>
      <c r="K13" s="593"/>
    </row>
    <row r="14" spans="1:11" ht="12.75" hidden="1" customHeight="1" outlineLevel="1">
      <c r="A14" s="579"/>
      <c r="B14" s="1040" t="s">
        <v>380</v>
      </c>
      <c r="C14" s="949"/>
      <c r="D14" s="949"/>
      <c r="E14" s="949"/>
      <c r="F14" s="950"/>
      <c r="G14" s="1041" t="s">
        <v>381</v>
      </c>
      <c r="H14" s="950"/>
      <c r="I14" s="1042" t="s">
        <v>382</v>
      </c>
      <c r="J14" s="950"/>
      <c r="K14" s="594"/>
    </row>
    <row r="15" spans="1:11" ht="12.75" hidden="1" customHeight="1" outlineLevel="1">
      <c r="A15" s="579"/>
      <c r="B15" s="1040" t="s">
        <v>383</v>
      </c>
      <c r="C15" s="949"/>
      <c r="D15" s="949"/>
      <c r="E15" s="949"/>
      <c r="F15" s="950"/>
      <c r="G15" s="1041" t="s">
        <v>381</v>
      </c>
      <c r="H15" s="950"/>
      <c r="I15" s="1042" t="s">
        <v>382</v>
      </c>
      <c r="J15" s="950"/>
      <c r="K15" s="594"/>
    </row>
    <row r="16" spans="1:11" ht="12.75" hidden="1" customHeight="1" outlineLevel="1">
      <c r="A16" s="579"/>
      <c r="B16" s="1040" t="s">
        <v>384</v>
      </c>
      <c r="C16" s="949"/>
      <c r="D16" s="949"/>
      <c r="E16" s="949"/>
      <c r="F16" s="950"/>
      <c r="G16" s="1041" t="s">
        <v>381</v>
      </c>
      <c r="H16" s="950"/>
      <c r="I16" s="1042" t="s">
        <v>382</v>
      </c>
      <c r="J16" s="950"/>
      <c r="K16" s="594"/>
    </row>
    <row r="17" spans="1:11" ht="12.75" customHeight="1" collapsed="1">
      <c r="A17" s="579"/>
      <c r="B17" s="1040" t="str">
        <f>B3</f>
        <v>2614-25_INTERP.LIBRAS_30hs</v>
      </c>
      <c r="C17" s="949"/>
      <c r="D17" s="949"/>
      <c r="E17" s="949"/>
      <c r="F17" s="950"/>
      <c r="G17" s="1041" t="s">
        <v>381</v>
      </c>
      <c r="H17" s="950"/>
      <c r="I17" s="1042">
        <f>'1-ABA-DE-CARREGAMENTO'!C92</f>
        <v>2</v>
      </c>
      <c r="J17" s="950"/>
      <c r="K17" s="594"/>
    </row>
    <row r="18" spans="1:11" ht="12.75" hidden="1" customHeight="1" outlineLevel="1">
      <c r="A18" s="579"/>
      <c r="B18" s="1040" t="s">
        <v>385</v>
      </c>
      <c r="C18" s="949"/>
      <c r="D18" s="949"/>
      <c r="E18" s="949"/>
      <c r="F18" s="950"/>
      <c r="G18" s="1041" t="s">
        <v>381</v>
      </c>
      <c r="H18" s="950"/>
      <c r="I18" s="1042" t="s">
        <v>382</v>
      </c>
      <c r="J18" s="950"/>
      <c r="K18" s="594"/>
    </row>
    <row r="19" spans="1:11" ht="12" hidden="1" customHeight="1" outlineLevel="1">
      <c r="A19" s="579"/>
      <c r="B19" s="1040" t="s">
        <v>386</v>
      </c>
      <c r="C19" s="949"/>
      <c r="D19" s="949"/>
      <c r="E19" s="949"/>
      <c r="F19" s="950"/>
      <c r="G19" s="1041" t="s">
        <v>381</v>
      </c>
      <c r="H19" s="950"/>
      <c r="I19" s="1042" t="s">
        <v>382</v>
      </c>
      <c r="J19" s="950"/>
      <c r="K19" s="594"/>
    </row>
    <row r="20" spans="1:11" ht="23.25" customHeight="1" collapsed="1">
      <c r="A20" s="579"/>
      <c r="B20" s="1044" t="s">
        <v>387</v>
      </c>
      <c r="C20" s="949"/>
      <c r="D20" s="949"/>
      <c r="E20" s="949"/>
      <c r="F20" s="949"/>
      <c r="G20" s="949"/>
      <c r="H20" s="950"/>
      <c r="I20" s="1043">
        <f>SUM(I14:I19)</f>
        <v>2</v>
      </c>
      <c r="J20" s="950"/>
      <c r="K20" s="595"/>
    </row>
    <row r="21" spans="1:11" ht="12.75" customHeight="1">
      <c r="A21" s="579"/>
      <c r="B21" s="1045"/>
      <c r="C21" s="949"/>
      <c r="D21" s="949"/>
      <c r="E21" s="949"/>
      <c r="F21" s="949"/>
      <c r="G21" s="949"/>
      <c r="H21" s="949"/>
      <c r="I21" s="949"/>
      <c r="J21" s="950"/>
      <c r="K21" s="593"/>
    </row>
    <row r="22" spans="1:11" ht="22.5" customHeight="1">
      <c r="A22" s="579"/>
      <c r="B22" s="1046" t="s">
        <v>388</v>
      </c>
      <c r="C22" s="949"/>
      <c r="D22" s="949"/>
      <c r="E22" s="949"/>
      <c r="F22" s="949"/>
      <c r="G22" s="949"/>
      <c r="H22" s="949"/>
      <c r="I22" s="949"/>
      <c r="J22" s="950"/>
      <c r="K22" s="596"/>
    </row>
    <row r="23" spans="1:11" ht="12" customHeight="1">
      <c r="A23" s="579"/>
      <c r="B23" s="1047"/>
      <c r="C23" s="949"/>
      <c r="D23" s="949"/>
      <c r="E23" s="949"/>
      <c r="F23" s="949"/>
      <c r="G23" s="949"/>
      <c r="H23" s="949"/>
      <c r="I23" s="949"/>
      <c r="J23" s="950"/>
      <c r="K23" s="362"/>
    </row>
    <row r="24" spans="1:11" ht="52.5" customHeight="1">
      <c r="A24" s="579"/>
      <c r="B24" s="1048" t="s">
        <v>389</v>
      </c>
      <c r="C24" s="949"/>
      <c r="D24" s="949"/>
      <c r="E24" s="949"/>
      <c r="F24" s="949"/>
      <c r="G24" s="949"/>
      <c r="H24" s="949"/>
      <c r="I24" s="949"/>
      <c r="J24" s="950"/>
      <c r="K24" s="597"/>
    </row>
    <row r="25" spans="1:11" ht="10.5" customHeight="1">
      <c r="A25" s="579"/>
      <c r="B25" s="1049"/>
      <c r="C25" s="949"/>
      <c r="D25" s="949"/>
      <c r="E25" s="949"/>
      <c r="F25" s="949"/>
      <c r="G25" s="949"/>
      <c r="H25" s="949"/>
      <c r="I25" s="949"/>
      <c r="J25" s="950"/>
      <c r="K25" s="598"/>
    </row>
    <row r="26" spans="1:11" ht="16.5" customHeight="1">
      <c r="A26" s="593"/>
      <c r="B26" s="1050" t="s">
        <v>390</v>
      </c>
      <c r="C26" s="949"/>
      <c r="D26" s="949"/>
      <c r="E26" s="949"/>
      <c r="F26" s="949"/>
      <c r="G26" s="949"/>
      <c r="H26" s="949"/>
      <c r="I26" s="949"/>
      <c r="J26" s="950"/>
      <c r="K26" s="588"/>
    </row>
    <row r="27" spans="1:11" ht="30" customHeight="1">
      <c r="A27" s="579"/>
      <c r="B27" s="589">
        <v>1</v>
      </c>
      <c r="C27" s="1051" t="s">
        <v>391</v>
      </c>
      <c r="D27" s="949"/>
      <c r="E27" s="949"/>
      <c r="F27" s="949"/>
      <c r="G27" s="949"/>
      <c r="H27" s="950"/>
      <c r="I27" s="1052" t="str">
        <f>'1-ABA-DE-CARREGAMENTO'!C33</f>
        <v>2614-25_INTERP.LIBRAS_30hs</v>
      </c>
      <c r="J27" s="950"/>
      <c r="K27" s="599"/>
    </row>
    <row r="28" spans="1:11" ht="16.5" customHeight="1">
      <c r="A28" s="579"/>
      <c r="B28" s="600">
        <v>2</v>
      </c>
      <c r="C28" s="1053" t="s">
        <v>392</v>
      </c>
      <c r="D28" s="1054"/>
      <c r="E28" s="1054"/>
      <c r="F28" s="1054"/>
      <c r="G28" s="1054"/>
      <c r="H28" s="1055"/>
      <c r="I28" s="1056"/>
      <c r="J28" s="950"/>
      <c r="K28" s="601"/>
    </row>
    <row r="29" spans="1:11" ht="39.75" customHeight="1">
      <c r="A29" s="579"/>
      <c r="B29" s="602">
        <v>3</v>
      </c>
      <c r="C29" s="1057" t="s">
        <v>393</v>
      </c>
      <c r="D29" s="929"/>
      <c r="E29" s="603">
        <v>200</v>
      </c>
      <c r="F29" s="604">
        <f>'1-ABA-DE-CARREGAMENTO'!C37</f>
        <v>4556.92</v>
      </c>
      <c r="G29" s="586" t="s">
        <v>394</v>
      </c>
      <c r="H29" s="605">
        <f>'1-ABA-DE-CARREGAMENTO'!C52</f>
        <v>150</v>
      </c>
      <c r="I29" s="1058">
        <f>F29/E29*H29</f>
        <v>3417.69</v>
      </c>
      <c r="J29" s="950"/>
      <c r="K29" s="606"/>
    </row>
    <row r="30" spans="1:11" ht="16.5" customHeight="1">
      <c r="A30" s="579"/>
      <c r="B30" s="589">
        <v>4</v>
      </c>
      <c r="C30" s="1060" t="s">
        <v>395</v>
      </c>
      <c r="D30" s="1037"/>
      <c r="E30" s="1037"/>
      <c r="F30" s="1037"/>
      <c r="G30" s="1037"/>
      <c r="H30" s="1038"/>
      <c r="I30" s="1059"/>
      <c r="J30" s="950"/>
      <c r="K30" s="607"/>
    </row>
    <row r="31" spans="1:11" ht="18.75" customHeight="1">
      <c r="A31" s="579"/>
      <c r="B31" s="589">
        <v>5</v>
      </c>
      <c r="C31" s="1051" t="s">
        <v>396</v>
      </c>
      <c r="D31" s="949"/>
      <c r="E31" s="949"/>
      <c r="F31" s="949"/>
      <c r="G31" s="949"/>
      <c r="H31" s="950"/>
      <c r="I31" s="1061">
        <f>'1-ABA-DE-CARREGAMENTO'!C36</f>
        <v>0</v>
      </c>
      <c r="J31" s="950"/>
      <c r="K31" s="608"/>
    </row>
    <row r="32" spans="1:11" ht="29.25" customHeight="1">
      <c r="A32" s="579"/>
      <c r="B32" s="609">
        <v>6</v>
      </c>
      <c r="C32" s="1062" t="s">
        <v>397</v>
      </c>
      <c r="D32" s="949"/>
      <c r="E32" s="949"/>
      <c r="F32" s="949"/>
      <c r="G32" s="949"/>
      <c r="H32" s="950"/>
      <c r="I32" s="1063">
        <f>I29/H29</f>
        <v>22.784600000000001</v>
      </c>
      <c r="J32" s="950"/>
      <c r="K32" s="610"/>
    </row>
    <row r="33" spans="1:26" ht="39" customHeight="1">
      <c r="A33" s="579"/>
      <c r="B33" s="609">
        <v>7</v>
      </c>
      <c r="C33" s="1062" t="s">
        <v>398</v>
      </c>
      <c r="D33" s="949"/>
      <c r="E33" s="949"/>
      <c r="F33" s="950"/>
      <c r="G33" s="1064"/>
      <c r="H33" s="950"/>
      <c r="I33" s="1065">
        <f>(SUM(J47:J50)/H29)</f>
        <v>22.784600000000001</v>
      </c>
      <c r="J33" s="950"/>
      <c r="K33" s="610"/>
    </row>
    <row r="34" spans="1:26" ht="29.25" customHeight="1">
      <c r="A34" s="579"/>
      <c r="B34" s="609">
        <v>8</v>
      </c>
      <c r="C34" s="1062" t="s">
        <v>399</v>
      </c>
      <c r="D34" s="949"/>
      <c r="E34" s="949"/>
      <c r="F34" s="950"/>
      <c r="G34" s="1064"/>
      <c r="H34" s="950"/>
      <c r="I34" s="1063">
        <f t="shared" ref="I34:I35" si="0">I32*1.5</f>
        <v>34.176900000000003</v>
      </c>
      <c r="J34" s="950"/>
      <c r="K34" s="610"/>
    </row>
    <row r="35" spans="1:26" ht="29.25" customHeight="1">
      <c r="A35" s="579"/>
      <c r="B35" s="609">
        <v>9</v>
      </c>
      <c r="C35" s="1062" t="s">
        <v>400</v>
      </c>
      <c r="D35" s="949"/>
      <c r="E35" s="949"/>
      <c r="F35" s="950"/>
      <c r="G35" s="1064" t="s">
        <v>401</v>
      </c>
      <c r="H35" s="950"/>
      <c r="I35" s="1065">
        <f t="shared" si="0"/>
        <v>34.176900000000003</v>
      </c>
      <c r="J35" s="950"/>
      <c r="K35" s="611"/>
    </row>
    <row r="36" spans="1:26" ht="29.25" customHeight="1">
      <c r="A36" s="579"/>
      <c r="B36" s="609">
        <v>10</v>
      </c>
      <c r="C36" s="1062" t="s">
        <v>402</v>
      </c>
      <c r="D36" s="949"/>
      <c r="E36" s="949"/>
      <c r="F36" s="949"/>
      <c r="G36" s="949"/>
      <c r="H36" s="950"/>
      <c r="I36" s="1065">
        <f>I33*1.2</f>
        <v>27.341519999999999</v>
      </c>
      <c r="J36" s="950"/>
      <c r="K36" s="610"/>
    </row>
    <row r="37" spans="1:26" ht="29.25" customHeight="1">
      <c r="A37" s="579"/>
      <c r="B37" s="609">
        <v>11</v>
      </c>
      <c r="C37" s="1062" t="s">
        <v>403</v>
      </c>
      <c r="D37" s="949"/>
      <c r="E37" s="949"/>
      <c r="F37" s="949"/>
      <c r="G37" s="949"/>
      <c r="H37" s="950"/>
      <c r="I37" s="1076">
        <f>I33*2</f>
        <v>45.569200000000002</v>
      </c>
      <c r="J37" s="950"/>
      <c r="K37" s="610"/>
    </row>
    <row r="38" spans="1:26" ht="29.25" hidden="1" customHeight="1" outlineLevel="1">
      <c r="A38" s="579"/>
      <c r="B38" s="609">
        <v>12</v>
      </c>
      <c r="C38" s="1062" t="s">
        <v>404</v>
      </c>
      <c r="D38" s="949"/>
      <c r="E38" s="949"/>
      <c r="F38" s="949"/>
      <c r="G38" s="949"/>
      <c r="H38" s="950"/>
      <c r="I38" s="1063">
        <f>I29*'1-ABA-DE-CARREGAMENTO'!D44</f>
        <v>0</v>
      </c>
      <c r="J38" s="950"/>
      <c r="K38" s="610"/>
    </row>
    <row r="39" spans="1:26" ht="29.25" hidden="1" customHeight="1" outlineLevel="1">
      <c r="A39" s="579"/>
      <c r="B39" s="612">
        <v>13</v>
      </c>
      <c r="C39" s="1078" t="s">
        <v>405</v>
      </c>
      <c r="D39" s="1054"/>
      <c r="E39" s="1054"/>
      <c r="F39" s="1054"/>
      <c r="G39" s="1054"/>
      <c r="H39" s="1055"/>
      <c r="I39" s="1077">
        <f>ROUND(I32/6,2)*1.3*0</f>
        <v>0</v>
      </c>
      <c r="J39" s="1055"/>
      <c r="K39" s="610"/>
    </row>
    <row r="40" spans="1:26" ht="29.25" customHeight="1" collapsed="1">
      <c r="A40" s="579"/>
      <c r="B40" s="613">
        <v>14</v>
      </c>
      <c r="C40" s="1079" t="s">
        <v>406</v>
      </c>
      <c r="D40" s="1080"/>
      <c r="E40" s="1080"/>
      <c r="F40" s="1080"/>
      <c r="G40" s="1080"/>
      <c r="H40" s="1081"/>
      <c r="I40" s="1082">
        <f>'1-ABA-DE-CARREGAMENTO'!C93</f>
        <v>1</v>
      </c>
      <c r="J40" s="1083"/>
      <c r="K40" s="614"/>
    </row>
    <row r="41" spans="1:26" ht="26.25" customHeight="1">
      <c r="A41" s="579"/>
      <c r="B41" s="615">
        <v>15</v>
      </c>
      <c r="C41" s="1084" t="s">
        <v>407</v>
      </c>
      <c r="D41" s="1037"/>
      <c r="E41" s="1037"/>
      <c r="F41" s="1037"/>
      <c r="G41" s="1037"/>
      <c r="H41" s="1038"/>
      <c r="I41" s="1085">
        <f>'1-ABA-DE-CARREGAMENTO'!C42</f>
        <v>1320</v>
      </c>
      <c r="J41" s="1038"/>
      <c r="K41" s="616"/>
    </row>
    <row r="42" spans="1:26" ht="14.25" customHeight="1">
      <c r="A42" s="579"/>
      <c r="B42" s="1047"/>
      <c r="C42" s="949"/>
      <c r="D42" s="949"/>
      <c r="E42" s="949"/>
      <c r="F42" s="949"/>
      <c r="G42" s="949"/>
      <c r="H42" s="949"/>
      <c r="I42" s="949"/>
      <c r="J42" s="950"/>
      <c r="K42" s="362"/>
    </row>
    <row r="43" spans="1:26" ht="30.75" customHeight="1">
      <c r="A43" s="579"/>
      <c r="B43" s="1086" t="s">
        <v>408</v>
      </c>
      <c r="C43" s="949"/>
      <c r="D43" s="949"/>
      <c r="E43" s="949"/>
      <c r="F43" s="949"/>
      <c r="G43" s="949"/>
      <c r="H43" s="949"/>
      <c r="I43" s="949"/>
      <c r="J43" s="950"/>
      <c r="K43" s="617"/>
    </row>
    <row r="44" spans="1:26" ht="12" customHeight="1">
      <c r="A44" s="579"/>
      <c r="B44" s="1087"/>
      <c r="C44" s="949"/>
      <c r="D44" s="949"/>
      <c r="E44" s="949"/>
      <c r="F44" s="949"/>
      <c r="G44" s="949"/>
      <c r="H44" s="949"/>
      <c r="I44" s="949"/>
      <c r="J44" s="950"/>
      <c r="K44" s="618"/>
      <c r="L44" s="619"/>
      <c r="M44" s="619"/>
      <c r="N44" s="619"/>
      <c r="O44" s="619"/>
      <c r="P44" s="619"/>
      <c r="Q44" s="619"/>
      <c r="R44" s="619"/>
      <c r="S44" s="619"/>
      <c r="T44" s="619"/>
      <c r="U44" s="619"/>
      <c r="V44" s="619"/>
      <c r="W44" s="619"/>
      <c r="X44" s="619"/>
      <c r="Y44" s="619"/>
      <c r="Z44" s="619"/>
    </row>
    <row r="45" spans="1:26" ht="24" customHeight="1">
      <c r="A45" s="579"/>
      <c r="B45" s="1088" t="s">
        <v>409</v>
      </c>
      <c r="C45" s="949"/>
      <c r="D45" s="949"/>
      <c r="E45" s="949"/>
      <c r="F45" s="949"/>
      <c r="G45" s="949"/>
      <c r="H45" s="949"/>
      <c r="I45" s="949"/>
      <c r="J45" s="950"/>
      <c r="K45" s="620"/>
      <c r="L45" s="619"/>
      <c r="M45" s="619"/>
      <c r="N45" s="619"/>
      <c r="O45" s="619"/>
      <c r="P45" s="619"/>
      <c r="Q45" s="619"/>
      <c r="R45" s="619"/>
      <c r="S45" s="619"/>
      <c r="T45" s="619"/>
      <c r="U45" s="619"/>
      <c r="V45" s="619"/>
      <c r="W45" s="619"/>
      <c r="X45" s="619"/>
      <c r="Y45" s="619"/>
      <c r="Z45" s="619"/>
    </row>
    <row r="46" spans="1:26" ht="12" customHeight="1">
      <c r="A46" s="621"/>
      <c r="B46" s="622">
        <v>1</v>
      </c>
      <c r="C46" s="1089" t="s">
        <v>410</v>
      </c>
      <c r="D46" s="949"/>
      <c r="E46" s="949"/>
      <c r="F46" s="949"/>
      <c r="G46" s="949"/>
      <c r="H46" s="950"/>
      <c r="I46" s="623" t="s">
        <v>411</v>
      </c>
      <c r="J46" s="622" t="s">
        <v>412</v>
      </c>
      <c r="K46" s="592"/>
      <c r="L46" s="619"/>
      <c r="M46" s="619"/>
      <c r="N46" s="619"/>
      <c r="O46" s="619"/>
      <c r="P46" s="619"/>
      <c r="Q46" s="619"/>
      <c r="R46" s="619"/>
      <c r="S46" s="619"/>
      <c r="T46" s="619"/>
      <c r="U46" s="619"/>
      <c r="V46" s="619"/>
      <c r="W46" s="619"/>
      <c r="X46" s="619"/>
      <c r="Y46" s="619"/>
      <c r="Z46" s="619"/>
    </row>
    <row r="47" spans="1:26" ht="15" customHeight="1">
      <c r="A47" s="579"/>
      <c r="B47" s="589" t="s">
        <v>369</v>
      </c>
      <c r="C47" s="1051" t="s">
        <v>413</v>
      </c>
      <c r="D47" s="949"/>
      <c r="E47" s="949"/>
      <c r="F47" s="950"/>
      <c r="G47" s="624" t="s">
        <v>184</v>
      </c>
      <c r="H47" s="625">
        <f>'1-ABA-DE-CARREGAMENTO'!C52</f>
        <v>150</v>
      </c>
      <c r="I47" s="626"/>
      <c r="J47" s="627">
        <f>I29</f>
        <v>3417.69</v>
      </c>
      <c r="K47" s="628"/>
      <c r="L47" s="619"/>
      <c r="M47" s="619"/>
      <c r="N47" s="619"/>
      <c r="O47" s="619"/>
      <c r="P47" s="619"/>
      <c r="Q47" s="619"/>
      <c r="R47" s="619"/>
      <c r="S47" s="619"/>
      <c r="T47" s="619"/>
      <c r="U47" s="619"/>
      <c r="V47" s="619"/>
      <c r="W47" s="619"/>
      <c r="X47" s="619"/>
      <c r="Y47" s="619"/>
      <c r="Z47" s="619"/>
    </row>
    <row r="48" spans="1:26" ht="16.5" customHeight="1">
      <c r="A48" s="579"/>
      <c r="B48" s="589" t="s">
        <v>371</v>
      </c>
      <c r="C48" s="1051" t="s">
        <v>414</v>
      </c>
      <c r="D48" s="949"/>
      <c r="E48" s="949"/>
      <c r="F48" s="1090" t="str">
        <f>'1-ABA-DE-CARREGAMENTO'!C38</f>
        <v>SEM ADICIONAL DE FUNÇÃO</v>
      </c>
      <c r="G48" s="949"/>
      <c r="H48" s="950"/>
      <c r="I48" s="629">
        <f>'1-ABA-DE-CARREGAMENTO'!C39</f>
        <v>0</v>
      </c>
      <c r="J48" s="627">
        <f>J47*I48</f>
        <v>0</v>
      </c>
      <c r="K48" s="628"/>
      <c r="L48" s="619"/>
      <c r="M48" s="619"/>
      <c r="N48" s="619"/>
      <c r="O48" s="619"/>
      <c r="P48" s="619"/>
      <c r="Q48" s="619"/>
      <c r="R48" s="619"/>
      <c r="S48" s="619"/>
      <c r="T48" s="619"/>
      <c r="U48" s="619"/>
      <c r="V48" s="619"/>
      <c r="W48" s="619"/>
      <c r="X48" s="619"/>
      <c r="Y48" s="619"/>
      <c r="Z48" s="619"/>
    </row>
    <row r="49" spans="1:26" ht="28.5" customHeight="1">
      <c r="A49" s="579"/>
      <c r="B49" s="589" t="s">
        <v>373</v>
      </c>
      <c r="C49" s="1051" t="s">
        <v>415</v>
      </c>
      <c r="D49" s="949"/>
      <c r="E49" s="949"/>
      <c r="F49" s="949"/>
      <c r="G49" s="949"/>
      <c r="H49" s="950"/>
      <c r="I49" s="630">
        <f>'1-ABA-DE-CARREGAMENTO'!C44</f>
        <v>0</v>
      </c>
      <c r="J49" s="627">
        <f>ROUND(J47*I49,2)</f>
        <v>0</v>
      </c>
      <c r="K49" s="628"/>
      <c r="L49" s="619"/>
      <c r="M49" s="619"/>
      <c r="N49" s="619"/>
      <c r="O49" s="619"/>
      <c r="P49" s="619"/>
      <c r="Q49" s="619"/>
      <c r="R49" s="619"/>
      <c r="S49" s="619"/>
      <c r="T49" s="619"/>
      <c r="U49" s="619"/>
      <c r="V49" s="619"/>
      <c r="W49" s="619"/>
      <c r="X49" s="619"/>
      <c r="Y49" s="619"/>
      <c r="Z49" s="619"/>
    </row>
    <row r="50" spans="1:26" ht="15.75" customHeight="1">
      <c r="A50" s="579"/>
      <c r="B50" s="589" t="s">
        <v>375</v>
      </c>
      <c r="C50" s="1051" t="s">
        <v>416</v>
      </c>
      <c r="D50" s="949"/>
      <c r="E50" s="949"/>
      <c r="F50" s="949"/>
      <c r="G50" s="1090" t="str">
        <f>'1-ABA-DE-CARREGAMENTO'!C40</f>
        <v>SEM ADICIONAL DE RISCO</v>
      </c>
      <c r="H50" s="950"/>
      <c r="I50" s="631">
        <f>'1-ABA-DE-CARREGAMENTO'!C41</f>
        <v>0</v>
      </c>
      <c r="J50" s="627">
        <f>ROUND(I50*I41,2)</f>
        <v>0</v>
      </c>
      <c r="K50" s="628"/>
      <c r="L50" s="619"/>
      <c r="M50" s="619"/>
      <c r="N50" s="619"/>
      <c r="O50" s="619"/>
      <c r="P50" s="619"/>
      <c r="Q50" s="619"/>
      <c r="R50" s="619"/>
      <c r="S50" s="619"/>
      <c r="T50" s="619"/>
      <c r="U50" s="619"/>
      <c r="V50" s="619"/>
      <c r="W50" s="619"/>
      <c r="X50" s="619"/>
      <c r="Y50" s="619"/>
      <c r="Z50" s="619"/>
    </row>
    <row r="51" spans="1:26" ht="37.5" hidden="1" customHeight="1" outlineLevel="1">
      <c r="A51" s="579"/>
      <c r="B51" s="589" t="s">
        <v>417</v>
      </c>
      <c r="C51" s="1091" t="s">
        <v>418</v>
      </c>
      <c r="D51" s="949"/>
      <c r="E51" s="950"/>
      <c r="F51" s="632" t="s">
        <v>419</v>
      </c>
      <c r="G51" s="633">
        <v>0</v>
      </c>
      <c r="H51" s="632" t="s">
        <v>420</v>
      </c>
      <c r="I51" s="634">
        <f>I36</f>
        <v>27.341519999999999</v>
      </c>
      <c r="J51" s="635">
        <f>G51*I51</f>
        <v>0</v>
      </c>
      <c r="K51" s="628"/>
      <c r="L51" s="619"/>
      <c r="M51" s="619"/>
      <c r="N51" s="619"/>
      <c r="O51" s="619"/>
      <c r="P51" s="619"/>
      <c r="Q51" s="619"/>
      <c r="R51" s="619"/>
      <c r="S51" s="619"/>
      <c r="T51" s="619"/>
      <c r="U51" s="619"/>
      <c r="V51" s="619"/>
      <c r="W51" s="619"/>
      <c r="X51" s="619"/>
      <c r="Y51" s="619"/>
      <c r="Z51" s="619"/>
    </row>
    <row r="52" spans="1:26" ht="45" hidden="1" customHeight="1" outlineLevel="1">
      <c r="A52" s="579"/>
      <c r="B52" s="589" t="s">
        <v>421</v>
      </c>
      <c r="C52" s="1092" t="s">
        <v>422</v>
      </c>
      <c r="D52" s="949"/>
      <c r="E52" s="949"/>
      <c r="F52" s="949"/>
      <c r="G52" s="949"/>
      <c r="H52" s="949"/>
      <c r="I52" s="950"/>
      <c r="J52" s="627">
        <f>ROUND(I38*(((12*15)+15)-((44/6)*26))*I35,2)*0+ROUND(2*4.33*I35,2)*0</f>
        <v>0</v>
      </c>
      <c r="K52" s="628"/>
      <c r="L52" s="619"/>
      <c r="M52" s="619"/>
      <c r="N52" s="619"/>
      <c r="O52" s="619"/>
      <c r="P52" s="619"/>
      <c r="Q52" s="619"/>
      <c r="R52" s="619"/>
      <c r="S52" s="619"/>
      <c r="T52" s="619"/>
      <c r="U52" s="619"/>
      <c r="V52" s="619"/>
      <c r="W52" s="619"/>
      <c r="X52" s="619"/>
      <c r="Y52" s="619"/>
      <c r="Z52" s="619"/>
    </row>
    <row r="53" spans="1:26" ht="35.25" hidden="1" customHeight="1" outlineLevel="1">
      <c r="A53" s="579"/>
      <c r="B53" s="589" t="s">
        <v>423</v>
      </c>
      <c r="C53" s="1092" t="s">
        <v>424</v>
      </c>
      <c r="D53" s="949"/>
      <c r="E53" s="949"/>
      <c r="F53" s="949"/>
      <c r="G53" s="949"/>
      <c r="H53" s="949"/>
      <c r="I53" s="950"/>
      <c r="J53" s="627">
        <f>ROUND(I39*I40*15,2)*0</f>
        <v>0</v>
      </c>
      <c r="K53" s="628"/>
      <c r="L53" s="619"/>
      <c r="M53" s="619"/>
      <c r="N53" s="619"/>
      <c r="O53" s="619"/>
      <c r="P53" s="619"/>
      <c r="Q53" s="619"/>
      <c r="R53" s="619"/>
      <c r="S53" s="619"/>
      <c r="T53" s="619"/>
      <c r="U53" s="619"/>
      <c r="V53" s="619"/>
      <c r="W53" s="619"/>
      <c r="X53" s="619"/>
      <c r="Y53" s="619"/>
      <c r="Z53" s="619"/>
    </row>
    <row r="54" spans="1:26" ht="29.25" hidden="1" customHeight="1" outlineLevel="1">
      <c r="A54" s="579"/>
      <c r="B54" s="589" t="s">
        <v>425</v>
      </c>
      <c r="C54" s="1093" t="s">
        <v>426</v>
      </c>
      <c r="D54" s="1037"/>
      <c r="E54" s="1037"/>
      <c r="F54" s="636" t="s">
        <v>427</v>
      </c>
      <c r="G54" s="637">
        <v>0</v>
      </c>
      <c r="H54" s="636" t="s">
        <v>428</v>
      </c>
      <c r="I54" s="638">
        <f>I35</f>
        <v>34.176900000000003</v>
      </c>
      <c r="J54" s="635">
        <f t="shared" ref="J54:J55" si="1">G54*I54</f>
        <v>0</v>
      </c>
      <c r="K54" s="628"/>
      <c r="L54" s="619"/>
      <c r="M54" s="619"/>
      <c r="N54" s="619"/>
      <c r="O54" s="619"/>
      <c r="P54" s="619"/>
      <c r="Q54" s="619"/>
      <c r="R54" s="619"/>
      <c r="S54" s="619"/>
      <c r="T54" s="619"/>
      <c r="U54" s="619"/>
      <c r="V54" s="619"/>
      <c r="W54" s="619"/>
      <c r="X54" s="619"/>
      <c r="Y54" s="619"/>
      <c r="Z54" s="619"/>
    </row>
    <row r="55" spans="1:26" ht="29.25" hidden="1" customHeight="1" outlineLevel="1">
      <c r="A55" s="579"/>
      <c r="B55" s="589" t="s">
        <v>429</v>
      </c>
      <c r="C55" s="1093" t="s">
        <v>430</v>
      </c>
      <c r="D55" s="1037"/>
      <c r="E55" s="1037"/>
      <c r="F55" s="636" t="s">
        <v>431</v>
      </c>
      <c r="G55" s="637">
        <v>0</v>
      </c>
      <c r="H55" s="636" t="s">
        <v>432</v>
      </c>
      <c r="I55" s="638">
        <f>I37</f>
        <v>45.569200000000002</v>
      </c>
      <c r="J55" s="639">
        <f t="shared" si="1"/>
        <v>0</v>
      </c>
      <c r="K55" s="628"/>
      <c r="L55" s="619"/>
      <c r="M55" s="619"/>
      <c r="N55" s="619"/>
      <c r="O55" s="619"/>
      <c r="P55" s="619"/>
      <c r="Q55" s="619"/>
      <c r="R55" s="619"/>
      <c r="S55" s="619"/>
      <c r="T55" s="619"/>
      <c r="U55" s="619"/>
      <c r="V55" s="619"/>
      <c r="W55" s="619"/>
      <c r="X55" s="619"/>
      <c r="Y55" s="619"/>
      <c r="Z55" s="619"/>
    </row>
    <row r="56" spans="1:26" ht="42" customHeight="1" collapsed="1">
      <c r="A56" s="579"/>
      <c r="B56" s="589" t="s">
        <v>433</v>
      </c>
      <c r="C56" s="1094" t="s">
        <v>434</v>
      </c>
      <c r="D56" s="947"/>
      <c r="E56" s="947"/>
      <c r="F56" s="640" t="s">
        <v>435</v>
      </c>
      <c r="G56" s="641">
        <f>(G54+G55)*0.2</f>
        <v>0</v>
      </c>
      <c r="H56" s="636"/>
      <c r="I56" s="638"/>
      <c r="J56" s="627">
        <f>ROUND(SUM(J54:J55)*0.2,2)</f>
        <v>0</v>
      </c>
      <c r="K56" s="628"/>
      <c r="L56" s="619"/>
      <c r="M56" s="642"/>
      <c r="N56" s="642"/>
      <c r="O56" s="619"/>
      <c r="P56" s="619"/>
      <c r="Q56" s="619"/>
      <c r="R56" s="619"/>
      <c r="S56" s="619"/>
      <c r="T56" s="619"/>
      <c r="U56" s="619"/>
      <c r="V56" s="619"/>
      <c r="W56" s="619"/>
      <c r="X56" s="619"/>
      <c r="Y56" s="619"/>
      <c r="Z56" s="619"/>
    </row>
    <row r="57" spans="1:26" ht="29.25" customHeight="1">
      <c r="A57" s="579"/>
      <c r="B57" s="589" t="s">
        <v>436</v>
      </c>
      <c r="C57" s="1051" t="s">
        <v>437</v>
      </c>
      <c r="D57" s="949"/>
      <c r="E57" s="949"/>
      <c r="F57" s="949"/>
      <c r="G57" s="949"/>
      <c r="H57" s="949"/>
      <c r="I57" s="950"/>
      <c r="J57" s="643" t="s">
        <v>382</v>
      </c>
      <c r="K57" s="644"/>
      <c r="L57" s="619"/>
      <c r="M57" s="642"/>
      <c r="N57" s="642"/>
      <c r="O57" s="619"/>
      <c r="P57" s="619"/>
      <c r="Q57" s="619"/>
      <c r="R57" s="619"/>
      <c r="S57" s="619"/>
      <c r="T57" s="619"/>
      <c r="U57" s="619"/>
      <c r="V57" s="619"/>
      <c r="W57" s="619"/>
      <c r="X57" s="619"/>
      <c r="Y57" s="619"/>
      <c r="Z57" s="619"/>
    </row>
    <row r="58" spans="1:26" ht="35.25" customHeight="1">
      <c r="A58" s="579"/>
      <c r="B58" s="1050" t="s">
        <v>438</v>
      </c>
      <c r="C58" s="949"/>
      <c r="D58" s="949"/>
      <c r="E58" s="949"/>
      <c r="F58" s="949"/>
      <c r="G58" s="949"/>
      <c r="H58" s="949"/>
      <c r="I58" s="950"/>
      <c r="J58" s="645">
        <f>SUM(J47:J57)</f>
        <v>3417.69</v>
      </c>
      <c r="K58" s="646"/>
      <c r="L58" s="619"/>
      <c r="M58" s="642"/>
      <c r="N58" s="642"/>
      <c r="O58" s="619"/>
      <c r="P58" s="619"/>
      <c r="Q58" s="619"/>
      <c r="R58" s="619"/>
      <c r="S58" s="619"/>
      <c r="T58" s="619"/>
      <c r="U58" s="619"/>
      <c r="V58" s="619"/>
      <c r="W58" s="619"/>
      <c r="X58" s="619"/>
      <c r="Y58" s="619"/>
      <c r="Z58" s="619"/>
    </row>
    <row r="59" spans="1:26" ht="15.75" customHeight="1">
      <c r="A59" s="579"/>
      <c r="B59" s="647"/>
      <c r="C59" s="1095"/>
      <c r="D59" s="949"/>
      <c r="E59" s="949"/>
      <c r="F59" s="949"/>
      <c r="G59" s="949"/>
      <c r="H59" s="949"/>
      <c r="I59" s="950"/>
      <c r="J59" s="648"/>
      <c r="K59" s="646"/>
      <c r="L59" s="619"/>
      <c r="M59" s="642"/>
      <c r="N59" s="642"/>
      <c r="O59" s="619"/>
      <c r="P59" s="619"/>
      <c r="Q59" s="619"/>
      <c r="R59" s="619"/>
      <c r="S59" s="619"/>
      <c r="T59" s="619"/>
      <c r="U59" s="619"/>
      <c r="V59" s="619"/>
      <c r="W59" s="619"/>
      <c r="X59" s="619"/>
      <c r="Y59" s="619"/>
      <c r="Z59" s="619"/>
    </row>
    <row r="60" spans="1:26" ht="29.25" customHeight="1">
      <c r="A60" s="579"/>
      <c r="B60" s="589" t="s">
        <v>425</v>
      </c>
      <c r="C60" s="1051" t="s">
        <v>439</v>
      </c>
      <c r="D60" s="949"/>
      <c r="E60" s="949"/>
      <c r="F60" s="949"/>
      <c r="G60" s="949"/>
      <c r="H60" s="949"/>
      <c r="I60" s="950"/>
      <c r="J60" s="627">
        <f>ROUND(I34*15*I40*0.5,2)*0</f>
        <v>0</v>
      </c>
      <c r="K60" s="628"/>
      <c r="L60" s="619"/>
      <c r="M60" s="619"/>
      <c r="N60" s="619"/>
      <c r="O60" s="619"/>
      <c r="P60" s="619"/>
      <c r="Q60" s="619"/>
      <c r="R60" s="619"/>
      <c r="S60" s="619"/>
      <c r="T60" s="619"/>
      <c r="U60" s="619"/>
      <c r="V60" s="619"/>
      <c r="W60" s="619"/>
      <c r="X60" s="619"/>
      <c r="Y60" s="619"/>
      <c r="Z60" s="619"/>
    </row>
    <row r="61" spans="1:26" ht="41.25" customHeight="1">
      <c r="A61" s="579"/>
      <c r="B61" s="1050" t="s">
        <v>440</v>
      </c>
      <c r="C61" s="949"/>
      <c r="D61" s="949"/>
      <c r="E61" s="949"/>
      <c r="F61" s="949"/>
      <c r="G61" s="949"/>
      <c r="H61" s="949"/>
      <c r="I61" s="950"/>
      <c r="J61" s="645">
        <f>J60</f>
        <v>0</v>
      </c>
      <c r="K61" s="646"/>
      <c r="L61" s="619"/>
      <c r="M61" s="619"/>
      <c r="N61" s="619"/>
      <c r="O61" s="619"/>
      <c r="P61" s="619"/>
      <c r="Q61" s="619"/>
      <c r="R61" s="619"/>
      <c r="S61" s="619"/>
      <c r="T61" s="619"/>
      <c r="U61" s="619"/>
      <c r="V61" s="619"/>
      <c r="W61" s="619"/>
      <c r="X61" s="619"/>
      <c r="Y61" s="619"/>
      <c r="Z61" s="619"/>
    </row>
    <row r="62" spans="1:26" ht="7.5" customHeight="1">
      <c r="A62" s="579"/>
      <c r="B62" s="1045"/>
      <c r="C62" s="949"/>
      <c r="D62" s="949"/>
      <c r="E62" s="949"/>
      <c r="F62" s="949"/>
      <c r="G62" s="949"/>
      <c r="H62" s="949"/>
      <c r="I62" s="949"/>
      <c r="J62" s="950"/>
      <c r="K62" s="593"/>
      <c r="L62" s="619"/>
      <c r="M62" s="619"/>
      <c r="N62" s="619"/>
      <c r="O62" s="619"/>
      <c r="P62" s="619"/>
      <c r="Q62" s="619"/>
      <c r="R62" s="619"/>
      <c r="S62" s="619"/>
      <c r="T62" s="619"/>
      <c r="U62" s="619"/>
      <c r="V62" s="619"/>
      <c r="W62" s="619"/>
      <c r="X62" s="619"/>
      <c r="Y62" s="619"/>
      <c r="Z62" s="619"/>
    </row>
    <row r="63" spans="1:26" ht="53.25" customHeight="1">
      <c r="A63" s="579"/>
      <c r="B63" s="1096" t="s">
        <v>441</v>
      </c>
      <c r="C63" s="949"/>
      <c r="D63" s="949"/>
      <c r="E63" s="949"/>
      <c r="F63" s="949"/>
      <c r="G63" s="949"/>
      <c r="H63" s="949"/>
      <c r="I63" s="950"/>
      <c r="J63" s="649">
        <f>J58+J61</f>
        <v>3417.69</v>
      </c>
      <c r="K63" s="650"/>
      <c r="L63" s="619"/>
      <c r="M63" s="619"/>
      <c r="N63" s="619"/>
      <c r="O63" s="619"/>
      <c r="P63" s="619"/>
      <c r="Q63" s="619"/>
      <c r="R63" s="619"/>
      <c r="S63" s="619"/>
      <c r="T63" s="619"/>
      <c r="U63" s="619"/>
      <c r="V63" s="619"/>
      <c r="W63" s="619"/>
      <c r="X63" s="619"/>
      <c r="Y63" s="619"/>
      <c r="Z63" s="619"/>
    </row>
    <row r="64" spans="1:26" ht="7.5" customHeight="1">
      <c r="A64" s="579"/>
      <c r="B64" s="1095"/>
      <c r="C64" s="949"/>
      <c r="D64" s="949"/>
      <c r="E64" s="949"/>
      <c r="F64" s="949"/>
      <c r="G64" s="949"/>
      <c r="H64" s="949"/>
      <c r="I64" s="949"/>
      <c r="J64" s="950"/>
      <c r="K64" s="651"/>
      <c r="L64" s="619"/>
      <c r="M64" s="619"/>
      <c r="N64" s="619"/>
      <c r="O64" s="619"/>
      <c r="P64" s="619"/>
      <c r="Q64" s="619"/>
      <c r="R64" s="619"/>
      <c r="S64" s="619"/>
      <c r="T64" s="619"/>
      <c r="U64" s="619"/>
      <c r="V64" s="619"/>
      <c r="W64" s="619"/>
      <c r="X64" s="619"/>
      <c r="Y64" s="619"/>
      <c r="Z64" s="619"/>
    </row>
    <row r="65" spans="1:26" ht="21" customHeight="1">
      <c r="A65" s="579"/>
      <c r="B65" s="1097" t="s">
        <v>442</v>
      </c>
      <c r="C65" s="949"/>
      <c r="D65" s="949"/>
      <c r="E65" s="949"/>
      <c r="F65" s="949"/>
      <c r="G65" s="949"/>
      <c r="H65" s="949"/>
      <c r="I65" s="949"/>
      <c r="J65" s="950"/>
      <c r="K65" s="652"/>
      <c r="L65" s="619"/>
      <c r="M65" s="619"/>
      <c r="N65" s="619"/>
      <c r="O65" s="619"/>
      <c r="P65" s="619"/>
      <c r="Q65" s="619"/>
      <c r="R65" s="619"/>
      <c r="S65" s="619"/>
      <c r="T65" s="619"/>
      <c r="U65" s="619"/>
      <c r="V65" s="619"/>
      <c r="W65" s="619"/>
      <c r="X65" s="619"/>
      <c r="Y65" s="619"/>
      <c r="Z65" s="619"/>
    </row>
    <row r="66" spans="1:26" ht="7.5" customHeight="1">
      <c r="A66" s="579"/>
      <c r="B66" s="1095"/>
      <c r="C66" s="949"/>
      <c r="D66" s="949"/>
      <c r="E66" s="949"/>
      <c r="F66" s="949"/>
      <c r="G66" s="949"/>
      <c r="H66" s="949"/>
      <c r="I66" s="949"/>
      <c r="J66" s="950"/>
      <c r="K66" s="651"/>
      <c r="L66" s="619"/>
      <c r="M66" s="619"/>
      <c r="N66" s="619"/>
      <c r="O66" s="619"/>
      <c r="P66" s="619"/>
      <c r="Q66" s="619"/>
      <c r="R66" s="619"/>
      <c r="S66" s="619"/>
      <c r="T66" s="619"/>
      <c r="U66" s="619"/>
      <c r="V66" s="619"/>
      <c r="W66" s="619"/>
      <c r="X66" s="619"/>
      <c r="Y66" s="619"/>
      <c r="Z66" s="619"/>
    </row>
    <row r="67" spans="1:26" ht="17.25" customHeight="1">
      <c r="A67" s="579"/>
      <c r="B67" s="1098" t="s">
        <v>443</v>
      </c>
      <c r="C67" s="949"/>
      <c r="D67" s="949"/>
      <c r="E67" s="949"/>
      <c r="F67" s="949"/>
      <c r="G67" s="949"/>
      <c r="H67" s="949"/>
      <c r="I67" s="949"/>
      <c r="J67" s="950"/>
      <c r="K67" s="653"/>
      <c r="L67" s="619"/>
      <c r="M67" s="619"/>
      <c r="N67" s="619"/>
      <c r="O67" s="619"/>
      <c r="P67" s="619"/>
      <c r="Q67" s="619"/>
      <c r="R67" s="619"/>
      <c r="S67" s="619"/>
      <c r="T67" s="619"/>
      <c r="U67" s="619"/>
      <c r="V67" s="619"/>
      <c r="W67" s="619"/>
      <c r="X67" s="619"/>
      <c r="Y67" s="619"/>
      <c r="Z67" s="619"/>
    </row>
    <row r="68" spans="1:26" ht="17.25" customHeight="1">
      <c r="A68" s="579"/>
      <c r="B68" s="1099" t="s">
        <v>444</v>
      </c>
      <c r="C68" s="949"/>
      <c r="D68" s="949"/>
      <c r="E68" s="949"/>
      <c r="F68" s="949"/>
      <c r="G68" s="949"/>
      <c r="H68" s="949"/>
      <c r="I68" s="949"/>
      <c r="J68" s="950"/>
      <c r="K68" s="654"/>
      <c r="L68" s="619"/>
      <c r="M68" s="619"/>
      <c r="N68" s="619"/>
      <c r="O68" s="619"/>
      <c r="P68" s="619"/>
      <c r="Q68" s="619"/>
      <c r="R68" s="619"/>
      <c r="S68" s="619"/>
      <c r="T68" s="619"/>
      <c r="U68" s="619"/>
      <c r="V68" s="619"/>
      <c r="W68" s="619"/>
      <c r="X68" s="619"/>
      <c r="Y68" s="619"/>
      <c r="Z68" s="619"/>
    </row>
    <row r="69" spans="1:26" ht="31.5" customHeight="1">
      <c r="A69" s="579"/>
      <c r="B69" s="655" t="s">
        <v>445</v>
      </c>
      <c r="C69" s="1100" t="s">
        <v>446</v>
      </c>
      <c r="D69" s="949"/>
      <c r="E69" s="949"/>
      <c r="F69" s="949"/>
      <c r="G69" s="949"/>
      <c r="H69" s="949"/>
      <c r="I69" s="950"/>
      <c r="J69" s="656" t="s">
        <v>447</v>
      </c>
      <c r="K69" s="657"/>
      <c r="L69" s="619"/>
      <c r="M69" s="619"/>
      <c r="N69" s="619"/>
      <c r="O69" s="619"/>
      <c r="P69" s="619"/>
      <c r="Q69" s="619"/>
      <c r="R69" s="619"/>
      <c r="S69" s="619"/>
      <c r="T69" s="619"/>
      <c r="U69" s="619"/>
      <c r="V69" s="619"/>
      <c r="W69" s="619"/>
      <c r="X69" s="619"/>
      <c r="Y69" s="619"/>
      <c r="Z69" s="619"/>
    </row>
    <row r="70" spans="1:26" ht="24" customHeight="1">
      <c r="A70" s="579"/>
      <c r="B70" s="655" t="s">
        <v>369</v>
      </c>
      <c r="C70" s="1092" t="s">
        <v>448</v>
      </c>
      <c r="D70" s="949"/>
      <c r="E70" s="949"/>
      <c r="F70" s="949"/>
      <c r="G70" s="949"/>
      <c r="H70" s="950"/>
      <c r="I70" s="658">
        <v>8.3299999999999999E-2</v>
      </c>
      <c r="J70" s="659">
        <f>ROUND(J58*I70,2)</f>
        <v>284.69</v>
      </c>
      <c r="K70" s="660"/>
      <c r="L70" s="619"/>
      <c r="M70" s="619"/>
      <c r="N70" s="619"/>
      <c r="O70" s="619"/>
      <c r="P70" s="619"/>
      <c r="Q70" s="619"/>
      <c r="R70" s="619"/>
      <c r="S70" s="619"/>
      <c r="T70" s="619"/>
      <c r="U70" s="619"/>
      <c r="V70" s="619"/>
      <c r="W70" s="619"/>
      <c r="X70" s="619"/>
      <c r="Y70" s="619"/>
      <c r="Z70" s="619"/>
    </row>
    <row r="71" spans="1:26" ht="96.75" customHeight="1">
      <c r="A71" s="579"/>
      <c r="B71" s="655" t="s">
        <v>371</v>
      </c>
      <c r="C71" s="1101" t="s">
        <v>449</v>
      </c>
      <c r="D71" s="949"/>
      <c r="E71" s="949"/>
      <c r="F71" s="949"/>
      <c r="G71" s="949"/>
      <c r="H71" s="950"/>
      <c r="I71" s="661">
        <v>3.0249999999999999E-2</v>
      </c>
      <c r="J71" s="659">
        <f>ROUND(J58*I71,2)</f>
        <v>103.39</v>
      </c>
      <c r="K71" s="660"/>
    </row>
    <row r="72" spans="1:26" ht="15.75" customHeight="1">
      <c r="A72" s="579"/>
      <c r="B72" s="1102" t="s">
        <v>450</v>
      </c>
      <c r="C72" s="949"/>
      <c r="D72" s="949"/>
      <c r="E72" s="949"/>
      <c r="F72" s="949"/>
      <c r="G72" s="949"/>
      <c r="H72" s="949"/>
      <c r="I72" s="950"/>
      <c r="J72" s="662">
        <f>SUM(J70+J71)</f>
        <v>388.08</v>
      </c>
      <c r="K72" s="663"/>
    </row>
    <row r="73" spans="1:26" ht="12" customHeight="1">
      <c r="A73" s="579"/>
      <c r="B73" s="1103"/>
      <c r="C73" s="949"/>
      <c r="D73" s="949"/>
      <c r="E73" s="949"/>
      <c r="F73" s="949"/>
      <c r="G73" s="949"/>
      <c r="H73" s="949"/>
      <c r="I73" s="949"/>
      <c r="J73" s="950"/>
      <c r="K73" s="664"/>
    </row>
    <row r="74" spans="1:26" ht="72.75" customHeight="1">
      <c r="A74" s="579"/>
      <c r="B74" s="1086" t="s">
        <v>451</v>
      </c>
      <c r="C74" s="949"/>
      <c r="D74" s="949"/>
      <c r="E74" s="949"/>
      <c r="F74" s="949"/>
      <c r="G74" s="949"/>
      <c r="H74" s="949"/>
      <c r="I74" s="949"/>
      <c r="J74" s="950"/>
      <c r="K74" s="617"/>
    </row>
    <row r="75" spans="1:26" ht="12" customHeight="1">
      <c r="A75" s="579"/>
      <c r="B75" s="1104"/>
      <c r="C75" s="949"/>
      <c r="D75" s="949"/>
      <c r="E75" s="949"/>
      <c r="F75" s="949"/>
      <c r="G75" s="949"/>
      <c r="H75" s="949"/>
      <c r="I75" s="949"/>
      <c r="J75" s="950"/>
      <c r="K75" s="617"/>
    </row>
    <row r="76" spans="1:26" ht="35.25" customHeight="1">
      <c r="A76" s="579"/>
      <c r="B76" s="1105" t="s">
        <v>452</v>
      </c>
      <c r="C76" s="949"/>
      <c r="D76" s="949"/>
      <c r="E76" s="949"/>
      <c r="F76" s="949"/>
      <c r="G76" s="949"/>
      <c r="H76" s="949"/>
      <c r="I76" s="949"/>
      <c r="J76" s="950"/>
      <c r="K76" s="665"/>
    </row>
    <row r="77" spans="1:26" ht="34.5" customHeight="1">
      <c r="A77" s="579"/>
      <c r="B77" s="666" t="s">
        <v>453</v>
      </c>
      <c r="C77" s="1110" t="s">
        <v>454</v>
      </c>
      <c r="D77" s="949"/>
      <c r="E77" s="949"/>
      <c r="F77" s="949"/>
      <c r="G77" s="949"/>
      <c r="H77" s="950"/>
      <c r="I77" s="667" t="s">
        <v>411</v>
      </c>
      <c r="J77" s="668" t="s">
        <v>455</v>
      </c>
      <c r="K77" s="657"/>
    </row>
    <row r="78" spans="1:26" ht="16.5" customHeight="1">
      <c r="A78" s="579"/>
      <c r="B78" s="669" t="s">
        <v>369</v>
      </c>
      <c r="C78" s="1051" t="s">
        <v>456</v>
      </c>
      <c r="D78" s="949"/>
      <c r="E78" s="949"/>
      <c r="F78" s="949"/>
      <c r="G78" s="949"/>
      <c r="H78" s="950"/>
      <c r="I78" s="670">
        <v>0.2</v>
      </c>
      <c r="J78" s="671">
        <f>ROUND((J58+J72)*I78,2)</f>
        <v>761.15</v>
      </c>
      <c r="K78" s="663"/>
    </row>
    <row r="79" spans="1:26" ht="16.5" customHeight="1">
      <c r="A79" s="579"/>
      <c r="B79" s="669" t="s">
        <v>371</v>
      </c>
      <c r="C79" s="1051" t="s">
        <v>457</v>
      </c>
      <c r="D79" s="949"/>
      <c r="E79" s="949"/>
      <c r="F79" s="949"/>
      <c r="G79" s="949"/>
      <c r="H79" s="950"/>
      <c r="I79" s="670">
        <v>2.5000000000000001E-2</v>
      </c>
      <c r="J79" s="671">
        <f>ROUND((J58+J72)*I79,2)</f>
        <v>95.14</v>
      </c>
      <c r="K79" s="663"/>
    </row>
    <row r="80" spans="1:26" ht="57.75" customHeight="1">
      <c r="A80" s="579"/>
      <c r="B80" s="669" t="s">
        <v>373</v>
      </c>
      <c r="C80" s="1051" t="s">
        <v>458</v>
      </c>
      <c r="D80" s="950"/>
      <c r="E80" s="602" t="s">
        <v>459</v>
      </c>
      <c r="F80" s="672">
        <f>'1-ABA-DE-CARREGAMENTO'!C57</f>
        <v>0.03</v>
      </c>
      <c r="G80" s="602" t="s">
        <v>460</v>
      </c>
      <c r="H80" s="673">
        <f>'1-ABA-DE-CARREGAMENTO'!C58</f>
        <v>1</v>
      </c>
      <c r="I80" s="674">
        <f>ROUND((F80*H80),6)</f>
        <v>0.03</v>
      </c>
      <c r="J80" s="671">
        <f>ROUND((J58+J72)*I80,2)</f>
        <v>114.17</v>
      </c>
      <c r="K80" s="663"/>
    </row>
    <row r="81" spans="1:11" ht="16.5" customHeight="1">
      <c r="A81" s="579"/>
      <c r="B81" s="669" t="s">
        <v>375</v>
      </c>
      <c r="C81" s="1051" t="s">
        <v>461</v>
      </c>
      <c r="D81" s="949"/>
      <c r="E81" s="949"/>
      <c r="F81" s="949"/>
      <c r="G81" s="949"/>
      <c r="H81" s="950"/>
      <c r="I81" s="670">
        <v>1.4999999999999999E-2</v>
      </c>
      <c r="J81" s="671">
        <f>ROUND((J58+J72)*I81,2)</f>
        <v>57.09</v>
      </c>
      <c r="K81" s="663"/>
    </row>
    <row r="82" spans="1:11" ht="16.5" customHeight="1">
      <c r="A82" s="579"/>
      <c r="B82" s="669" t="s">
        <v>417</v>
      </c>
      <c r="C82" s="1051" t="s">
        <v>462</v>
      </c>
      <c r="D82" s="949"/>
      <c r="E82" s="949"/>
      <c r="F82" s="949"/>
      <c r="G82" s="949"/>
      <c r="H82" s="950"/>
      <c r="I82" s="670">
        <v>0.01</v>
      </c>
      <c r="J82" s="671">
        <f>ROUND((J58+J72)*I82,2)</f>
        <v>38.06</v>
      </c>
      <c r="K82" s="663"/>
    </row>
    <row r="83" spans="1:11" ht="16.5" customHeight="1">
      <c r="A83" s="579"/>
      <c r="B83" s="669" t="s">
        <v>421</v>
      </c>
      <c r="C83" s="1051" t="s">
        <v>463</v>
      </c>
      <c r="D83" s="949"/>
      <c r="E83" s="949"/>
      <c r="F83" s="949"/>
      <c r="G83" s="949"/>
      <c r="H83" s="950"/>
      <c r="I83" s="670">
        <v>6.0000000000000001E-3</v>
      </c>
      <c r="J83" s="671">
        <f>ROUND((J58+J72)*I83,2)</f>
        <v>22.83</v>
      </c>
      <c r="K83" s="663"/>
    </row>
    <row r="84" spans="1:11" ht="16.5" customHeight="1">
      <c r="A84" s="579"/>
      <c r="B84" s="669" t="s">
        <v>423</v>
      </c>
      <c r="C84" s="1051" t="s">
        <v>464</v>
      </c>
      <c r="D84" s="949"/>
      <c r="E84" s="949"/>
      <c r="F84" s="949"/>
      <c r="G84" s="949"/>
      <c r="H84" s="950"/>
      <c r="I84" s="670">
        <v>2E-3</v>
      </c>
      <c r="J84" s="671">
        <f>ROUND((J58+J72)*I84,2)</f>
        <v>7.61</v>
      </c>
      <c r="K84" s="663"/>
    </row>
    <row r="85" spans="1:11" ht="28.5" customHeight="1">
      <c r="A85" s="579"/>
      <c r="B85" s="669" t="s">
        <v>425</v>
      </c>
      <c r="C85" s="1051" t="s">
        <v>465</v>
      </c>
      <c r="D85" s="949"/>
      <c r="E85" s="949"/>
      <c r="F85" s="949"/>
      <c r="G85" s="949"/>
      <c r="H85" s="950"/>
      <c r="I85" s="670">
        <v>0.08</v>
      </c>
      <c r="J85" s="671">
        <f>ROUND((J58+J72)*I85,2)</f>
        <v>304.45999999999998</v>
      </c>
      <c r="K85" s="663"/>
    </row>
    <row r="86" spans="1:11" ht="12" customHeight="1">
      <c r="A86" s="579"/>
      <c r="B86" s="1108" t="s">
        <v>450</v>
      </c>
      <c r="C86" s="949"/>
      <c r="D86" s="949"/>
      <c r="E86" s="949"/>
      <c r="F86" s="949"/>
      <c r="G86" s="949"/>
      <c r="H86" s="950"/>
      <c r="I86" s="675">
        <f t="shared" ref="I86:J86" si="2">SUM(I78:I85)</f>
        <v>0.36800000000000005</v>
      </c>
      <c r="J86" s="662">
        <f t="shared" si="2"/>
        <v>1400.5099999999998</v>
      </c>
      <c r="K86" s="663"/>
    </row>
    <row r="87" spans="1:11" ht="12" customHeight="1">
      <c r="A87" s="579"/>
      <c r="B87" s="676"/>
      <c r="C87" s="677"/>
      <c r="D87" s="677"/>
      <c r="E87" s="677"/>
      <c r="F87" s="677"/>
      <c r="G87" s="677"/>
      <c r="H87" s="677"/>
      <c r="I87" s="678"/>
      <c r="J87" s="679"/>
      <c r="K87" s="663"/>
    </row>
    <row r="88" spans="1:11" ht="45" customHeight="1">
      <c r="A88" s="579"/>
      <c r="B88" s="1086" t="s">
        <v>466</v>
      </c>
      <c r="C88" s="949"/>
      <c r="D88" s="949"/>
      <c r="E88" s="949"/>
      <c r="F88" s="949"/>
      <c r="G88" s="949"/>
      <c r="H88" s="949"/>
      <c r="I88" s="949"/>
      <c r="J88" s="950"/>
      <c r="K88" s="617"/>
    </row>
    <row r="89" spans="1:11" ht="12" customHeight="1">
      <c r="A89" s="579"/>
      <c r="B89" s="1047"/>
      <c r="C89" s="949"/>
      <c r="D89" s="949"/>
      <c r="E89" s="949"/>
      <c r="F89" s="949"/>
      <c r="G89" s="949"/>
      <c r="H89" s="949"/>
      <c r="I89" s="949"/>
      <c r="J89" s="950"/>
      <c r="K89" s="362"/>
    </row>
    <row r="90" spans="1:11" ht="15" customHeight="1">
      <c r="A90" s="579"/>
      <c r="B90" s="1114" t="s">
        <v>467</v>
      </c>
      <c r="C90" s="949"/>
      <c r="D90" s="949"/>
      <c r="E90" s="949"/>
      <c r="F90" s="949"/>
      <c r="G90" s="949"/>
      <c r="H90" s="949"/>
      <c r="I90" s="949"/>
      <c r="J90" s="950"/>
      <c r="K90" s="654"/>
    </row>
    <row r="91" spans="1:11" ht="15" customHeight="1">
      <c r="A91" s="579"/>
      <c r="B91" s="680" t="s">
        <v>468</v>
      </c>
      <c r="C91" s="1089" t="s">
        <v>469</v>
      </c>
      <c r="D91" s="949"/>
      <c r="E91" s="949"/>
      <c r="F91" s="949"/>
      <c r="G91" s="949"/>
      <c r="H91" s="949"/>
      <c r="I91" s="950"/>
      <c r="J91" s="681" t="s">
        <v>447</v>
      </c>
      <c r="K91" s="592"/>
    </row>
    <row r="92" spans="1:11" ht="15" customHeight="1">
      <c r="A92" s="579"/>
      <c r="B92" s="682" t="s">
        <v>369</v>
      </c>
      <c r="C92" s="1051" t="s">
        <v>470</v>
      </c>
      <c r="D92" s="949"/>
      <c r="E92" s="949"/>
      <c r="F92" s="949"/>
      <c r="G92" s="949"/>
      <c r="H92" s="950"/>
      <c r="I92" s="683">
        <f>J47</f>
        <v>3417.69</v>
      </c>
      <c r="J92" s="684">
        <f>IF(ROUND((I93*I95*I94)-(J47*I96),2)&lt;0,0,ROUND((I93*I95*I94)-(J47*I96),2))</f>
        <v>0</v>
      </c>
      <c r="K92" s="663"/>
    </row>
    <row r="93" spans="1:11" ht="28.5" customHeight="1">
      <c r="A93" s="579"/>
      <c r="B93" s="682" t="s">
        <v>371</v>
      </c>
      <c r="C93" s="1051" t="s">
        <v>471</v>
      </c>
      <c r="D93" s="949"/>
      <c r="E93" s="949"/>
      <c r="F93" s="949"/>
      <c r="G93" s="949"/>
      <c r="H93" s="949"/>
      <c r="I93" s="685">
        <f>'1-ABA-DE-CARREGAMENTO'!C72</f>
        <v>0</v>
      </c>
      <c r="J93" s="686" t="s">
        <v>382</v>
      </c>
      <c r="K93" s="644"/>
    </row>
    <row r="94" spans="1:11" ht="17.25" customHeight="1">
      <c r="A94" s="579"/>
      <c r="B94" s="682" t="s">
        <v>373</v>
      </c>
      <c r="C94" s="1051" t="s">
        <v>472</v>
      </c>
      <c r="D94" s="949"/>
      <c r="E94" s="949"/>
      <c r="F94" s="949"/>
      <c r="G94" s="949"/>
      <c r="H94" s="950"/>
      <c r="I94" s="687">
        <f>'1-ABA-DE-CARREGAMENTO'!C73</f>
        <v>2</v>
      </c>
      <c r="J94" s="686" t="s">
        <v>382</v>
      </c>
      <c r="K94" s="644"/>
    </row>
    <row r="95" spans="1:11" ht="19.5" customHeight="1">
      <c r="A95" s="579"/>
      <c r="B95" s="682" t="s">
        <v>375</v>
      </c>
      <c r="C95" s="1062" t="s">
        <v>473</v>
      </c>
      <c r="D95" s="949"/>
      <c r="E95" s="949"/>
      <c r="F95" s="949"/>
      <c r="G95" s="949"/>
      <c r="H95" s="950"/>
      <c r="I95" s="687">
        <f>'1-ABA-DE-CARREGAMENTO'!C74</f>
        <v>0</v>
      </c>
      <c r="J95" s="686" t="s">
        <v>382</v>
      </c>
      <c r="K95" s="644"/>
    </row>
    <row r="96" spans="1:11" ht="24.75" customHeight="1">
      <c r="A96" s="579"/>
      <c r="B96" s="682" t="s">
        <v>417</v>
      </c>
      <c r="C96" s="1062" t="s">
        <v>474</v>
      </c>
      <c r="D96" s="949"/>
      <c r="E96" s="949"/>
      <c r="F96" s="949"/>
      <c r="G96" s="949"/>
      <c r="H96" s="950"/>
      <c r="I96" s="688">
        <f>'1-ABA-DE-CARREGAMENTO'!C75</f>
        <v>0</v>
      </c>
      <c r="J96" s="689" t="s">
        <v>382</v>
      </c>
      <c r="K96" s="644"/>
    </row>
    <row r="97" spans="1:11" ht="15" customHeight="1">
      <c r="A97" s="579"/>
      <c r="B97" s="682" t="s">
        <v>421</v>
      </c>
      <c r="C97" s="1051" t="s">
        <v>475</v>
      </c>
      <c r="D97" s="949"/>
      <c r="E97" s="949"/>
      <c r="F97" s="949"/>
      <c r="G97" s="949"/>
      <c r="H97" s="949"/>
      <c r="I97" s="949"/>
      <c r="J97" s="684">
        <f>ROUND(I98*I99,2)-ROUND((I98*I99)*I100,2)</f>
        <v>0</v>
      </c>
      <c r="K97" s="663"/>
    </row>
    <row r="98" spans="1:11" ht="15" customHeight="1">
      <c r="A98" s="579"/>
      <c r="B98" s="682" t="s">
        <v>423</v>
      </c>
      <c r="C98" s="1051" t="s">
        <v>476</v>
      </c>
      <c r="D98" s="949"/>
      <c r="E98" s="949"/>
      <c r="F98" s="949"/>
      <c r="G98" s="949"/>
      <c r="H98" s="949"/>
      <c r="I98" s="690">
        <f>IF('1-ABA-DE-CARREGAMENTO'!C60&gt;0,'1-ABA-DE-CARREGAMENTO'!C60,'1-ABA-DE-CARREGAMENTO'!C64)</f>
        <v>0</v>
      </c>
      <c r="J98" s="691"/>
      <c r="K98" s="644"/>
    </row>
    <row r="99" spans="1:11" ht="15" customHeight="1">
      <c r="A99" s="579"/>
      <c r="B99" s="682" t="s">
        <v>425</v>
      </c>
      <c r="C99" s="1051" t="s">
        <v>477</v>
      </c>
      <c r="D99" s="949"/>
      <c r="E99" s="949"/>
      <c r="F99" s="949"/>
      <c r="G99" s="949"/>
      <c r="H99" s="949"/>
      <c r="I99" s="692">
        <f>'1-ABA-DE-CARREGAMENTO'!C62</f>
        <v>0</v>
      </c>
      <c r="J99" s="691"/>
      <c r="K99" s="644"/>
    </row>
    <row r="100" spans="1:11" ht="24.75" customHeight="1">
      <c r="A100" s="579"/>
      <c r="B100" s="682" t="s">
        <v>429</v>
      </c>
      <c r="C100" s="1107" t="s">
        <v>478</v>
      </c>
      <c r="D100" s="949"/>
      <c r="E100" s="949"/>
      <c r="F100" s="949"/>
      <c r="G100" s="949"/>
      <c r="H100" s="950"/>
      <c r="I100" s="688">
        <f>'1-ABA-DE-CARREGAMENTO'!C61</f>
        <v>0</v>
      </c>
      <c r="J100" s="693"/>
      <c r="K100" s="644"/>
    </row>
    <row r="101" spans="1:11" ht="18.75" hidden="1" customHeight="1" outlineLevel="1">
      <c r="A101" s="579"/>
      <c r="B101" s="682" t="s">
        <v>433</v>
      </c>
      <c r="C101" s="1051" t="s">
        <v>479</v>
      </c>
      <c r="D101" s="949"/>
      <c r="E101" s="949"/>
      <c r="F101" s="949"/>
      <c r="G101" s="949"/>
      <c r="H101" s="949"/>
      <c r="I101" s="949"/>
      <c r="J101" s="694">
        <f>'1-ABA-DE-CARREGAMENTO'!C79/12</f>
        <v>0</v>
      </c>
      <c r="K101" s="663"/>
    </row>
    <row r="102" spans="1:11" ht="33" hidden="1" customHeight="1" outlineLevel="1">
      <c r="A102" s="579"/>
      <c r="B102" s="682" t="s">
        <v>436</v>
      </c>
      <c r="C102" s="1051" t="s">
        <v>480</v>
      </c>
      <c r="D102" s="949"/>
      <c r="E102" s="949"/>
      <c r="F102" s="949"/>
      <c r="G102" s="949"/>
      <c r="H102" s="949"/>
      <c r="I102" s="949"/>
      <c r="J102" s="671">
        <f>'1-ABA-DE-CARREGAMENTO'!C77</f>
        <v>0</v>
      </c>
      <c r="K102" s="663"/>
    </row>
    <row r="103" spans="1:11" ht="33" hidden="1" customHeight="1" outlineLevel="1">
      <c r="A103" s="579"/>
      <c r="B103" s="682" t="s">
        <v>481</v>
      </c>
      <c r="C103" s="1051" t="s">
        <v>482</v>
      </c>
      <c r="D103" s="949"/>
      <c r="E103" s="949"/>
      <c r="F103" s="949"/>
      <c r="G103" s="949"/>
      <c r="H103" s="949"/>
      <c r="I103" s="950"/>
      <c r="J103" s="671">
        <f>'1-ABA-DE-CARREGAMENTO'!C78</f>
        <v>0</v>
      </c>
      <c r="K103" s="663"/>
    </row>
    <row r="104" spans="1:11" ht="16.5" hidden="1" customHeight="1" outlineLevel="1">
      <c r="A104" s="579"/>
      <c r="B104" s="682" t="s">
        <v>483</v>
      </c>
      <c r="C104" s="1051" t="s">
        <v>484</v>
      </c>
      <c r="D104" s="949"/>
      <c r="E104" s="949"/>
      <c r="F104" s="949"/>
      <c r="G104" s="949"/>
      <c r="H104" s="949"/>
      <c r="I104" s="950"/>
      <c r="J104" s="671">
        <f>'1-ABA-DE-CARREGAMENTO'!C76</f>
        <v>0</v>
      </c>
      <c r="K104" s="663"/>
    </row>
    <row r="105" spans="1:11" ht="20.25" hidden="1" customHeight="1" outlineLevel="1">
      <c r="A105" s="579"/>
      <c r="B105" s="695" t="s">
        <v>129</v>
      </c>
      <c r="C105" s="696" t="s">
        <v>485</v>
      </c>
      <c r="D105" s="697"/>
      <c r="E105" s="698"/>
      <c r="F105" s="699"/>
      <c r="G105" s="700"/>
      <c r="H105" s="701"/>
      <c r="I105" s="702"/>
      <c r="J105" s="703"/>
      <c r="K105" s="704"/>
    </row>
    <row r="106" spans="1:11" ht="23.25" customHeight="1" collapsed="1">
      <c r="A106" s="579"/>
      <c r="B106" s="705"/>
      <c r="C106" s="1108" t="s">
        <v>450</v>
      </c>
      <c r="D106" s="949"/>
      <c r="E106" s="949"/>
      <c r="F106" s="949"/>
      <c r="G106" s="949"/>
      <c r="H106" s="949"/>
      <c r="I106" s="949"/>
      <c r="J106" s="662">
        <f>SUM(J92:J105)</f>
        <v>0</v>
      </c>
      <c r="K106" s="663"/>
    </row>
    <row r="107" spans="1:11" ht="10.5" customHeight="1">
      <c r="A107" s="579"/>
      <c r="B107" s="1047"/>
      <c r="C107" s="949"/>
      <c r="D107" s="949"/>
      <c r="E107" s="949"/>
      <c r="F107" s="949"/>
      <c r="G107" s="949"/>
      <c r="H107" s="949"/>
      <c r="I107" s="949"/>
      <c r="J107" s="950"/>
      <c r="K107" s="362"/>
    </row>
    <row r="108" spans="1:11" ht="34.5" customHeight="1">
      <c r="A108" s="579"/>
      <c r="B108" s="1086" t="s">
        <v>486</v>
      </c>
      <c r="C108" s="949"/>
      <c r="D108" s="949"/>
      <c r="E108" s="949"/>
      <c r="F108" s="949"/>
      <c r="G108" s="949"/>
      <c r="H108" s="949"/>
      <c r="I108" s="949"/>
      <c r="J108" s="950"/>
      <c r="K108" s="617"/>
    </row>
    <row r="109" spans="1:11" ht="6" customHeight="1">
      <c r="A109" s="579"/>
      <c r="B109" s="1045"/>
      <c r="C109" s="949"/>
      <c r="D109" s="949"/>
      <c r="E109" s="949"/>
      <c r="F109" s="949"/>
      <c r="G109" s="949"/>
      <c r="H109" s="949"/>
      <c r="I109" s="949"/>
      <c r="J109" s="950"/>
      <c r="K109" s="593"/>
    </row>
    <row r="110" spans="1:11" ht="19.5" customHeight="1">
      <c r="A110" s="579"/>
      <c r="B110" s="1109" t="s">
        <v>487</v>
      </c>
      <c r="C110" s="949"/>
      <c r="D110" s="949"/>
      <c r="E110" s="949"/>
      <c r="F110" s="949"/>
      <c r="G110" s="949"/>
      <c r="H110" s="949"/>
      <c r="I110" s="949"/>
      <c r="J110" s="950"/>
      <c r="K110" s="706"/>
    </row>
    <row r="111" spans="1:11" ht="19.5" customHeight="1">
      <c r="A111" s="579"/>
      <c r="B111" s="668">
        <v>2</v>
      </c>
      <c r="C111" s="1110" t="s">
        <v>488</v>
      </c>
      <c r="D111" s="949"/>
      <c r="E111" s="949"/>
      <c r="F111" s="949"/>
      <c r="G111" s="949"/>
      <c r="H111" s="949"/>
      <c r="I111" s="950"/>
      <c r="J111" s="668" t="s">
        <v>447</v>
      </c>
      <c r="K111" s="657"/>
    </row>
    <row r="112" spans="1:11" ht="19.5" customHeight="1">
      <c r="A112" s="579"/>
      <c r="B112" s="600" t="s">
        <v>445</v>
      </c>
      <c r="C112" s="1092" t="s">
        <v>489</v>
      </c>
      <c r="D112" s="949"/>
      <c r="E112" s="949"/>
      <c r="F112" s="949"/>
      <c r="G112" s="949"/>
      <c r="H112" s="949"/>
      <c r="I112" s="950"/>
      <c r="J112" s="707">
        <f>J72</f>
        <v>388.08</v>
      </c>
      <c r="K112" s="708"/>
    </row>
    <row r="113" spans="1:11" ht="19.5" customHeight="1">
      <c r="A113" s="579"/>
      <c r="B113" s="600" t="s">
        <v>453</v>
      </c>
      <c r="C113" s="1092" t="s">
        <v>454</v>
      </c>
      <c r="D113" s="949"/>
      <c r="E113" s="949"/>
      <c r="F113" s="949"/>
      <c r="G113" s="949"/>
      <c r="H113" s="949"/>
      <c r="I113" s="950"/>
      <c r="J113" s="707">
        <f>J86</f>
        <v>1400.5099999999998</v>
      </c>
      <c r="K113" s="708"/>
    </row>
    <row r="114" spans="1:11" ht="19.5" customHeight="1">
      <c r="A114" s="579"/>
      <c r="B114" s="600" t="s">
        <v>468</v>
      </c>
      <c r="C114" s="1092" t="s">
        <v>469</v>
      </c>
      <c r="D114" s="949"/>
      <c r="E114" s="949"/>
      <c r="F114" s="949"/>
      <c r="G114" s="949"/>
      <c r="H114" s="949"/>
      <c r="I114" s="950"/>
      <c r="J114" s="707">
        <f>J106</f>
        <v>0</v>
      </c>
      <c r="K114" s="708"/>
    </row>
    <row r="115" spans="1:11" ht="14.25" customHeight="1">
      <c r="A115" s="579"/>
      <c r="B115" s="1115" t="s">
        <v>450</v>
      </c>
      <c r="C115" s="949"/>
      <c r="D115" s="949"/>
      <c r="E115" s="949"/>
      <c r="F115" s="949"/>
      <c r="G115" s="949"/>
      <c r="H115" s="949"/>
      <c r="I115" s="950"/>
      <c r="J115" s="709">
        <f>SUM(J112+J113+J114)</f>
        <v>1788.5899999999997</v>
      </c>
      <c r="K115" s="708"/>
    </row>
    <row r="116" spans="1:11" ht="14.25" customHeight="1">
      <c r="A116" s="579"/>
      <c r="B116" s="1116"/>
      <c r="C116" s="949"/>
      <c r="D116" s="949"/>
      <c r="E116" s="949"/>
      <c r="F116" s="949"/>
      <c r="G116" s="949"/>
      <c r="H116" s="949"/>
      <c r="I116" s="949"/>
      <c r="J116" s="950"/>
      <c r="K116" s="710"/>
    </row>
    <row r="117" spans="1:11" ht="18.75" customHeight="1">
      <c r="A117" s="579"/>
      <c r="B117" s="1117" t="s">
        <v>490</v>
      </c>
      <c r="C117" s="949"/>
      <c r="D117" s="949"/>
      <c r="E117" s="949"/>
      <c r="F117" s="949"/>
      <c r="G117" s="949"/>
      <c r="H117" s="949"/>
      <c r="I117" s="949"/>
      <c r="J117" s="950"/>
      <c r="K117" s="711"/>
    </row>
    <row r="118" spans="1:11" ht="15.75" customHeight="1">
      <c r="A118" s="579"/>
      <c r="B118" s="680">
        <v>3</v>
      </c>
      <c r="C118" s="1118" t="s">
        <v>491</v>
      </c>
      <c r="D118" s="949"/>
      <c r="E118" s="949"/>
      <c r="F118" s="949"/>
      <c r="G118" s="949"/>
      <c r="H118" s="949"/>
      <c r="I118" s="950"/>
      <c r="J118" s="680" t="s">
        <v>447</v>
      </c>
      <c r="K118" s="712"/>
    </row>
    <row r="119" spans="1:11" ht="46.5" customHeight="1">
      <c r="A119" s="579"/>
      <c r="B119" s="682" t="s">
        <v>369</v>
      </c>
      <c r="C119" s="1051" t="s">
        <v>492</v>
      </c>
      <c r="D119" s="949"/>
      <c r="E119" s="949"/>
      <c r="F119" s="949"/>
      <c r="G119" s="949"/>
      <c r="H119" s="949"/>
      <c r="I119" s="950"/>
      <c r="J119" s="671">
        <f>ROUND((($J$58/12)+($J$70/12)+(J58/12/12)+($J$71/12))*(30/30)*0.05,2)</f>
        <v>17.04</v>
      </c>
      <c r="K119" s="663"/>
    </row>
    <row r="120" spans="1:11" ht="20.25" customHeight="1">
      <c r="A120" s="579"/>
      <c r="B120" s="682" t="s">
        <v>371</v>
      </c>
      <c r="C120" s="1111" t="s">
        <v>493</v>
      </c>
      <c r="D120" s="949"/>
      <c r="E120" s="949"/>
      <c r="F120" s="949"/>
      <c r="G120" s="949"/>
      <c r="H120" s="949"/>
      <c r="I120" s="950"/>
      <c r="J120" s="671">
        <f>ROUND($I$85*J119,2)</f>
        <v>1.36</v>
      </c>
      <c r="K120" s="663"/>
    </row>
    <row r="121" spans="1:11" ht="58.5" customHeight="1">
      <c r="A121" s="579"/>
      <c r="B121" s="682" t="s">
        <v>373</v>
      </c>
      <c r="C121" s="1106" t="s">
        <v>494</v>
      </c>
      <c r="D121" s="949"/>
      <c r="E121" s="949"/>
      <c r="F121" s="949"/>
      <c r="G121" s="949"/>
      <c r="H121" s="949"/>
      <c r="I121" s="713" t="str">
        <f>IF(J121&lt;J58*1.94%,"OK","VERIFIQUE")</f>
        <v>OK</v>
      </c>
      <c r="J121" s="671">
        <f>ROUND(((7/30)/$I$11)*$J$58*1,2)</f>
        <v>26.58</v>
      </c>
      <c r="K121" s="663"/>
    </row>
    <row r="122" spans="1:11" ht="17.25" customHeight="1">
      <c r="A122" s="579"/>
      <c r="B122" s="682" t="s">
        <v>375</v>
      </c>
      <c r="C122" s="1111" t="s">
        <v>495</v>
      </c>
      <c r="D122" s="949"/>
      <c r="E122" s="949"/>
      <c r="F122" s="949"/>
      <c r="G122" s="949"/>
      <c r="H122" s="949"/>
      <c r="I122" s="950"/>
      <c r="J122" s="671">
        <f>ROUND($I$86*J121,2)</f>
        <v>9.7799999999999994</v>
      </c>
      <c r="K122" s="663"/>
    </row>
    <row r="123" spans="1:11" ht="36.75" customHeight="1">
      <c r="A123" s="579"/>
      <c r="B123" s="682" t="s">
        <v>417</v>
      </c>
      <c r="C123" s="1051" t="s">
        <v>496</v>
      </c>
      <c r="D123" s="949"/>
      <c r="E123" s="949"/>
      <c r="F123" s="949"/>
      <c r="G123" s="949"/>
      <c r="H123" s="950"/>
      <c r="I123" s="714">
        <v>0.04</v>
      </c>
      <c r="J123" s="671">
        <f>ROUND(J58*I123,2)</f>
        <v>136.71</v>
      </c>
      <c r="K123" s="611"/>
    </row>
    <row r="124" spans="1:11" ht="19.5" customHeight="1">
      <c r="A124" s="579"/>
      <c r="B124" s="1108" t="s">
        <v>497</v>
      </c>
      <c r="C124" s="949"/>
      <c r="D124" s="949"/>
      <c r="E124" s="949"/>
      <c r="F124" s="949"/>
      <c r="G124" s="949"/>
      <c r="H124" s="949"/>
      <c r="I124" s="950"/>
      <c r="J124" s="662">
        <f>SUM(J119:J123)</f>
        <v>191.47</v>
      </c>
      <c r="K124" s="663"/>
    </row>
    <row r="125" spans="1:11" ht="9.75" customHeight="1">
      <c r="A125" s="579"/>
      <c r="B125" s="1112"/>
      <c r="C125" s="949"/>
      <c r="D125" s="949"/>
      <c r="E125" s="949"/>
      <c r="F125" s="949"/>
      <c r="G125" s="949"/>
      <c r="H125" s="949"/>
      <c r="I125" s="949"/>
      <c r="J125" s="950"/>
      <c r="K125" s="715"/>
    </row>
    <row r="126" spans="1:11" ht="17.25" customHeight="1">
      <c r="A126" s="579"/>
      <c r="B126" s="1113" t="s">
        <v>498</v>
      </c>
      <c r="C126" s="949"/>
      <c r="D126" s="949"/>
      <c r="E126" s="949"/>
      <c r="F126" s="949"/>
      <c r="G126" s="949"/>
      <c r="H126" s="949"/>
      <c r="I126" s="949"/>
      <c r="J126" s="950"/>
      <c r="K126" s="716"/>
    </row>
    <row r="127" spans="1:11" ht="29.25" customHeight="1">
      <c r="A127" s="579"/>
      <c r="B127" s="1086" t="s">
        <v>499</v>
      </c>
      <c r="C127" s="949"/>
      <c r="D127" s="949"/>
      <c r="E127" s="949"/>
      <c r="F127" s="949"/>
      <c r="G127" s="949"/>
      <c r="H127" s="949"/>
      <c r="I127" s="949"/>
      <c r="J127" s="950"/>
      <c r="K127" s="617"/>
    </row>
    <row r="128" spans="1:11" ht="57.75" customHeight="1">
      <c r="A128" s="579"/>
      <c r="B128" s="1105" t="s">
        <v>500</v>
      </c>
      <c r="C128" s="949"/>
      <c r="D128" s="949"/>
      <c r="E128" s="949"/>
      <c r="F128" s="949"/>
      <c r="G128" s="949"/>
      <c r="H128" s="949"/>
      <c r="I128" s="949"/>
      <c r="J128" s="950"/>
      <c r="K128" s="665"/>
    </row>
    <row r="129" spans="1:11" ht="36" customHeight="1">
      <c r="A129" s="579"/>
      <c r="B129" s="717" t="s">
        <v>501</v>
      </c>
      <c r="C129" s="718">
        <f>J58</f>
        <v>3417.69</v>
      </c>
      <c r="D129" s="719" t="s">
        <v>502</v>
      </c>
      <c r="E129" s="717" t="s">
        <v>503</v>
      </c>
      <c r="F129" s="718">
        <f>J115-J92-J97</f>
        <v>1788.5899999999997</v>
      </c>
      <c r="G129" s="719" t="s">
        <v>502</v>
      </c>
      <c r="H129" s="717" t="s">
        <v>504</v>
      </c>
      <c r="I129" s="718">
        <f>J124</f>
        <v>191.47</v>
      </c>
      <c r="J129" s="720">
        <f>C129+F129+I129</f>
        <v>5397.75</v>
      </c>
      <c r="K129" s="721"/>
    </row>
    <row r="130" spans="1:11" ht="15.75" customHeight="1">
      <c r="A130" s="579"/>
      <c r="B130" s="1120"/>
      <c r="C130" s="949"/>
      <c r="D130" s="949"/>
      <c r="E130" s="949"/>
      <c r="F130" s="949"/>
      <c r="G130" s="949"/>
      <c r="H130" s="949"/>
      <c r="I130" s="949"/>
      <c r="J130" s="950"/>
      <c r="K130" s="722"/>
    </row>
    <row r="131" spans="1:11" ht="15.75" customHeight="1">
      <c r="A131" s="579"/>
      <c r="B131" s="1121" t="s">
        <v>505</v>
      </c>
      <c r="C131" s="949"/>
      <c r="D131" s="949"/>
      <c r="E131" s="949"/>
      <c r="F131" s="949"/>
      <c r="G131" s="949"/>
      <c r="H131" s="949"/>
      <c r="I131" s="949"/>
      <c r="J131" s="950"/>
      <c r="K131" s="723"/>
    </row>
    <row r="132" spans="1:11" ht="17.25" customHeight="1">
      <c r="A132" s="579"/>
      <c r="B132" s="724" t="s">
        <v>506</v>
      </c>
      <c r="C132" s="1118" t="s">
        <v>507</v>
      </c>
      <c r="D132" s="949"/>
      <c r="E132" s="949"/>
      <c r="F132" s="949"/>
      <c r="G132" s="949"/>
      <c r="H132" s="949"/>
      <c r="I132" s="950"/>
      <c r="J132" s="725" t="s">
        <v>447</v>
      </c>
      <c r="K132" s="726"/>
    </row>
    <row r="133" spans="1:11" ht="39" customHeight="1">
      <c r="A133" s="579"/>
      <c r="B133" s="682" t="s">
        <v>369</v>
      </c>
      <c r="C133" s="1092" t="s">
        <v>508</v>
      </c>
      <c r="D133" s="949"/>
      <c r="E133" s="949"/>
      <c r="F133" s="949"/>
      <c r="G133" s="949"/>
      <c r="H133" s="727">
        <v>9.0749999999999997E-2</v>
      </c>
      <c r="I133" s="728">
        <f>I86</f>
        <v>0.36800000000000005</v>
      </c>
      <c r="J133" s="729">
        <f>IF('1-ABA-DE-CARREGAMENTO'!C81="S",(ROUND(H133*J58,2)*(1+I133)),IF('1-ABA-DE-CARREGAMENTO'!C81="N",0,"INFORME S ou N"))</f>
        <v>0</v>
      </c>
      <c r="K133" s="663"/>
    </row>
    <row r="134" spans="1:11" ht="21.75" customHeight="1">
      <c r="A134" s="579"/>
      <c r="B134" s="682" t="s">
        <v>371</v>
      </c>
      <c r="C134" s="1051" t="s">
        <v>509</v>
      </c>
      <c r="D134" s="949"/>
      <c r="E134" s="949"/>
      <c r="F134" s="949"/>
      <c r="G134" s="949"/>
      <c r="H134" s="949"/>
      <c r="I134" s="950"/>
      <c r="J134" s="694">
        <f>ROUND((1/30)/12*(J129),2)</f>
        <v>14.99</v>
      </c>
      <c r="K134" s="663"/>
    </row>
    <row r="135" spans="1:11" ht="32.25" customHeight="1">
      <c r="A135" s="579"/>
      <c r="B135" s="682" t="s">
        <v>373</v>
      </c>
      <c r="C135" s="1051" t="s">
        <v>510</v>
      </c>
      <c r="D135" s="949"/>
      <c r="E135" s="949"/>
      <c r="F135" s="949"/>
      <c r="G135" s="949"/>
      <c r="H135" s="949"/>
      <c r="I135" s="950"/>
      <c r="J135" s="671">
        <f>ROUND((5/30)/12*0.015*(J129),2)</f>
        <v>1.1200000000000001</v>
      </c>
      <c r="K135" s="663"/>
    </row>
    <row r="136" spans="1:11" ht="32.25" customHeight="1">
      <c r="A136" s="579"/>
      <c r="B136" s="682" t="s">
        <v>375</v>
      </c>
      <c r="C136" s="1051" t="s">
        <v>511</v>
      </c>
      <c r="D136" s="949"/>
      <c r="E136" s="949"/>
      <c r="F136" s="949"/>
      <c r="G136" s="949"/>
      <c r="H136" s="949"/>
      <c r="I136" s="950"/>
      <c r="J136" s="671">
        <f>ROUND(((15/30)/12)*0.0078*(J129),2)</f>
        <v>1.75</v>
      </c>
      <c r="K136" s="663"/>
    </row>
    <row r="137" spans="1:11" ht="32.25" customHeight="1">
      <c r="A137" s="579"/>
      <c r="B137" s="730" t="s">
        <v>417</v>
      </c>
      <c r="C137" s="1119" t="s">
        <v>512</v>
      </c>
      <c r="D137" s="949"/>
      <c r="E137" s="949"/>
      <c r="F137" s="949"/>
      <c r="G137" s="949"/>
      <c r="H137" s="949"/>
      <c r="I137" s="950"/>
      <c r="J137" s="731">
        <f>ROUND(((((C129+C129/3)+(I86)*(C129+C129/3))*(4/12))/12)*0.02,2) + ((J106 -J92-J97+ J124)*4/12)*0.02</f>
        <v>4.7364666666666668</v>
      </c>
      <c r="K137" s="732"/>
    </row>
    <row r="138" spans="1:11" ht="63.75" customHeight="1">
      <c r="A138" s="579"/>
      <c r="B138" s="682" t="s">
        <v>421</v>
      </c>
      <c r="C138" s="1051" t="s">
        <v>513</v>
      </c>
      <c r="D138" s="949"/>
      <c r="E138" s="949"/>
      <c r="F138" s="949"/>
      <c r="G138" s="949"/>
      <c r="H138" s="949"/>
      <c r="I138" s="950"/>
      <c r="J138" s="671">
        <f>ROUND(((3/30)/12)*(J129),2)</f>
        <v>44.98</v>
      </c>
      <c r="K138" s="663"/>
    </row>
    <row r="139" spans="1:11" ht="19.5" customHeight="1">
      <c r="A139" s="579"/>
      <c r="B139" s="1108" t="s">
        <v>450</v>
      </c>
      <c r="C139" s="949"/>
      <c r="D139" s="949"/>
      <c r="E139" s="949"/>
      <c r="F139" s="949"/>
      <c r="G139" s="949"/>
      <c r="H139" s="949"/>
      <c r="I139" s="950"/>
      <c r="J139" s="662">
        <f>SUM(J133:J138)</f>
        <v>67.576466666666661</v>
      </c>
      <c r="K139" s="663"/>
    </row>
    <row r="140" spans="1:11" ht="9" customHeight="1">
      <c r="A140" s="579"/>
      <c r="B140" s="1112"/>
      <c r="C140" s="949"/>
      <c r="D140" s="949"/>
      <c r="E140" s="949"/>
      <c r="F140" s="949"/>
      <c r="G140" s="949"/>
      <c r="H140" s="949"/>
      <c r="I140" s="949"/>
      <c r="J140" s="950"/>
      <c r="K140" s="715"/>
    </row>
    <row r="141" spans="1:11" ht="19.5" customHeight="1">
      <c r="A141" s="579"/>
      <c r="B141" s="1114" t="s">
        <v>514</v>
      </c>
      <c r="C141" s="949"/>
      <c r="D141" s="949"/>
      <c r="E141" s="949"/>
      <c r="F141" s="949"/>
      <c r="G141" s="949"/>
      <c r="H141" s="949"/>
      <c r="I141" s="949"/>
      <c r="J141" s="950"/>
      <c r="K141" s="654"/>
    </row>
    <row r="142" spans="1:11" ht="19.5" customHeight="1">
      <c r="A142" s="579"/>
      <c r="B142" s="733" t="s">
        <v>515</v>
      </c>
      <c r="C142" s="1122" t="s">
        <v>516</v>
      </c>
      <c r="D142" s="949"/>
      <c r="E142" s="949"/>
      <c r="F142" s="949"/>
      <c r="G142" s="949"/>
      <c r="H142" s="949"/>
      <c r="I142" s="950"/>
      <c r="J142" s="734" t="s">
        <v>447</v>
      </c>
      <c r="K142" s="735"/>
    </row>
    <row r="143" spans="1:11" ht="19.5" customHeight="1">
      <c r="A143" s="579"/>
      <c r="B143" s="736" t="s">
        <v>369</v>
      </c>
      <c r="C143" s="1125" t="s">
        <v>517</v>
      </c>
      <c r="D143" s="949"/>
      <c r="E143" s="949"/>
      <c r="F143" s="949"/>
      <c r="G143" s="949"/>
      <c r="H143" s="949"/>
      <c r="I143" s="950"/>
      <c r="J143" s="737">
        <v>0</v>
      </c>
      <c r="K143" s="738"/>
    </row>
    <row r="144" spans="1:11" ht="19.5" customHeight="1">
      <c r="A144" s="579"/>
      <c r="B144" s="1102" t="s">
        <v>450</v>
      </c>
      <c r="C144" s="949"/>
      <c r="D144" s="949"/>
      <c r="E144" s="949"/>
      <c r="F144" s="949"/>
      <c r="G144" s="949"/>
      <c r="H144" s="949"/>
      <c r="I144" s="950"/>
      <c r="J144" s="739">
        <v>0</v>
      </c>
      <c r="K144" s="738"/>
    </row>
    <row r="145" spans="1:11" ht="9" customHeight="1">
      <c r="A145" s="579"/>
      <c r="B145" s="1126"/>
      <c r="C145" s="949"/>
      <c r="D145" s="949"/>
      <c r="E145" s="949"/>
      <c r="F145" s="949"/>
      <c r="G145" s="949"/>
      <c r="H145" s="949"/>
      <c r="I145" s="949"/>
      <c r="J145" s="950"/>
      <c r="K145" s="740"/>
    </row>
    <row r="146" spans="1:11" ht="19.5" customHeight="1">
      <c r="A146" s="579"/>
      <c r="B146" s="1098" t="s">
        <v>518</v>
      </c>
      <c r="C146" s="949"/>
      <c r="D146" s="949"/>
      <c r="E146" s="949"/>
      <c r="F146" s="949"/>
      <c r="G146" s="949"/>
      <c r="H146" s="949"/>
      <c r="I146" s="949"/>
      <c r="J146" s="950"/>
      <c r="K146" s="653"/>
    </row>
    <row r="147" spans="1:11" ht="19.5" customHeight="1">
      <c r="A147" s="579"/>
      <c r="B147" s="668">
        <v>4</v>
      </c>
      <c r="C147" s="1122" t="s">
        <v>519</v>
      </c>
      <c r="D147" s="949"/>
      <c r="E147" s="949"/>
      <c r="F147" s="949"/>
      <c r="G147" s="949"/>
      <c r="H147" s="949"/>
      <c r="I147" s="950"/>
      <c r="J147" s="734" t="s">
        <v>447</v>
      </c>
      <c r="K147" s="735"/>
    </row>
    <row r="148" spans="1:11" ht="28.5" customHeight="1">
      <c r="A148" s="579"/>
      <c r="B148" s="600" t="s">
        <v>506</v>
      </c>
      <c r="C148" s="1125" t="s">
        <v>507</v>
      </c>
      <c r="D148" s="949"/>
      <c r="E148" s="949"/>
      <c r="F148" s="949"/>
      <c r="G148" s="949"/>
      <c r="H148" s="949"/>
      <c r="I148" s="950"/>
      <c r="J148" s="737">
        <f>J139</f>
        <v>67.576466666666661</v>
      </c>
      <c r="K148" s="738"/>
    </row>
    <row r="149" spans="1:11" ht="24" customHeight="1">
      <c r="A149" s="579"/>
      <c r="B149" s="600" t="s">
        <v>520</v>
      </c>
      <c r="C149" s="1125" t="s">
        <v>516</v>
      </c>
      <c r="D149" s="949"/>
      <c r="E149" s="949"/>
      <c r="F149" s="949"/>
      <c r="G149" s="949"/>
      <c r="H149" s="949"/>
      <c r="I149" s="950"/>
      <c r="J149" s="737">
        <f>J144</f>
        <v>0</v>
      </c>
      <c r="K149" s="738"/>
    </row>
    <row r="150" spans="1:11" ht="24" customHeight="1">
      <c r="A150" s="579"/>
      <c r="B150" s="1115" t="s">
        <v>450</v>
      </c>
      <c r="C150" s="949"/>
      <c r="D150" s="949"/>
      <c r="E150" s="949"/>
      <c r="F150" s="949"/>
      <c r="G150" s="949"/>
      <c r="H150" s="949"/>
      <c r="I150" s="950"/>
      <c r="J150" s="739">
        <f>SUM(J148+J149)</f>
        <v>67.576466666666661</v>
      </c>
      <c r="K150" s="738"/>
    </row>
    <row r="151" spans="1:11" ht="9" customHeight="1">
      <c r="A151" s="579"/>
      <c r="B151" s="1126"/>
      <c r="C151" s="949"/>
      <c r="D151" s="949"/>
      <c r="E151" s="949"/>
      <c r="F151" s="949"/>
      <c r="G151" s="949"/>
      <c r="H151" s="949"/>
      <c r="I151" s="949"/>
      <c r="J151" s="950"/>
      <c r="K151" s="740"/>
    </row>
    <row r="152" spans="1:11" ht="15.75" customHeight="1">
      <c r="A152" s="579"/>
      <c r="B152" s="1113" t="s">
        <v>521</v>
      </c>
      <c r="C152" s="949"/>
      <c r="D152" s="949"/>
      <c r="E152" s="949"/>
      <c r="F152" s="949"/>
      <c r="G152" s="949"/>
      <c r="H152" s="949"/>
      <c r="I152" s="949"/>
      <c r="J152" s="950"/>
      <c r="K152" s="716"/>
    </row>
    <row r="153" spans="1:11" ht="15.75" customHeight="1">
      <c r="A153" s="579"/>
      <c r="B153" s="680">
        <v>3</v>
      </c>
      <c r="C153" s="1089" t="s">
        <v>522</v>
      </c>
      <c r="D153" s="949"/>
      <c r="E153" s="949"/>
      <c r="F153" s="949"/>
      <c r="G153" s="949"/>
      <c r="H153" s="949"/>
      <c r="I153" s="950"/>
      <c r="J153" s="680" t="s">
        <v>447</v>
      </c>
      <c r="K153" s="712"/>
    </row>
    <row r="154" spans="1:11" ht="18" customHeight="1">
      <c r="A154" s="579"/>
      <c r="B154" s="682" t="s">
        <v>369</v>
      </c>
      <c r="C154" s="1051" t="s">
        <v>523</v>
      </c>
      <c r="D154" s="949"/>
      <c r="E154" s="949"/>
      <c r="F154" s="949"/>
      <c r="G154" s="949"/>
      <c r="H154" s="949"/>
      <c r="I154" s="950"/>
      <c r="J154" s="741">
        <f>'Uniformes - EPIs_TODOS'!C23-('Uniformes - EPIs_TODOS'!F17+'Uniformes - EPIs_TODOS'!F18)</f>
        <v>0</v>
      </c>
      <c r="K154" s="663"/>
    </row>
    <row r="155" spans="1:11" ht="18" customHeight="1">
      <c r="A155" s="579"/>
      <c r="B155" s="682" t="s">
        <v>371</v>
      </c>
      <c r="C155" s="1051" t="s">
        <v>522</v>
      </c>
      <c r="D155" s="949"/>
      <c r="E155" s="949"/>
      <c r="F155" s="949"/>
      <c r="G155" s="949"/>
      <c r="H155" s="949"/>
      <c r="I155" s="950"/>
      <c r="J155" s="742">
        <f>'Uniformes - EPIs_TODOS'!F17+'Uniformes - EPIs_TODOS'!F18</f>
        <v>0</v>
      </c>
      <c r="K155" s="704"/>
    </row>
    <row r="156" spans="1:11" ht="18" customHeight="1">
      <c r="A156" s="579"/>
      <c r="B156" s="682" t="s">
        <v>373</v>
      </c>
      <c r="C156" s="1051" t="s">
        <v>524</v>
      </c>
      <c r="D156" s="949"/>
      <c r="E156" s="949"/>
      <c r="F156" s="949"/>
      <c r="G156" s="949"/>
      <c r="H156" s="949"/>
      <c r="I156" s="950"/>
      <c r="J156" s="742" t="s">
        <v>525</v>
      </c>
      <c r="K156" s="704"/>
    </row>
    <row r="157" spans="1:11" ht="19.5" customHeight="1">
      <c r="A157" s="579"/>
      <c r="B157" s="1108" t="s">
        <v>526</v>
      </c>
      <c r="C157" s="949"/>
      <c r="D157" s="949"/>
      <c r="E157" s="949"/>
      <c r="F157" s="949"/>
      <c r="G157" s="949"/>
      <c r="H157" s="949"/>
      <c r="I157" s="950"/>
      <c r="J157" s="743">
        <f>ROUND(SUM(J154:J156),2)</f>
        <v>0</v>
      </c>
      <c r="K157" s="704"/>
    </row>
    <row r="158" spans="1:11" ht="9" customHeight="1">
      <c r="A158" s="579"/>
      <c r="B158" s="1153"/>
      <c r="C158" s="949"/>
      <c r="D158" s="949"/>
      <c r="E158" s="949"/>
      <c r="F158" s="949"/>
      <c r="G158" s="949"/>
      <c r="H158" s="949"/>
      <c r="I158" s="949"/>
      <c r="J158" s="950"/>
      <c r="K158" s="744"/>
    </row>
    <row r="159" spans="1:11" ht="27.75" customHeight="1">
      <c r="A159" s="579"/>
      <c r="B159" s="1154" t="s">
        <v>527</v>
      </c>
      <c r="C159" s="949"/>
      <c r="D159" s="949"/>
      <c r="E159" s="949"/>
      <c r="F159" s="949"/>
      <c r="G159" s="949"/>
      <c r="H159" s="949"/>
      <c r="I159" s="949"/>
      <c r="J159" s="950"/>
      <c r="K159" s="745"/>
    </row>
    <row r="160" spans="1:11" ht="9" customHeight="1">
      <c r="A160" s="579"/>
      <c r="B160" s="746"/>
      <c r="C160" s="747"/>
      <c r="D160" s="747"/>
      <c r="E160" s="747"/>
      <c r="F160" s="747"/>
      <c r="G160" s="747"/>
      <c r="H160" s="747"/>
      <c r="I160" s="747"/>
      <c r="J160" s="748"/>
      <c r="K160" s="314"/>
    </row>
    <row r="161" spans="1:11" ht="24" customHeight="1">
      <c r="A161" s="579"/>
      <c r="B161" s="1117" t="s">
        <v>528</v>
      </c>
      <c r="C161" s="949"/>
      <c r="D161" s="949"/>
      <c r="E161" s="949"/>
      <c r="F161" s="949"/>
      <c r="G161" s="949"/>
      <c r="H161" s="949"/>
      <c r="I161" s="949"/>
      <c r="J161" s="950"/>
      <c r="K161" s="711"/>
    </row>
    <row r="162" spans="1:11" ht="27.75" customHeight="1">
      <c r="A162" s="579"/>
      <c r="B162" s="680">
        <v>6</v>
      </c>
      <c r="C162" s="1118" t="s">
        <v>529</v>
      </c>
      <c r="D162" s="949"/>
      <c r="E162" s="949"/>
      <c r="F162" s="949"/>
      <c r="G162" s="949"/>
      <c r="H162" s="950"/>
      <c r="I162" s="749" t="s">
        <v>411</v>
      </c>
      <c r="J162" s="750" t="s">
        <v>455</v>
      </c>
      <c r="K162" s="751"/>
    </row>
    <row r="163" spans="1:11" ht="54.75" customHeight="1">
      <c r="A163" s="579"/>
      <c r="B163" s="1062" t="s">
        <v>530</v>
      </c>
      <c r="C163" s="949"/>
      <c r="D163" s="949"/>
      <c r="E163" s="949"/>
      <c r="F163" s="949"/>
      <c r="G163" s="949"/>
      <c r="H163" s="950"/>
      <c r="I163" s="341" t="s">
        <v>382</v>
      </c>
      <c r="J163" s="752">
        <f>SUM(J63+J115+J124+J150+J157)</f>
        <v>5465.3264666666664</v>
      </c>
      <c r="K163" s="753"/>
    </row>
    <row r="164" spans="1:11" ht="25.5" customHeight="1">
      <c r="A164" s="579"/>
      <c r="B164" s="682" t="s">
        <v>369</v>
      </c>
      <c r="C164" s="1155" t="s">
        <v>531</v>
      </c>
      <c r="D164" s="949"/>
      <c r="E164" s="949"/>
      <c r="F164" s="949"/>
      <c r="G164" s="949"/>
      <c r="H164" s="950"/>
      <c r="I164" s="670">
        <f>'1-ABA-DE-CARREGAMENTO'!C85</f>
        <v>0.06</v>
      </c>
      <c r="J164" s="671">
        <f>ROUND(I164*J163,2)</f>
        <v>327.92</v>
      </c>
      <c r="K164" s="663"/>
    </row>
    <row r="165" spans="1:11" ht="52.5" customHeight="1">
      <c r="A165" s="579"/>
      <c r="B165" s="1062" t="s">
        <v>532</v>
      </c>
      <c r="C165" s="949"/>
      <c r="D165" s="949"/>
      <c r="E165" s="949"/>
      <c r="F165" s="949"/>
      <c r="G165" s="949"/>
      <c r="H165" s="950"/>
      <c r="I165" s="754" t="s">
        <v>382</v>
      </c>
      <c r="J165" s="752">
        <f>SUM(J63+J115+J124+J150+J157+J164)</f>
        <v>5793.2464666666665</v>
      </c>
      <c r="K165" s="753"/>
    </row>
    <row r="166" spans="1:11" ht="19.5" customHeight="1">
      <c r="A166" s="579"/>
      <c r="B166" s="682" t="s">
        <v>371</v>
      </c>
      <c r="C166" s="1155" t="s">
        <v>312</v>
      </c>
      <c r="D166" s="949"/>
      <c r="E166" s="949"/>
      <c r="F166" s="949"/>
      <c r="G166" s="949"/>
      <c r="H166" s="950"/>
      <c r="I166" s="670">
        <f>'1-ABA-DE-CARREGAMENTO'!C86</f>
        <v>0.06</v>
      </c>
      <c r="J166" s="671">
        <f>ROUND(I166*J165,2)</f>
        <v>347.59</v>
      </c>
      <c r="K166" s="663"/>
    </row>
    <row r="167" spans="1:11" ht="49.5" customHeight="1">
      <c r="A167" s="579"/>
      <c r="B167" s="1062" t="s">
        <v>533</v>
      </c>
      <c r="C167" s="949"/>
      <c r="D167" s="949"/>
      <c r="E167" s="949"/>
      <c r="F167" s="949"/>
      <c r="G167" s="949"/>
      <c r="H167" s="950"/>
      <c r="I167" s="754" t="s">
        <v>382</v>
      </c>
      <c r="J167" s="752">
        <f>SUM(J163+J164+J166)</f>
        <v>6140.8364666666666</v>
      </c>
      <c r="K167" s="753"/>
    </row>
    <row r="168" spans="1:11" ht="18.75" customHeight="1">
      <c r="A168" s="579"/>
      <c r="B168" s="755" t="s">
        <v>373</v>
      </c>
      <c r="C168" s="1117" t="s">
        <v>534</v>
      </c>
      <c r="D168" s="949"/>
      <c r="E168" s="949"/>
      <c r="F168" s="949"/>
      <c r="G168" s="949"/>
      <c r="H168" s="950"/>
      <c r="I168" s="756" t="s">
        <v>382</v>
      </c>
      <c r="J168" s="643" t="s">
        <v>382</v>
      </c>
      <c r="K168" s="644"/>
    </row>
    <row r="169" spans="1:11" ht="30" customHeight="1">
      <c r="A169" s="579"/>
      <c r="B169" s="682"/>
      <c r="C169" s="1111" t="s">
        <v>535</v>
      </c>
      <c r="D169" s="949"/>
      <c r="E169" s="949"/>
      <c r="F169" s="949"/>
      <c r="G169" s="949"/>
      <c r="H169" s="950"/>
      <c r="I169" s="756" t="s">
        <v>382</v>
      </c>
      <c r="J169" s="643" t="s">
        <v>382</v>
      </c>
      <c r="K169" s="644"/>
    </row>
    <row r="170" spans="1:11" ht="23.25" customHeight="1">
      <c r="A170" s="579"/>
      <c r="B170" s="682"/>
      <c r="C170" s="1156" t="s">
        <v>536</v>
      </c>
      <c r="D170" s="949"/>
      <c r="E170" s="949"/>
      <c r="F170" s="949"/>
      <c r="G170" s="949"/>
      <c r="H170" s="950"/>
      <c r="I170" s="629">
        <f>'1-ABA-DE-CARREGAMENTO'!E28</f>
        <v>1.6500000000000001E-2</v>
      </c>
      <c r="J170" s="757">
        <f t="shared" ref="J170:J171" si="3">ROUND(($J$167/(1-$I$179))*I170,2)</f>
        <v>115.47</v>
      </c>
      <c r="K170" s="758"/>
    </row>
    <row r="171" spans="1:11" ht="23.25" customHeight="1">
      <c r="A171" s="579"/>
      <c r="B171" s="682"/>
      <c r="C171" s="1156" t="s">
        <v>537</v>
      </c>
      <c r="D171" s="949"/>
      <c r="E171" s="949"/>
      <c r="F171" s="949"/>
      <c r="G171" s="949"/>
      <c r="H171" s="950"/>
      <c r="I171" s="629">
        <f>'1-ABA-DE-CARREGAMENTO'!F28</f>
        <v>7.5999999999999998E-2</v>
      </c>
      <c r="J171" s="757">
        <f t="shared" si="3"/>
        <v>531.86</v>
      </c>
      <c r="K171" s="758"/>
    </row>
    <row r="172" spans="1:11" ht="29.25" customHeight="1">
      <c r="A172" s="579"/>
      <c r="B172" s="682"/>
      <c r="C172" s="1051" t="s">
        <v>538</v>
      </c>
      <c r="D172" s="949"/>
      <c r="E172" s="949"/>
      <c r="F172" s="949"/>
      <c r="G172" s="949"/>
      <c r="H172" s="950"/>
      <c r="I172" s="759" t="s">
        <v>382</v>
      </c>
      <c r="J172" s="643" t="s">
        <v>382</v>
      </c>
      <c r="K172" s="644"/>
    </row>
    <row r="173" spans="1:11" ht="29.25" customHeight="1">
      <c r="A173" s="579"/>
      <c r="B173" s="682"/>
      <c r="C173" s="1051" t="s">
        <v>539</v>
      </c>
      <c r="D173" s="949"/>
      <c r="E173" s="949"/>
      <c r="F173" s="949"/>
      <c r="G173" s="949"/>
      <c r="H173" s="950"/>
      <c r="I173" s="759" t="s">
        <v>382</v>
      </c>
      <c r="J173" s="643" t="s">
        <v>382</v>
      </c>
      <c r="K173" s="644"/>
    </row>
    <row r="174" spans="1:11" ht="15.75" customHeight="1">
      <c r="A174" s="579"/>
      <c r="B174" s="682"/>
      <c r="C174" s="1051" t="s">
        <v>540</v>
      </c>
      <c r="D174" s="949"/>
      <c r="E174" s="949"/>
      <c r="F174" s="949"/>
      <c r="G174" s="949"/>
      <c r="H174" s="949"/>
      <c r="I174" s="760" t="s">
        <v>382</v>
      </c>
      <c r="J174" s="761" t="s">
        <v>382</v>
      </c>
      <c r="K174" s="762"/>
    </row>
    <row r="175" spans="1:11" ht="15.75" customHeight="1">
      <c r="A175" s="579"/>
      <c r="B175" s="682"/>
      <c r="C175" s="1051" t="s">
        <v>541</v>
      </c>
      <c r="D175" s="949"/>
      <c r="E175" s="949"/>
      <c r="F175" s="949"/>
      <c r="G175" s="949"/>
      <c r="H175" s="949"/>
      <c r="I175" s="760" t="s">
        <v>382</v>
      </c>
      <c r="J175" s="761" t="s">
        <v>382</v>
      </c>
      <c r="K175" s="762"/>
    </row>
    <row r="176" spans="1:11" ht="15.75" customHeight="1">
      <c r="A176" s="579"/>
      <c r="B176" s="682"/>
      <c r="C176" s="1051" t="s">
        <v>542</v>
      </c>
      <c r="D176" s="949"/>
      <c r="E176" s="949"/>
      <c r="F176" s="949"/>
      <c r="G176" s="949"/>
      <c r="H176" s="950"/>
      <c r="I176" s="763">
        <f>'1-ABA-DE-CARREGAMENTO'!D87</f>
        <v>0.03</v>
      </c>
      <c r="J176" s="757">
        <f>ROUND(($J$167/(1-$I$179))*I176,2)</f>
        <v>209.94</v>
      </c>
      <c r="K176" s="758"/>
    </row>
    <row r="177" spans="1:11" ht="15.75" customHeight="1">
      <c r="A177" s="579"/>
      <c r="B177" s="1108" t="s">
        <v>497</v>
      </c>
      <c r="C177" s="949"/>
      <c r="D177" s="949"/>
      <c r="E177" s="949"/>
      <c r="F177" s="949"/>
      <c r="G177" s="949"/>
      <c r="H177" s="949"/>
      <c r="I177" s="950"/>
      <c r="J177" s="662">
        <f>SUM(J164+J166+J170+J171+J176)</f>
        <v>1532.7800000000002</v>
      </c>
      <c r="K177" s="663"/>
    </row>
    <row r="178" spans="1:11" ht="11.25" customHeight="1">
      <c r="A178" s="579"/>
      <c r="B178" s="1112"/>
      <c r="C178" s="949"/>
      <c r="D178" s="949"/>
      <c r="E178" s="949"/>
      <c r="F178" s="949"/>
      <c r="G178" s="949"/>
      <c r="H178" s="949"/>
      <c r="I178" s="949"/>
      <c r="J178" s="950"/>
      <c r="K178" s="715"/>
    </row>
    <row r="179" spans="1:11" ht="15.75" customHeight="1">
      <c r="A179" s="579"/>
      <c r="B179" s="1157" t="s">
        <v>543</v>
      </c>
      <c r="C179" s="949"/>
      <c r="D179" s="949"/>
      <c r="E179" s="949"/>
      <c r="F179" s="949"/>
      <c r="G179" s="949"/>
      <c r="H179" s="950"/>
      <c r="I179" s="764">
        <f t="shared" ref="I179:J179" si="4">SUM(I170:I176)</f>
        <v>0.1225</v>
      </c>
      <c r="J179" s="752">
        <f t="shared" si="4"/>
        <v>857.27</v>
      </c>
      <c r="K179" s="753"/>
    </row>
    <row r="180" spans="1:11" ht="15.75" customHeight="1">
      <c r="A180" s="579"/>
      <c r="B180" s="1158" t="s">
        <v>544</v>
      </c>
      <c r="C180" s="947"/>
      <c r="D180" s="1159" t="s">
        <v>545</v>
      </c>
      <c r="E180" s="947"/>
      <c r="F180" s="947"/>
      <c r="G180" s="947"/>
      <c r="H180" s="947"/>
      <c r="I180" s="947"/>
      <c r="J180" s="1020"/>
      <c r="K180" s="765"/>
    </row>
    <row r="181" spans="1:11" ht="15.75" customHeight="1">
      <c r="A181" s="579"/>
      <c r="B181" s="1151"/>
      <c r="C181" s="947"/>
      <c r="D181" s="1160" t="s">
        <v>546</v>
      </c>
      <c r="E181" s="947"/>
      <c r="F181" s="947"/>
      <c r="G181" s="947"/>
      <c r="H181" s="947"/>
      <c r="I181" s="947"/>
      <c r="J181" s="1020"/>
      <c r="K181" s="766"/>
    </row>
    <row r="182" spans="1:11" ht="15.75" customHeight="1">
      <c r="A182" s="579"/>
      <c r="B182" s="1134"/>
      <c r="C182" s="1037"/>
      <c r="D182" s="1161" t="s">
        <v>547</v>
      </c>
      <c r="E182" s="1037"/>
      <c r="F182" s="1037"/>
      <c r="G182" s="1037"/>
      <c r="H182" s="1037"/>
      <c r="I182" s="1037"/>
      <c r="J182" s="1038"/>
      <c r="K182" s="765"/>
    </row>
    <row r="183" spans="1:11" ht="10.5" customHeight="1">
      <c r="A183" s="579"/>
      <c r="B183" s="1162"/>
      <c r="C183" s="949"/>
      <c r="D183" s="949"/>
      <c r="E183" s="949"/>
      <c r="F183" s="949"/>
      <c r="G183" s="949"/>
      <c r="H183" s="949"/>
      <c r="I183" s="949"/>
      <c r="J183" s="950"/>
      <c r="K183" s="767"/>
    </row>
    <row r="184" spans="1:11" ht="30" customHeight="1">
      <c r="A184" s="579"/>
      <c r="B184" s="1046" t="s">
        <v>548</v>
      </c>
      <c r="C184" s="949"/>
      <c r="D184" s="949"/>
      <c r="E184" s="949"/>
      <c r="F184" s="949"/>
      <c r="G184" s="949"/>
      <c r="H184" s="949"/>
      <c r="I184" s="949"/>
      <c r="J184" s="950"/>
      <c r="K184" s="596"/>
    </row>
    <row r="185" spans="1:11" ht="9.75" customHeight="1">
      <c r="A185" s="579"/>
      <c r="B185" s="1112"/>
      <c r="C185" s="949"/>
      <c r="D185" s="949"/>
      <c r="E185" s="949"/>
      <c r="F185" s="949"/>
      <c r="G185" s="949"/>
      <c r="H185" s="949"/>
      <c r="I185" s="949"/>
      <c r="J185" s="950"/>
      <c r="K185" s="715"/>
    </row>
    <row r="186" spans="1:11" ht="15.75" customHeight="1">
      <c r="A186" s="579"/>
      <c r="B186" s="1113" t="s">
        <v>549</v>
      </c>
      <c r="C186" s="949"/>
      <c r="D186" s="949"/>
      <c r="E186" s="949"/>
      <c r="F186" s="949"/>
      <c r="G186" s="949"/>
      <c r="H186" s="949"/>
      <c r="I186" s="949"/>
      <c r="J186" s="950"/>
      <c r="K186" s="716"/>
    </row>
    <row r="187" spans="1:11" ht="15.75" customHeight="1">
      <c r="A187" s="579"/>
      <c r="B187" s="1050" t="s">
        <v>550</v>
      </c>
      <c r="C187" s="949"/>
      <c r="D187" s="949"/>
      <c r="E187" s="949"/>
      <c r="F187" s="949"/>
      <c r="G187" s="949"/>
      <c r="H187" s="949"/>
      <c r="I187" s="950"/>
      <c r="J187" s="749" t="s">
        <v>447</v>
      </c>
      <c r="K187" s="593"/>
    </row>
    <row r="188" spans="1:11" ht="15.75" customHeight="1">
      <c r="A188" s="579"/>
      <c r="B188" s="768" t="s">
        <v>369</v>
      </c>
      <c r="C188" s="1123" t="s">
        <v>551</v>
      </c>
      <c r="D188" s="949"/>
      <c r="E188" s="949"/>
      <c r="F188" s="949"/>
      <c r="G188" s="949"/>
      <c r="H188" s="949"/>
      <c r="I188" s="949"/>
      <c r="J188" s="742">
        <f>J63</f>
        <v>3417.69</v>
      </c>
      <c r="K188" s="704"/>
    </row>
    <row r="189" spans="1:11" ht="15.75" customHeight="1">
      <c r="A189" s="579"/>
      <c r="B189" s="768" t="s">
        <v>371</v>
      </c>
      <c r="C189" s="1123" t="s">
        <v>552</v>
      </c>
      <c r="D189" s="949"/>
      <c r="E189" s="949"/>
      <c r="F189" s="949"/>
      <c r="G189" s="949"/>
      <c r="H189" s="949"/>
      <c r="I189" s="949"/>
      <c r="J189" s="742">
        <f>J115</f>
        <v>1788.5899999999997</v>
      </c>
      <c r="K189" s="704"/>
    </row>
    <row r="190" spans="1:11" ht="15.75" customHeight="1">
      <c r="A190" s="579"/>
      <c r="B190" s="768" t="s">
        <v>373</v>
      </c>
      <c r="C190" s="1123" t="s">
        <v>553</v>
      </c>
      <c r="D190" s="949"/>
      <c r="E190" s="949"/>
      <c r="F190" s="949"/>
      <c r="G190" s="949"/>
      <c r="H190" s="949"/>
      <c r="I190" s="949"/>
      <c r="J190" s="742">
        <f>J124</f>
        <v>191.47</v>
      </c>
      <c r="K190" s="704"/>
    </row>
    <row r="191" spans="1:11" ht="15.75" customHeight="1">
      <c r="A191" s="579"/>
      <c r="B191" s="768" t="s">
        <v>375</v>
      </c>
      <c r="C191" s="1123" t="s">
        <v>554</v>
      </c>
      <c r="D191" s="949"/>
      <c r="E191" s="949"/>
      <c r="F191" s="949"/>
      <c r="G191" s="949"/>
      <c r="H191" s="949"/>
      <c r="I191" s="949"/>
      <c r="J191" s="742">
        <f>J150</f>
        <v>67.576466666666661</v>
      </c>
      <c r="K191" s="704"/>
    </row>
    <row r="192" spans="1:11" ht="15.75" customHeight="1">
      <c r="A192" s="579"/>
      <c r="B192" s="768" t="s">
        <v>417</v>
      </c>
      <c r="C192" s="1123" t="s">
        <v>555</v>
      </c>
      <c r="D192" s="949"/>
      <c r="E192" s="949"/>
      <c r="F192" s="949"/>
      <c r="G192" s="949"/>
      <c r="H192" s="949"/>
      <c r="I192" s="949"/>
      <c r="J192" s="742">
        <f>J157</f>
        <v>0</v>
      </c>
      <c r="K192" s="704"/>
    </row>
    <row r="193" spans="1:11" ht="15.75" customHeight="1">
      <c r="A193" s="579"/>
      <c r="B193" s="1124" t="s">
        <v>556</v>
      </c>
      <c r="C193" s="949"/>
      <c r="D193" s="949"/>
      <c r="E193" s="949"/>
      <c r="F193" s="949"/>
      <c r="G193" s="949"/>
      <c r="H193" s="949"/>
      <c r="I193" s="949"/>
      <c r="J193" s="743">
        <f>ROUND(SUM(J188:J192),2)</f>
        <v>5465.33</v>
      </c>
      <c r="K193" s="704"/>
    </row>
    <row r="194" spans="1:11" ht="15.75" customHeight="1">
      <c r="A194" s="579"/>
      <c r="B194" s="769" t="s">
        <v>421</v>
      </c>
      <c r="C194" s="1123" t="s">
        <v>528</v>
      </c>
      <c r="D194" s="949"/>
      <c r="E194" s="949"/>
      <c r="F194" s="949"/>
      <c r="G194" s="949"/>
      <c r="H194" s="949"/>
      <c r="I194" s="949"/>
      <c r="J194" s="742">
        <f>J177</f>
        <v>1532.7800000000002</v>
      </c>
      <c r="K194" s="704"/>
    </row>
    <row r="195" spans="1:11" ht="15.75" customHeight="1">
      <c r="A195" s="579"/>
      <c r="B195" s="1124" t="s">
        <v>557</v>
      </c>
      <c r="C195" s="949"/>
      <c r="D195" s="949"/>
      <c r="E195" s="949"/>
      <c r="F195" s="949"/>
      <c r="G195" s="949"/>
      <c r="H195" s="949"/>
      <c r="I195" s="949"/>
      <c r="J195" s="770">
        <f>J193+J194</f>
        <v>6998.1100000000006</v>
      </c>
      <c r="K195" s="704"/>
    </row>
    <row r="196" spans="1:11" ht="42" customHeight="1">
      <c r="A196" s="579"/>
      <c r="B196" s="1127" t="s">
        <v>558</v>
      </c>
      <c r="C196" s="949"/>
      <c r="D196" s="949"/>
      <c r="E196" s="949"/>
      <c r="F196" s="949"/>
      <c r="G196" s="949"/>
      <c r="H196" s="949"/>
      <c r="I196" s="949"/>
      <c r="J196" s="950"/>
      <c r="K196" s="704"/>
    </row>
    <row r="197" spans="1:11" ht="12" customHeight="1">
      <c r="A197" s="579"/>
      <c r="B197" s="1128"/>
      <c r="C197" s="949"/>
      <c r="D197" s="949"/>
      <c r="E197" s="949"/>
      <c r="F197" s="949"/>
      <c r="G197" s="949"/>
      <c r="H197" s="949"/>
      <c r="I197" s="949"/>
      <c r="J197" s="950"/>
      <c r="K197" s="771"/>
    </row>
    <row r="198" spans="1:11" ht="15.75" customHeight="1">
      <c r="A198" s="579"/>
      <c r="B198" s="772"/>
      <c r="C198" s="587"/>
      <c r="D198" s="587"/>
      <c r="E198" s="587"/>
      <c r="F198" s="587"/>
      <c r="G198" s="587"/>
      <c r="H198" s="587"/>
      <c r="I198" s="773"/>
      <c r="J198" s="774"/>
      <c r="K198" s="773"/>
    </row>
    <row r="199" spans="1:11" ht="20.25" customHeight="1">
      <c r="A199" s="579"/>
      <c r="B199" s="1129" t="s">
        <v>559</v>
      </c>
      <c r="C199" s="947"/>
      <c r="D199" s="947"/>
      <c r="E199" s="947"/>
      <c r="F199" s="947"/>
      <c r="G199" s="947"/>
      <c r="H199" s="947"/>
      <c r="I199" s="947"/>
      <c r="J199" s="1020"/>
      <c r="K199" s="588"/>
    </row>
    <row r="200" spans="1:11" ht="52.5" customHeight="1">
      <c r="A200" s="579"/>
      <c r="B200" s="1075" t="s">
        <v>560</v>
      </c>
      <c r="C200" s="949"/>
      <c r="D200" s="949"/>
      <c r="E200" s="950"/>
      <c r="F200" s="775" t="s">
        <v>561</v>
      </c>
      <c r="G200" s="776" t="s">
        <v>562</v>
      </c>
      <c r="H200" s="777" t="s">
        <v>563</v>
      </c>
      <c r="I200" s="1075" t="s">
        <v>564</v>
      </c>
      <c r="J200" s="950"/>
      <c r="K200" s="593"/>
    </row>
    <row r="201" spans="1:11" ht="33.75" hidden="1" customHeight="1" outlineLevel="1">
      <c r="A201" s="579"/>
      <c r="B201" s="1051" t="s">
        <v>565</v>
      </c>
      <c r="C201" s="949"/>
      <c r="D201" s="949"/>
      <c r="E201" s="950"/>
      <c r="F201" s="1140">
        <v>0</v>
      </c>
      <c r="G201" s="950"/>
      <c r="H201" s="778">
        <f t="shared" ref="H201:H202" si="5">E201*F201</f>
        <v>0</v>
      </c>
      <c r="I201" s="1140">
        <f t="shared" ref="I201:I202" si="6">F201*H201</f>
        <v>0</v>
      </c>
      <c r="J201" s="950"/>
      <c r="K201" s="779"/>
    </row>
    <row r="202" spans="1:11" ht="33.75" hidden="1" customHeight="1" outlineLevel="1">
      <c r="A202" s="579"/>
      <c r="B202" s="1051" t="s">
        <v>566</v>
      </c>
      <c r="C202" s="949"/>
      <c r="D202" s="949"/>
      <c r="E202" s="950"/>
      <c r="F202" s="1140">
        <v>0</v>
      </c>
      <c r="G202" s="950"/>
      <c r="H202" s="780">
        <f t="shared" si="5"/>
        <v>0</v>
      </c>
      <c r="I202" s="1140">
        <f t="shared" si="6"/>
        <v>0</v>
      </c>
      <c r="J202" s="950"/>
      <c r="K202" s="779"/>
    </row>
    <row r="203" spans="1:11" ht="39" customHeight="1" collapsed="1">
      <c r="A203" s="579"/>
      <c r="B203" s="1141" t="str">
        <f>B3</f>
        <v>2614-25_INTERP.LIBRAS_30hs</v>
      </c>
      <c r="C203" s="949"/>
      <c r="D203" s="949"/>
      <c r="E203" s="950"/>
      <c r="F203" s="781">
        <f>J195</f>
        <v>6998.1100000000006</v>
      </c>
      <c r="G203" s="782">
        <f>I40</f>
        <v>1</v>
      </c>
      <c r="H203" s="783"/>
      <c r="I203" s="1130">
        <f>F203*G203</f>
        <v>6998.1100000000006</v>
      </c>
      <c r="J203" s="950"/>
      <c r="K203" s="779"/>
    </row>
    <row r="204" spans="1:11" ht="38.25" hidden="1" customHeight="1" outlineLevel="1">
      <c r="A204" s="579"/>
      <c r="B204" s="1051" t="s">
        <v>567</v>
      </c>
      <c r="C204" s="949"/>
      <c r="D204" s="949"/>
      <c r="E204" s="950"/>
      <c r="F204" s="1131">
        <v>0</v>
      </c>
      <c r="G204" s="950"/>
      <c r="H204" s="784">
        <f t="shared" ref="H204:I204" si="7">E204*G204</f>
        <v>0</v>
      </c>
      <c r="I204" s="1131">
        <f t="shared" si="7"/>
        <v>0</v>
      </c>
      <c r="J204" s="950"/>
      <c r="K204" s="779"/>
    </row>
    <row r="205" spans="1:11" ht="39" hidden="1" customHeight="1" outlineLevel="1">
      <c r="A205" s="579"/>
      <c r="B205" s="1051" t="s">
        <v>568</v>
      </c>
      <c r="C205" s="949"/>
      <c r="D205" s="949"/>
      <c r="E205" s="950"/>
      <c r="F205" s="1131">
        <v>0</v>
      </c>
      <c r="G205" s="950"/>
      <c r="H205" s="784">
        <f t="shared" ref="H205:I205" si="8">E205*G205</f>
        <v>0</v>
      </c>
      <c r="I205" s="1131">
        <f t="shared" si="8"/>
        <v>0</v>
      </c>
      <c r="J205" s="950"/>
      <c r="K205" s="779"/>
    </row>
    <row r="206" spans="1:11" ht="33.75" hidden="1" customHeight="1" outlineLevel="1">
      <c r="A206" s="579"/>
      <c r="B206" s="1142" t="s">
        <v>569</v>
      </c>
      <c r="C206" s="949"/>
      <c r="D206" s="949"/>
      <c r="E206" s="950"/>
      <c r="F206" s="1140">
        <v>0</v>
      </c>
      <c r="G206" s="950"/>
      <c r="H206" s="784">
        <f t="shared" ref="H206:I206" si="9">E206*G206</f>
        <v>0</v>
      </c>
      <c r="I206" s="1131">
        <f t="shared" si="9"/>
        <v>0</v>
      </c>
      <c r="J206" s="950"/>
      <c r="K206" s="779"/>
    </row>
    <row r="207" spans="1:11" ht="28.5" customHeight="1" collapsed="1">
      <c r="A207" s="579"/>
      <c r="B207" s="1143" t="s">
        <v>570</v>
      </c>
      <c r="C207" s="949"/>
      <c r="D207" s="949"/>
      <c r="E207" s="949"/>
      <c r="F207" s="949"/>
      <c r="G207" s="950"/>
      <c r="H207" s="785">
        <f>I17</f>
        <v>2</v>
      </c>
      <c r="I207" s="1132">
        <f>H207*I203</f>
        <v>13996.220000000001</v>
      </c>
      <c r="J207" s="950"/>
      <c r="K207" s="786"/>
    </row>
    <row r="208" spans="1:11" ht="8.25" customHeight="1">
      <c r="A208" s="579"/>
      <c r="B208" s="1144"/>
      <c r="C208" s="1145"/>
      <c r="D208" s="1145"/>
      <c r="E208" s="1145"/>
      <c r="F208" s="1145"/>
      <c r="G208" s="1145"/>
      <c r="H208" s="1145"/>
      <c r="I208" s="1145"/>
      <c r="J208" s="1146"/>
      <c r="K208" s="715"/>
    </row>
    <row r="209" spans="1:26" ht="15.75" customHeight="1">
      <c r="A209" s="579"/>
      <c r="B209" s="1147" t="s">
        <v>571</v>
      </c>
      <c r="C209" s="1037"/>
      <c r="D209" s="1037"/>
      <c r="E209" s="1037"/>
      <c r="F209" s="1037"/>
      <c r="G209" s="1037"/>
      <c r="H209" s="1037"/>
      <c r="I209" s="1037"/>
      <c r="J209" s="1038"/>
      <c r="K209" s="596"/>
    </row>
    <row r="210" spans="1:26" ht="8.25" customHeight="1">
      <c r="A210" s="579"/>
      <c r="B210" s="1148"/>
      <c r="C210" s="949"/>
      <c r="D210" s="949"/>
      <c r="E210" s="949"/>
      <c r="F210" s="949"/>
      <c r="G210" s="949"/>
      <c r="H210" s="949"/>
      <c r="I210" s="949"/>
      <c r="J210" s="950"/>
      <c r="K210" s="787"/>
    </row>
    <row r="211" spans="1:26" ht="15.75" customHeight="1">
      <c r="A211" s="579"/>
      <c r="B211" s="1072" t="s">
        <v>572</v>
      </c>
      <c r="C211" s="949"/>
      <c r="D211" s="949"/>
      <c r="E211" s="949"/>
      <c r="F211" s="949"/>
      <c r="G211" s="950"/>
      <c r="H211" s="1149">
        <f>$I$207</f>
        <v>13996.220000000001</v>
      </c>
      <c r="I211" s="949"/>
      <c r="J211" s="950"/>
      <c r="K211" s="788"/>
    </row>
    <row r="212" spans="1:26" ht="8.25" customHeight="1">
      <c r="A212" s="579"/>
      <c r="B212" s="1135"/>
      <c r="C212" s="954"/>
      <c r="D212" s="954"/>
      <c r="E212" s="954"/>
      <c r="F212" s="954"/>
      <c r="G212" s="954"/>
      <c r="H212" s="954"/>
      <c r="I212" s="954"/>
      <c r="J212" s="1136"/>
      <c r="K212" s="789"/>
    </row>
    <row r="213" spans="1:26" ht="15.75" customHeight="1">
      <c r="A213" s="579"/>
      <c r="B213" s="1072" t="s">
        <v>573</v>
      </c>
      <c r="C213" s="949"/>
      <c r="D213" s="949"/>
      <c r="E213" s="949"/>
      <c r="F213" s="949"/>
      <c r="G213" s="950"/>
      <c r="H213" s="1073">
        <f>$I$11</f>
        <v>30</v>
      </c>
      <c r="I213" s="949"/>
      <c r="J213" s="950"/>
      <c r="K213" s="790"/>
    </row>
    <row r="214" spans="1:26" ht="8.25" customHeight="1">
      <c r="A214" s="579"/>
      <c r="B214" s="1137"/>
      <c r="C214" s="949"/>
      <c r="D214" s="949"/>
      <c r="E214" s="949"/>
      <c r="F214" s="949"/>
      <c r="G214" s="949"/>
      <c r="H214" s="949"/>
      <c r="I214" s="949"/>
      <c r="J214" s="950"/>
      <c r="K214" s="791"/>
    </row>
    <row r="215" spans="1:26" ht="29.25" customHeight="1">
      <c r="A215" s="579"/>
      <c r="B215" s="1072" t="s">
        <v>574</v>
      </c>
      <c r="C215" s="949"/>
      <c r="D215" s="949"/>
      <c r="E215" s="949"/>
      <c r="F215" s="949"/>
      <c r="G215" s="950"/>
      <c r="H215" s="1138">
        <f>ROUND(H211*H213,2)</f>
        <v>419886.6</v>
      </c>
      <c r="I215" s="949"/>
      <c r="J215" s="950"/>
      <c r="K215" s="792"/>
    </row>
    <row r="216" spans="1:26" ht="8.25" customHeight="1">
      <c r="A216" s="579"/>
      <c r="B216" s="1139"/>
      <c r="C216" s="949"/>
      <c r="D216" s="949"/>
      <c r="E216" s="949"/>
      <c r="F216" s="949"/>
      <c r="G216" s="949"/>
      <c r="H216" s="949"/>
      <c r="I216" s="949"/>
      <c r="J216" s="950"/>
      <c r="K216" s="587"/>
    </row>
    <row r="217" spans="1:26" ht="15.75" customHeight="1">
      <c r="A217" s="579"/>
      <c r="B217" s="579"/>
      <c r="C217" s="579"/>
      <c r="D217" s="579"/>
      <c r="E217" s="579"/>
      <c r="F217" s="579"/>
      <c r="G217" s="579"/>
      <c r="H217" s="579"/>
      <c r="I217" s="579"/>
      <c r="J217" s="579"/>
      <c r="K217" s="579"/>
    </row>
    <row r="218" spans="1:26" ht="15.75" customHeight="1">
      <c r="B218" s="793" t="s">
        <v>575</v>
      </c>
      <c r="C218" s="794"/>
      <c r="D218" s="794"/>
      <c r="E218" s="795"/>
      <c r="F218" s="796"/>
      <c r="G218" s="797"/>
      <c r="H218" s="798"/>
      <c r="I218" s="799"/>
      <c r="J218" s="799"/>
      <c r="K218" s="579"/>
    </row>
    <row r="219" spans="1:26" ht="15" customHeight="1">
      <c r="A219" s="619"/>
      <c r="B219" s="800"/>
      <c r="C219" s="801"/>
      <c r="D219" s="801"/>
      <c r="E219" s="802"/>
      <c r="F219" s="803"/>
      <c r="G219" s="804"/>
      <c r="H219" s="805"/>
      <c r="I219" s="806"/>
      <c r="J219" s="806"/>
      <c r="K219" s="806"/>
      <c r="L219" s="619"/>
      <c r="M219" s="619"/>
      <c r="N219" s="619"/>
      <c r="O219" s="619"/>
      <c r="P219" s="619"/>
      <c r="Q219" s="619"/>
      <c r="R219" s="619"/>
      <c r="S219" s="619"/>
      <c r="T219" s="619"/>
      <c r="U219" s="619"/>
      <c r="V219" s="619"/>
      <c r="W219" s="619"/>
      <c r="X219" s="619"/>
      <c r="Y219" s="619"/>
      <c r="Z219" s="619"/>
    </row>
    <row r="220" spans="1:26" ht="15.75" customHeight="1">
      <c r="B220" s="807" t="s">
        <v>576</v>
      </c>
      <c r="C220" s="808"/>
      <c r="D220" s="808"/>
      <c r="E220" s="809" t="s">
        <v>577</v>
      </c>
      <c r="F220" s="810" t="s">
        <v>578</v>
      </c>
      <c r="G220" s="811" t="s">
        <v>579</v>
      </c>
      <c r="H220" s="812" t="s">
        <v>580</v>
      </c>
      <c r="I220" s="579"/>
      <c r="J220" s="579"/>
      <c r="K220" s="579"/>
    </row>
    <row r="221" spans="1:26" ht="15.75" customHeight="1">
      <c r="B221" s="813" t="str">
        <f>B45</f>
        <v>Módulo 1: Composição da Remuneração (por Posto)</v>
      </c>
      <c r="C221" s="814"/>
      <c r="D221" s="815"/>
      <c r="E221" s="816" t="s">
        <v>581</v>
      </c>
      <c r="F221" s="817" t="s">
        <v>382</v>
      </c>
      <c r="G221" s="818">
        <f>J58</f>
        <v>3417.69</v>
      </c>
      <c r="H221" s="819">
        <f t="shared" ref="H221:H226" si="10">TRUNC(G221/$H$47,2)</f>
        <v>22.78</v>
      </c>
      <c r="I221" s="579"/>
      <c r="J221" s="579"/>
      <c r="K221" s="579"/>
    </row>
    <row r="222" spans="1:26" ht="15.75" customHeight="1">
      <c r="B222" s="813" t="str">
        <f>B67</f>
        <v>Módulo 2 : Encargos e Benefícios Anuais, Mensais e Diários</v>
      </c>
      <c r="C222" s="814"/>
      <c r="D222" s="815"/>
      <c r="E222" s="816" t="s">
        <v>582</v>
      </c>
      <c r="F222" s="820">
        <f>G222/G221</f>
        <v>0.52333301147851319</v>
      </c>
      <c r="G222" s="818">
        <f>J112+J113</f>
        <v>1788.5899999999997</v>
      </c>
      <c r="H222" s="819">
        <f t="shared" si="10"/>
        <v>11.92</v>
      </c>
      <c r="I222" s="579"/>
      <c r="J222" s="579"/>
      <c r="K222" s="579"/>
    </row>
    <row r="223" spans="1:26" ht="15.75" customHeight="1">
      <c r="B223" s="813" t="str">
        <f>B117</f>
        <v>Módulo 3 - Provisão para Rescisão</v>
      </c>
      <c r="C223" s="814"/>
      <c r="D223" s="815"/>
      <c r="E223" s="816" t="s">
        <v>581</v>
      </c>
      <c r="F223" s="820">
        <f>G223/G221</f>
        <v>5.6023220362291487E-2</v>
      </c>
      <c r="G223" s="818">
        <f>J124</f>
        <v>191.47</v>
      </c>
      <c r="H223" s="819">
        <f t="shared" si="10"/>
        <v>1.27</v>
      </c>
      <c r="I223" s="579"/>
      <c r="J223" s="579"/>
      <c r="K223" s="579"/>
    </row>
    <row r="224" spans="1:26" ht="15.75" customHeight="1">
      <c r="B224" s="813" t="str">
        <f>B126</f>
        <v>Módulo 4 - Custo de Reposição do Profissional Ausente</v>
      </c>
      <c r="C224" s="814"/>
      <c r="D224" s="815"/>
      <c r="E224" s="816" t="s">
        <v>583</v>
      </c>
      <c r="F224" s="820">
        <f t="shared" ref="F224:F225" si="11">G224/SUM($G$221:$G$226)</f>
        <v>0</v>
      </c>
      <c r="G224" s="818">
        <f>J148*0</f>
        <v>0</v>
      </c>
      <c r="H224" s="819">
        <f t="shared" si="10"/>
        <v>0</v>
      </c>
      <c r="I224" s="579"/>
      <c r="J224" s="579"/>
      <c r="K224" s="579"/>
    </row>
    <row r="225" spans="1:26" ht="15.75" customHeight="1">
      <c r="B225" s="813" t="str">
        <f>B152</f>
        <v>Módulo 5 – Insumos Diversos</v>
      </c>
      <c r="C225" s="814"/>
      <c r="D225" s="815"/>
      <c r="E225" s="816" t="s">
        <v>583</v>
      </c>
      <c r="F225" s="820">
        <f t="shared" si="11"/>
        <v>0</v>
      </c>
      <c r="G225" s="818">
        <f>J157*0</f>
        <v>0</v>
      </c>
      <c r="H225" s="819">
        <f t="shared" si="10"/>
        <v>0</v>
      </c>
      <c r="I225" s="579"/>
      <c r="J225" s="579"/>
      <c r="K225" s="579"/>
    </row>
    <row r="226" spans="1:26" ht="15.75" customHeight="1">
      <c r="B226" s="813" t="str">
        <f>B161</f>
        <v>Módulo 6 - Custos Indiretos, Lucro e Tributos</v>
      </c>
      <c r="C226" s="814"/>
      <c r="D226" s="815"/>
      <c r="E226" s="816" t="s">
        <v>581</v>
      </c>
      <c r="F226" s="820">
        <f>G226/G221</f>
        <v>0.44848421009512279</v>
      </c>
      <c r="G226" s="818">
        <f>J177</f>
        <v>1532.7800000000002</v>
      </c>
      <c r="H226" s="819">
        <f t="shared" si="10"/>
        <v>10.210000000000001</v>
      </c>
      <c r="I226" s="579"/>
      <c r="J226" s="579"/>
      <c r="K226" s="579"/>
    </row>
    <row r="227" spans="1:26" ht="27.75" customHeight="1">
      <c r="B227" s="801"/>
      <c r="C227" s="801"/>
      <c r="D227" s="801"/>
      <c r="E227" s="821"/>
      <c r="F227" s="822">
        <f>SUM((F222:F226))</f>
        <v>1.0278404419359275</v>
      </c>
      <c r="G227" s="823">
        <f t="shared" ref="G227:H227" si="12">G221+G222+G223+G224+G225+G226</f>
        <v>6930.5300000000007</v>
      </c>
      <c r="H227" s="824">
        <f t="shared" si="12"/>
        <v>46.180000000000007</v>
      </c>
      <c r="I227" s="579"/>
      <c r="J227" s="579"/>
      <c r="K227" s="579"/>
    </row>
    <row r="228" spans="1:26" ht="15.75" customHeight="1">
      <c r="C228" s="825"/>
      <c r="D228" s="825"/>
      <c r="E228" s="826"/>
      <c r="I228" s="579"/>
      <c r="J228" s="579"/>
      <c r="K228" s="579"/>
    </row>
    <row r="229" spans="1:26" ht="21.75" customHeight="1">
      <c r="B229" s="827"/>
      <c r="C229" s="827"/>
      <c r="D229" s="827"/>
      <c r="E229" s="828"/>
      <c r="F229" s="829" t="s">
        <v>584</v>
      </c>
      <c r="G229" s="830" t="s">
        <v>585</v>
      </c>
      <c r="H229" s="831" t="s">
        <v>586</v>
      </c>
      <c r="I229" s="1133" t="s">
        <v>587</v>
      </c>
      <c r="J229" s="1055"/>
      <c r="K229" s="579"/>
    </row>
    <row r="230" spans="1:26" ht="15.75" customHeight="1">
      <c r="B230" s="832" t="s">
        <v>588</v>
      </c>
      <c r="C230" s="833"/>
      <c r="D230" s="833"/>
      <c r="E230" s="834"/>
      <c r="F230" s="835">
        <v>0.2</v>
      </c>
      <c r="G230" s="836">
        <f>H227*1.2</f>
        <v>55.416000000000004</v>
      </c>
      <c r="H230" s="837" t="s">
        <v>589</v>
      </c>
      <c r="I230" s="1134"/>
      <c r="J230" s="1038"/>
      <c r="K230" s="579"/>
    </row>
    <row r="231" spans="1:26" ht="15.75" customHeight="1">
      <c r="B231" s="1150" t="s">
        <v>590</v>
      </c>
      <c r="C231" s="947"/>
      <c r="D231" s="1020"/>
      <c r="E231" s="838" t="s">
        <v>420</v>
      </c>
      <c r="F231" s="839">
        <v>1.2</v>
      </c>
      <c r="G231" s="840">
        <f t="shared" ref="G231:G234" si="13">F231*$G$230</f>
        <v>66.499200000000002</v>
      </c>
      <c r="H231" s="841">
        <v>0</v>
      </c>
      <c r="I231" s="842"/>
      <c r="J231" s="843">
        <f t="shared" ref="J231:J234" si="14">G231*H231</f>
        <v>0</v>
      </c>
      <c r="K231" s="579"/>
    </row>
    <row r="232" spans="1:26" ht="15.75" customHeight="1">
      <c r="B232" s="1151"/>
      <c r="C232" s="947"/>
      <c r="D232" s="1020"/>
      <c r="E232" s="838" t="s">
        <v>591</v>
      </c>
      <c r="F232" s="839">
        <v>1.8</v>
      </c>
      <c r="G232" s="840">
        <f t="shared" si="13"/>
        <v>99.748800000000003</v>
      </c>
      <c r="H232" s="841">
        <v>0</v>
      </c>
      <c r="I232" s="842"/>
      <c r="J232" s="843">
        <f t="shared" si="14"/>
        <v>0</v>
      </c>
      <c r="K232" s="579"/>
    </row>
    <row r="233" spans="1:26" ht="15.75" customHeight="1">
      <c r="B233" s="1151"/>
      <c r="C233" s="947"/>
      <c r="D233" s="1020"/>
      <c r="E233" s="838" t="s">
        <v>592</v>
      </c>
      <c r="F233" s="839">
        <v>1.5</v>
      </c>
      <c r="G233" s="840">
        <f t="shared" si="13"/>
        <v>83.124000000000009</v>
      </c>
      <c r="H233" s="841">
        <v>0</v>
      </c>
      <c r="I233" s="842"/>
      <c r="J233" s="843">
        <f t="shared" si="14"/>
        <v>0</v>
      </c>
      <c r="K233" s="579"/>
    </row>
    <row r="234" spans="1:26" ht="15.75" customHeight="1">
      <c r="B234" s="1134"/>
      <c r="C234" s="1037"/>
      <c r="D234" s="1038"/>
      <c r="E234" s="838" t="s">
        <v>593</v>
      </c>
      <c r="F234" s="839">
        <v>2</v>
      </c>
      <c r="G234" s="840">
        <f t="shared" si="13"/>
        <v>110.83200000000001</v>
      </c>
      <c r="H234" s="841">
        <v>0</v>
      </c>
      <c r="I234" s="842"/>
      <c r="J234" s="843">
        <f t="shared" si="14"/>
        <v>0</v>
      </c>
      <c r="K234" s="579"/>
    </row>
    <row r="235" spans="1:26" ht="25.5" customHeight="1">
      <c r="A235" s="619"/>
      <c r="B235" s="619"/>
      <c r="C235" s="619"/>
      <c r="D235" s="619"/>
      <c r="E235" s="619"/>
      <c r="F235" s="619"/>
      <c r="G235" s="619"/>
      <c r="H235" s="619"/>
      <c r="I235" s="806"/>
      <c r="J235" s="844">
        <f>SUM(J231:J234)</f>
        <v>0</v>
      </c>
      <c r="K235" s="806"/>
      <c r="L235" s="619"/>
      <c r="M235" s="619"/>
      <c r="N235" s="619"/>
      <c r="O235" s="619"/>
      <c r="P235" s="619"/>
      <c r="Q235" s="619"/>
      <c r="R235" s="619"/>
      <c r="S235" s="619"/>
      <c r="T235" s="619"/>
      <c r="U235" s="619"/>
      <c r="V235" s="619"/>
      <c r="W235" s="619"/>
      <c r="X235" s="619"/>
      <c r="Y235" s="619"/>
      <c r="Z235" s="619"/>
    </row>
    <row r="236" spans="1:26" ht="15.75" customHeight="1">
      <c r="A236" s="619"/>
      <c r="B236" s="619"/>
      <c r="C236" s="619"/>
      <c r="D236" s="619"/>
      <c r="E236" s="619"/>
      <c r="F236" s="619"/>
      <c r="G236" s="619"/>
      <c r="H236" s="619"/>
      <c r="I236" s="806"/>
      <c r="J236" s="806"/>
      <c r="K236" s="806"/>
      <c r="L236" s="619"/>
      <c r="M236" s="619"/>
      <c r="N236" s="619"/>
      <c r="O236" s="619"/>
      <c r="P236" s="619"/>
      <c r="Q236" s="619"/>
      <c r="R236" s="619"/>
      <c r="S236" s="619"/>
      <c r="T236" s="619"/>
      <c r="U236" s="619"/>
      <c r="V236" s="619"/>
      <c r="W236" s="619"/>
      <c r="X236" s="619"/>
      <c r="Y236" s="619"/>
      <c r="Z236" s="619"/>
    </row>
    <row r="237" spans="1:26" ht="15.75" customHeight="1">
      <c r="A237" s="619"/>
      <c r="B237" s="845" t="s">
        <v>594</v>
      </c>
      <c r="C237" s="846" t="s">
        <v>595</v>
      </c>
      <c r="D237" s="847" t="s">
        <v>596</v>
      </c>
      <c r="E237" s="845" t="s">
        <v>597</v>
      </c>
      <c r="F237" s="847" t="s">
        <v>598</v>
      </c>
      <c r="G237" s="845" t="s">
        <v>599</v>
      </c>
      <c r="H237" s="847" t="s">
        <v>600</v>
      </c>
      <c r="I237" s="848"/>
      <c r="J237" s="849"/>
      <c r="K237" s="806"/>
      <c r="L237" s="619"/>
      <c r="M237" s="619"/>
      <c r="N237" s="619"/>
      <c r="O237" s="619"/>
      <c r="P237" s="619"/>
      <c r="Q237" s="619"/>
      <c r="R237" s="619"/>
      <c r="S237" s="619"/>
      <c r="T237" s="619"/>
      <c r="U237" s="619"/>
      <c r="V237" s="619"/>
      <c r="W237" s="619"/>
      <c r="X237" s="619"/>
      <c r="Y237" s="619"/>
      <c r="Z237" s="619"/>
    </row>
    <row r="238" spans="1:26" ht="61.5" customHeight="1">
      <c r="A238" s="619"/>
      <c r="B238" s="850" t="s">
        <v>601</v>
      </c>
      <c r="C238" s="851" t="s">
        <v>602</v>
      </c>
      <c r="D238" s="852">
        <v>381.14</v>
      </c>
      <c r="E238" s="853" t="s">
        <v>603</v>
      </c>
      <c r="F238" s="854">
        <v>341.02</v>
      </c>
      <c r="G238" s="855" t="s">
        <v>604</v>
      </c>
      <c r="H238" s="856">
        <v>300.89999999999998</v>
      </c>
      <c r="I238" s="857"/>
      <c r="J238" s="858">
        <v>0</v>
      </c>
      <c r="K238" s="806"/>
      <c r="L238" s="619"/>
      <c r="M238" s="619"/>
      <c r="N238" s="619"/>
      <c r="O238" s="619"/>
      <c r="P238" s="619"/>
      <c r="Q238" s="619"/>
      <c r="R238" s="619"/>
      <c r="S238" s="619"/>
      <c r="T238" s="619"/>
      <c r="U238" s="619"/>
      <c r="V238" s="619"/>
      <c r="W238" s="619"/>
      <c r="X238" s="619"/>
      <c r="Y238" s="619"/>
      <c r="Z238" s="619"/>
    </row>
    <row r="239" spans="1:26" ht="15.75" customHeight="1">
      <c r="A239" s="619"/>
      <c r="B239" s="619"/>
      <c r="C239" s="619"/>
      <c r="D239" s="619"/>
      <c r="E239" s="619"/>
      <c r="F239" s="619"/>
      <c r="G239" s="619"/>
      <c r="H239" s="619"/>
      <c r="I239" s="806"/>
      <c r="J239" s="806"/>
      <c r="K239" s="806"/>
      <c r="L239" s="619"/>
      <c r="M239" s="619"/>
      <c r="N239" s="619"/>
      <c r="O239" s="619"/>
      <c r="P239" s="619"/>
      <c r="Q239" s="619"/>
      <c r="R239" s="619"/>
      <c r="S239" s="619"/>
      <c r="T239" s="619"/>
      <c r="U239" s="619"/>
      <c r="V239" s="619"/>
      <c r="W239" s="619"/>
      <c r="X239" s="619"/>
      <c r="Y239" s="619"/>
      <c r="Z239" s="619"/>
    </row>
    <row r="240" spans="1:26" ht="46.5" customHeight="1">
      <c r="A240" s="579"/>
      <c r="B240" s="1152" t="s">
        <v>605</v>
      </c>
      <c r="C240" s="949"/>
      <c r="D240" s="949"/>
      <c r="E240" s="949"/>
      <c r="F240" s="949"/>
      <c r="G240" s="950"/>
      <c r="H240" s="859">
        <f>I45</f>
        <v>0</v>
      </c>
      <c r="I240" s="1132">
        <f>I207+J231+J232+J233+J234+J238</f>
        <v>13996.220000000001</v>
      </c>
      <c r="J240" s="950"/>
      <c r="K240" s="786"/>
    </row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mergeCells count="272">
    <mergeCell ref="B186:J186"/>
    <mergeCell ref="B187:I187"/>
    <mergeCell ref="C188:I188"/>
    <mergeCell ref="C189:I189"/>
    <mergeCell ref="C190:I190"/>
    <mergeCell ref="C191:I191"/>
    <mergeCell ref="B177:I177"/>
    <mergeCell ref="B178:J178"/>
    <mergeCell ref="B179:H179"/>
    <mergeCell ref="B180:C182"/>
    <mergeCell ref="D180:J180"/>
    <mergeCell ref="D181:J181"/>
    <mergeCell ref="D182:J182"/>
    <mergeCell ref="B183:J183"/>
    <mergeCell ref="B184:J184"/>
    <mergeCell ref="C169:H169"/>
    <mergeCell ref="C170:H170"/>
    <mergeCell ref="C171:H171"/>
    <mergeCell ref="C172:H172"/>
    <mergeCell ref="C173:H173"/>
    <mergeCell ref="C174:H174"/>
    <mergeCell ref="C175:H175"/>
    <mergeCell ref="C176:H176"/>
    <mergeCell ref="B185:J185"/>
    <mergeCell ref="B159:J159"/>
    <mergeCell ref="B161:J161"/>
    <mergeCell ref="C162:H162"/>
    <mergeCell ref="B163:H163"/>
    <mergeCell ref="C164:H164"/>
    <mergeCell ref="B165:H165"/>
    <mergeCell ref="C166:H166"/>
    <mergeCell ref="B167:H167"/>
    <mergeCell ref="C168:H168"/>
    <mergeCell ref="I240:J240"/>
    <mergeCell ref="B200:E200"/>
    <mergeCell ref="I200:J200"/>
    <mergeCell ref="B201:E201"/>
    <mergeCell ref="F201:G201"/>
    <mergeCell ref="I201:J201"/>
    <mergeCell ref="F202:G202"/>
    <mergeCell ref="I202:J202"/>
    <mergeCell ref="B202:E202"/>
    <mergeCell ref="B203:E203"/>
    <mergeCell ref="B204:E204"/>
    <mergeCell ref="F204:G204"/>
    <mergeCell ref="B205:E205"/>
    <mergeCell ref="F205:G205"/>
    <mergeCell ref="F206:G206"/>
    <mergeCell ref="B206:E206"/>
    <mergeCell ref="B207:G207"/>
    <mergeCell ref="B208:J208"/>
    <mergeCell ref="B209:J209"/>
    <mergeCell ref="B210:J210"/>
    <mergeCell ref="B211:G211"/>
    <mergeCell ref="H211:J211"/>
    <mergeCell ref="B231:D234"/>
    <mergeCell ref="B240:G240"/>
    <mergeCell ref="B196:J196"/>
    <mergeCell ref="B197:J197"/>
    <mergeCell ref="B199:J199"/>
    <mergeCell ref="I203:J203"/>
    <mergeCell ref="I204:J204"/>
    <mergeCell ref="I205:J205"/>
    <mergeCell ref="I206:J206"/>
    <mergeCell ref="I207:J207"/>
    <mergeCell ref="I229:J230"/>
    <mergeCell ref="B212:J212"/>
    <mergeCell ref="B213:G213"/>
    <mergeCell ref="H213:J213"/>
    <mergeCell ref="B214:J214"/>
    <mergeCell ref="B215:G215"/>
    <mergeCell ref="H215:J215"/>
    <mergeCell ref="B216:J216"/>
    <mergeCell ref="B139:I139"/>
    <mergeCell ref="B140:J140"/>
    <mergeCell ref="B141:J141"/>
    <mergeCell ref="C142:I142"/>
    <mergeCell ref="C192:I192"/>
    <mergeCell ref="B193:I193"/>
    <mergeCell ref="C194:I194"/>
    <mergeCell ref="B195:I195"/>
    <mergeCell ref="C143:I143"/>
    <mergeCell ref="B144:I144"/>
    <mergeCell ref="B145:J145"/>
    <mergeCell ref="B146:J146"/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  <mergeCell ref="C156:I156"/>
    <mergeCell ref="B157:I157"/>
    <mergeCell ref="B158:J158"/>
    <mergeCell ref="C136:I136"/>
    <mergeCell ref="C137:I137"/>
    <mergeCell ref="C132:I132"/>
    <mergeCell ref="C133:G133"/>
    <mergeCell ref="C134:I134"/>
    <mergeCell ref="C135:I135"/>
    <mergeCell ref="B130:J130"/>
    <mergeCell ref="B131:J131"/>
    <mergeCell ref="C138:I138"/>
    <mergeCell ref="C77:H77"/>
    <mergeCell ref="C78:H78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B89:J89"/>
    <mergeCell ref="B90:J90"/>
    <mergeCell ref="C91:I91"/>
    <mergeCell ref="C92:H92"/>
    <mergeCell ref="C93:H93"/>
    <mergeCell ref="C94:H94"/>
    <mergeCell ref="C95:H95"/>
    <mergeCell ref="C96:H96"/>
    <mergeCell ref="C97:I97"/>
    <mergeCell ref="C122:I122"/>
    <mergeCell ref="C123:H123"/>
    <mergeCell ref="B124:I124"/>
    <mergeCell ref="B125:J125"/>
    <mergeCell ref="B126:J126"/>
    <mergeCell ref="B127:J127"/>
    <mergeCell ref="B128:J128"/>
    <mergeCell ref="C114:I114"/>
    <mergeCell ref="B115:I115"/>
    <mergeCell ref="B116:J116"/>
    <mergeCell ref="B117:J117"/>
    <mergeCell ref="C118:I118"/>
    <mergeCell ref="C119:I119"/>
    <mergeCell ref="C120:I120"/>
    <mergeCell ref="C69:I69"/>
    <mergeCell ref="C70:H70"/>
    <mergeCell ref="C71:H71"/>
    <mergeCell ref="B72:I72"/>
    <mergeCell ref="B73:J73"/>
    <mergeCell ref="B74:J74"/>
    <mergeCell ref="B75:J75"/>
    <mergeCell ref="B76:J76"/>
    <mergeCell ref="C121:H121"/>
    <mergeCell ref="C98:H98"/>
    <mergeCell ref="C99:H99"/>
    <mergeCell ref="C100:H100"/>
    <mergeCell ref="C101:I101"/>
    <mergeCell ref="C102:I102"/>
    <mergeCell ref="C103:I103"/>
    <mergeCell ref="C104:I104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C60:I60"/>
    <mergeCell ref="B61:I61"/>
    <mergeCell ref="B62:J62"/>
    <mergeCell ref="B63:I63"/>
    <mergeCell ref="B64:J64"/>
    <mergeCell ref="B65:J65"/>
    <mergeCell ref="B66:J66"/>
    <mergeCell ref="B67:J67"/>
    <mergeCell ref="B68:J68"/>
    <mergeCell ref="C51:E51"/>
    <mergeCell ref="C52:I52"/>
    <mergeCell ref="C53:I53"/>
    <mergeCell ref="C54:E54"/>
    <mergeCell ref="C55:E55"/>
    <mergeCell ref="C56:E56"/>
    <mergeCell ref="C57:I57"/>
    <mergeCell ref="B58:I58"/>
    <mergeCell ref="C59:I59"/>
    <mergeCell ref="B43:J43"/>
    <mergeCell ref="B44:J44"/>
    <mergeCell ref="B45:J45"/>
    <mergeCell ref="C46:H46"/>
    <mergeCell ref="C47:F47"/>
    <mergeCell ref="C48:E48"/>
    <mergeCell ref="F48:H48"/>
    <mergeCell ref="C49:H49"/>
    <mergeCell ref="C50:F50"/>
    <mergeCell ref="G50:H50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C34:F34"/>
    <mergeCell ref="G34:H34"/>
    <mergeCell ref="I34:J34"/>
    <mergeCell ref="C35:F35"/>
    <mergeCell ref="G35:H35"/>
    <mergeCell ref="I35:J35"/>
    <mergeCell ref="C36:H36"/>
    <mergeCell ref="I36:J36"/>
    <mergeCell ref="C37:H37"/>
    <mergeCell ref="I37:J37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B14:F14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29:D29"/>
    <mergeCell ref="I29:J29"/>
    <mergeCell ref="I30:J30"/>
    <mergeCell ref="C30:H30"/>
    <mergeCell ref="C31:H31"/>
    <mergeCell ref="I31:J31"/>
    <mergeCell ref="C32:H32"/>
    <mergeCell ref="I32:J32"/>
    <mergeCell ref="G33:H33"/>
    <mergeCell ref="I33:J33"/>
    <mergeCell ref="C33:F33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</mergeCells>
  <conditionalFormatting sqref="I121">
    <cfRule type="cellIs" dxfId="123" priority="1" operator="notEqual">
      <formula>"OK"</formula>
    </cfRule>
  </conditionalFormatting>
  <conditionalFormatting sqref="I49:I50">
    <cfRule type="cellIs" dxfId="122" priority="2" operator="equal">
      <formula>0</formula>
    </cfRule>
  </conditionalFormatting>
  <conditionalFormatting sqref="I48">
    <cfRule type="cellIs" dxfId="121" priority="3" operator="equal">
      <formula>0</formula>
    </cfRule>
  </conditionalFormatting>
  <conditionalFormatting sqref="J133">
    <cfRule type="cellIs" dxfId="120" priority="4" operator="equal">
      <formula>0</formula>
    </cfRule>
  </conditionalFormatting>
  <printOptions horizontalCentered="1"/>
  <pageMargins left="0.11811023622047245" right="0.11811023622047245" top="0.19685039370078741" bottom="0.19685039370078741" header="0" footer="0"/>
  <pageSetup paperSize="9" scale="65" orientation="portrait"/>
  <headerFooter>
    <oddFooter>&amp;C&amp;A » Página -&amp;P  de</oddFooter>
  </headerFooter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FFFF"/>
    <pageSetUpPr fitToPage="1"/>
  </sheetPr>
  <dimension ref="A1:L1000"/>
  <sheetViews>
    <sheetView topLeftCell="A228" workbookViewId="0">
      <selection activeCell="C30" sqref="C30:H30"/>
    </sheetView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21.42578125" customWidth="1"/>
    <col min="6" max="6" width="14.42578125" customWidth="1"/>
    <col min="7" max="7" width="22" customWidth="1"/>
    <col min="8" max="8" width="17.5703125" customWidth="1"/>
    <col min="9" max="9" width="13.28515625" customWidth="1"/>
    <col min="10" max="10" width="22.5703125" customWidth="1"/>
    <col min="11" max="11" width="9.140625" customWidth="1"/>
  </cols>
  <sheetData>
    <row r="1" spans="1:11" ht="13.5" customHeight="1">
      <c r="A1" s="579"/>
      <c r="B1" s="860" t="s">
        <v>365</v>
      </c>
      <c r="C1" s="861"/>
      <c r="D1" s="861"/>
      <c r="E1" s="861"/>
      <c r="F1" s="861"/>
      <c r="G1" s="861"/>
      <c r="H1" s="861"/>
      <c r="I1" s="861"/>
      <c r="J1" s="862"/>
      <c r="K1" s="579"/>
    </row>
    <row r="2" spans="1:11" ht="32.25" customHeight="1">
      <c r="A2" s="579"/>
      <c r="B2" s="1066" t="str">
        <f>'1-ABA-DE-CARREGAMENTO'!C11</f>
        <v xml:space="preserve"> S E R V I Ç O S     -    INTERPRETE DE LIBRAS e SINAIS </v>
      </c>
      <c r="C2" s="1054"/>
      <c r="D2" s="1054"/>
      <c r="E2" s="1054"/>
      <c r="F2" s="1054"/>
      <c r="G2" s="1054"/>
      <c r="H2" s="1054"/>
      <c r="I2" s="1054"/>
      <c r="J2" s="1055"/>
      <c r="K2" s="583"/>
    </row>
    <row r="3" spans="1:11" ht="24" customHeight="1">
      <c r="A3" s="579"/>
      <c r="B3" s="1067" t="str">
        <f>'1-ABA-DE-CARREGAMENTO'!D33</f>
        <v>2614-25_INTERP.LIBRAS_20hs</v>
      </c>
      <c r="C3" s="1037"/>
      <c r="D3" s="1037"/>
      <c r="E3" s="1037"/>
      <c r="F3" s="1037"/>
      <c r="G3" s="1037"/>
      <c r="H3" s="1037"/>
      <c r="I3" s="1037"/>
      <c r="J3" s="1038"/>
      <c r="K3" s="584"/>
    </row>
    <row r="4" spans="1:11" ht="15.75" customHeight="1">
      <c r="A4" s="579"/>
      <c r="B4" s="1060" t="s">
        <v>366</v>
      </c>
      <c r="C4" s="1037"/>
      <c r="D4" s="1037"/>
      <c r="E4" s="1037"/>
      <c r="F4" s="1038"/>
      <c r="G4" s="1068">
        <f>'1-ABA-DE-CARREGAMENTO'!C12</f>
        <v>0</v>
      </c>
      <c r="H4" s="1037"/>
      <c r="I4" s="1037"/>
      <c r="J4" s="1038"/>
      <c r="K4" s="585"/>
    </row>
    <row r="5" spans="1:11" ht="15.75" customHeight="1">
      <c r="A5" s="579"/>
      <c r="B5" s="1051" t="s">
        <v>367</v>
      </c>
      <c r="C5" s="949"/>
      <c r="D5" s="949"/>
      <c r="E5" s="949"/>
      <c r="F5" s="950"/>
      <c r="G5" s="1069">
        <f>'1-ABA-DE-CARREGAMENTO'!C13</f>
        <v>0</v>
      </c>
      <c r="H5" s="949"/>
      <c r="I5" s="949"/>
      <c r="J5" s="950"/>
      <c r="K5" s="585"/>
    </row>
    <row r="6" spans="1:11" ht="14.25" customHeight="1">
      <c r="A6" s="579"/>
      <c r="B6" s="1070">
        <f>'1-ABA-DE-CARREGAMENTO'!C16</f>
        <v>0</v>
      </c>
      <c r="C6" s="949"/>
      <c r="D6" s="949"/>
      <c r="E6" s="949"/>
      <c r="F6" s="949"/>
      <c r="G6" s="949"/>
      <c r="H6" s="949"/>
      <c r="I6" s="949"/>
      <c r="J6" s="950"/>
      <c r="K6" s="587"/>
    </row>
    <row r="7" spans="1:11" ht="20.25" customHeight="1">
      <c r="A7" s="579"/>
      <c r="B7" s="1050" t="s">
        <v>368</v>
      </c>
      <c r="C7" s="949"/>
      <c r="D7" s="949"/>
      <c r="E7" s="949"/>
      <c r="F7" s="949"/>
      <c r="G7" s="949"/>
      <c r="H7" s="949"/>
      <c r="I7" s="949"/>
      <c r="J7" s="950"/>
      <c r="K7" s="588"/>
    </row>
    <row r="8" spans="1:11" ht="15.75" customHeight="1">
      <c r="A8" s="579"/>
      <c r="B8" s="589" t="s">
        <v>369</v>
      </c>
      <c r="C8" s="1051" t="s">
        <v>370</v>
      </c>
      <c r="D8" s="949"/>
      <c r="E8" s="949"/>
      <c r="F8" s="949"/>
      <c r="G8" s="949"/>
      <c r="H8" s="950"/>
      <c r="I8" s="1071">
        <f>'1-ABA-DE-CARREGAMENTO'!C16</f>
        <v>0</v>
      </c>
      <c r="J8" s="950"/>
      <c r="K8" s="590"/>
    </row>
    <row r="9" spans="1:11" ht="15.75" customHeight="1">
      <c r="A9" s="579"/>
      <c r="B9" s="589" t="s">
        <v>371</v>
      </c>
      <c r="C9" s="1051" t="s">
        <v>372</v>
      </c>
      <c r="D9" s="949"/>
      <c r="E9" s="949"/>
      <c r="F9" s="949"/>
      <c r="G9" s="949"/>
      <c r="H9" s="950"/>
      <c r="I9" s="1069" t="str">
        <f>'1-ABA-DE-CARREGAMENTO'!C14</f>
        <v xml:space="preserve">SANTO-AUGUSTO </v>
      </c>
      <c r="J9" s="950"/>
      <c r="K9" s="585"/>
    </row>
    <row r="10" spans="1:11" ht="19.5" customHeight="1">
      <c r="A10" s="579"/>
      <c r="B10" s="589" t="s">
        <v>373</v>
      </c>
      <c r="C10" s="1051" t="s">
        <v>374</v>
      </c>
      <c r="D10" s="949"/>
      <c r="E10" s="949"/>
      <c r="F10" s="949"/>
      <c r="G10" s="949"/>
      <c r="H10" s="950"/>
      <c r="I10" s="1069" t="str">
        <f>'1-ABA-DE-CARREGAMENTO'!D35</f>
        <v>TABELA_nivel-E</v>
      </c>
      <c r="J10" s="950"/>
      <c r="K10" s="585"/>
    </row>
    <row r="11" spans="1:11" ht="15.75" customHeight="1">
      <c r="A11" s="579"/>
      <c r="B11" s="591" t="s">
        <v>375</v>
      </c>
      <c r="C11" s="1072" t="s">
        <v>376</v>
      </c>
      <c r="D11" s="949"/>
      <c r="E11" s="949"/>
      <c r="F11" s="949"/>
      <c r="G11" s="949"/>
      <c r="H11" s="950"/>
      <c r="I11" s="1073">
        <f>'1-ABA-DE-CARREGAMENTO'!D94</f>
        <v>30</v>
      </c>
      <c r="J11" s="950"/>
      <c r="K11" s="585"/>
    </row>
    <row r="12" spans="1:11" ht="21" customHeight="1">
      <c r="A12" s="579"/>
      <c r="B12" s="1074" t="s">
        <v>377</v>
      </c>
      <c r="C12" s="949"/>
      <c r="D12" s="949"/>
      <c r="E12" s="949"/>
      <c r="F12" s="949"/>
      <c r="G12" s="949"/>
      <c r="H12" s="949"/>
      <c r="I12" s="949"/>
      <c r="J12" s="950"/>
      <c r="K12" s="592"/>
    </row>
    <row r="13" spans="1:11" ht="50.25" customHeight="1">
      <c r="A13" s="579"/>
      <c r="B13" s="1075" t="str">
        <f>'1-ABA-DE-CARREGAMENTO'!C11</f>
        <v xml:space="preserve"> S E R V I Ç O S     -    INTERPRETE DE LIBRAS e SINAIS </v>
      </c>
      <c r="C13" s="949"/>
      <c r="D13" s="949"/>
      <c r="E13" s="949"/>
      <c r="F13" s="949"/>
      <c r="G13" s="1075" t="s">
        <v>378</v>
      </c>
      <c r="H13" s="950"/>
      <c r="I13" s="1075" t="s">
        <v>379</v>
      </c>
      <c r="J13" s="950"/>
      <c r="K13" s="593"/>
    </row>
    <row r="14" spans="1:11" ht="12.75" hidden="1" customHeight="1" outlineLevel="1">
      <c r="A14" s="579"/>
      <c r="B14" s="1040" t="s">
        <v>380</v>
      </c>
      <c r="C14" s="949"/>
      <c r="D14" s="949"/>
      <c r="E14" s="949"/>
      <c r="F14" s="950"/>
      <c r="G14" s="1041" t="s">
        <v>381</v>
      </c>
      <c r="H14" s="950"/>
      <c r="I14" s="1042" t="s">
        <v>382</v>
      </c>
      <c r="J14" s="950"/>
      <c r="K14" s="594"/>
    </row>
    <row r="15" spans="1:11" ht="12.75" hidden="1" customHeight="1" outlineLevel="1">
      <c r="A15" s="579"/>
      <c r="B15" s="1040" t="s">
        <v>383</v>
      </c>
      <c r="C15" s="949"/>
      <c r="D15" s="949"/>
      <c r="E15" s="949"/>
      <c r="F15" s="950"/>
      <c r="G15" s="1041" t="s">
        <v>381</v>
      </c>
      <c r="H15" s="950"/>
      <c r="I15" s="1042" t="s">
        <v>382</v>
      </c>
      <c r="J15" s="950"/>
      <c r="K15" s="594"/>
    </row>
    <row r="16" spans="1:11" ht="12.75" hidden="1" customHeight="1" outlineLevel="1">
      <c r="A16" s="579"/>
      <c r="B16" s="1040" t="s">
        <v>384</v>
      </c>
      <c r="C16" s="949"/>
      <c r="D16" s="949"/>
      <c r="E16" s="949"/>
      <c r="F16" s="950"/>
      <c r="G16" s="1041" t="s">
        <v>381</v>
      </c>
      <c r="H16" s="950"/>
      <c r="I16" s="1042" t="s">
        <v>382</v>
      </c>
      <c r="J16" s="950"/>
      <c r="K16" s="594"/>
    </row>
    <row r="17" spans="1:11" ht="12.75" customHeight="1" collapsed="1">
      <c r="A17" s="579"/>
      <c r="B17" s="1040" t="str">
        <f>B3</f>
        <v>2614-25_INTERP.LIBRAS_20hs</v>
      </c>
      <c r="C17" s="949"/>
      <c r="D17" s="949"/>
      <c r="E17" s="949"/>
      <c r="F17" s="950"/>
      <c r="G17" s="1041" t="s">
        <v>381</v>
      </c>
      <c r="H17" s="950"/>
      <c r="I17" s="1042">
        <f>'1-ABA-DE-CARREGAMENTO'!D92</f>
        <v>0</v>
      </c>
      <c r="J17" s="950"/>
      <c r="K17" s="594"/>
    </row>
    <row r="18" spans="1:11" ht="12.75" hidden="1" customHeight="1" outlineLevel="1">
      <c r="A18" s="579"/>
      <c r="B18" s="1040" t="s">
        <v>385</v>
      </c>
      <c r="C18" s="949"/>
      <c r="D18" s="949"/>
      <c r="E18" s="949"/>
      <c r="F18" s="950"/>
      <c r="G18" s="1041" t="s">
        <v>381</v>
      </c>
      <c r="H18" s="950"/>
      <c r="I18" s="1042" t="s">
        <v>382</v>
      </c>
      <c r="J18" s="950"/>
      <c r="K18" s="594"/>
    </row>
    <row r="19" spans="1:11" ht="12.75" hidden="1" customHeight="1" outlineLevel="1">
      <c r="A19" s="579"/>
      <c r="B19" s="1040" t="s">
        <v>606</v>
      </c>
      <c r="C19" s="949"/>
      <c r="D19" s="949"/>
      <c r="E19" s="949"/>
      <c r="F19" s="950"/>
      <c r="G19" s="1041" t="s">
        <v>381</v>
      </c>
      <c r="H19" s="950"/>
      <c r="I19" s="1042" t="s">
        <v>382</v>
      </c>
      <c r="J19" s="950"/>
      <c r="K19" s="594"/>
    </row>
    <row r="20" spans="1:11" ht="12.75" customHeight="1" collapsed="1">
      <c r="A20" s="579"/>
      <c r="B20" s="1044" t="s">
        <v>387</v>
      </c>
      <c r="C20" s="949"/>
      <c r="D20" s="949"/>
      <c r="E20" s="949"/>
      <c r="F20" s="949"/>
      <c r="G20" s="949"/>
      <c r="H20" s="950"/>
      <c r="I20" s="1043">
        <f>SUM(I14:I19)</f>
        <v>0</v>
      </c>
      <c r="J20" s="950"/>
      <c r="K20" s="595"/>
    </row>
    <row r="21" spans="1:11" ht="8.25" customHeight="1">
      <c r="A21" s="579"/>
      <c r="B21" s="1045"/>
      <c r="C21" s="949"/>
      <c r="D21" s="949"/>
      <c r="E21" s="949"/>
      <c r="F21" s="949"/>
      <c r="G21" s="949"/>
      <c r="H21" s="949"/>
      <c r="I21" s="949"/>
      <c r="J21" s="950"/>
      <c r="K21" s="593"/>
    </row>
    <row r="22" spans="1:11" ht="46.5" customHeight="1">
      <c r="A22" s="579"/>
      <c r="B22" s="1046" t="s">
        <v>388</v>
      </c>
      <c r="C22" s="949"/>
      <c r="D22" s="949"/>
      <c r="E22" s="949"/>
      <c r="F22" s="949"/>
      <c r="G22" s="949"/>
      <c r="H22" s="949"/>
      <c r="I22" s="949"/>
      <c r="J22" s="950"/>
      <c r="K22" s="596"/>
    </row>
    <row r="23" spans="1:11" ht="7.5" customHeight="1">
      <c r="A23" s="579"/>
      <c r="B23" s="1047"/>
      <c r="C23" s="949"/>
      <c r="D23" s="949"/>
      <c r="E23" s="949"/>
      <c r="F23" s="949"/>
      <c r="G23" s="949"/>
      <c r="H23" s="949"/>
      <c r="I23" s="949"/>
      <c r="J23" s="950"/>
      <c r="K23" s="362"/>
    </row>
    <row r="24" spans="1:11" ht="51.75" customHeight="1">
      <c r="A24" s="579"/>
      <c r="B24" s="1048" t="s">
        <v>607</v>
      </c>
      <c r="C24" s="949"/>
      <c r="D24" s="949"/>
      <c r="E24" s="949"/>
      <c r="F24" s="949"/>
      <c r="G24" s="949"/>
      <c r="H24" s="949"/>
      <c r="I24" s="949"/>
      <c r="J24" s="950"/>
      <c r="K24" s="597"/>
    </row>
    <row r="25" spans="1:11" ht="9.75" customHeight="1">
      <c r="A25" s="579"/>
      <c r="B25" s="1049"/>
      <c r="C25" s="949"/>
      <c r="D25" s="949"/>
      <c r="E25" s="949"/>
      <c r="F25" s="949"/>
      <c r="G25" s="949"/>
      <c r="H25" s="949"/>
      <c r="I25" s="949"/>
      <c r="J25" s="950"/>
      <c r="K25" s="598"/>
    </row>
    <row r="26" spans="1:11" ht="21.75" customHeight="1">
      <c r="A26" s="593"/>
      <c r="B26" s="1050" t="s">
        <v>390</v>
      </c>
      <c r="C26" s="949"/>
      <c r="D26" s="949"/>
      <c r="E26" s="949"/>
      <c r="F26" s="949"/>
      <c r="G26" s="949"/>
      <c r="H26" s="949"/>
      <c r="I26" s="949"/>
      <c r="J26" s="950"/>
      <c r="K26" s="588"/>
    </row>
    <row r="27" spans="1:11" ht="27" customHeight="1">
      <c r="A27" s="579"/>
      <c r="B27" s="589">
        <v>1</v>
      </c>
      <c r="C27" s="1051" t="s">
        <v>391</v>
      </c>
      <c r="D27" s="949"/>
      <c r="E27" s="949"/>
      <c r="F27" s="949"/>
      <c r="G27" s="949"/>
      <c r="H27" s="950"/>
      <c r="I27" s="1052" t="str">
        <f>'1-ABA-DE-CARREGAMENTO'!D33</f>
        <v>2614-25_INTERP.LIBRAS_20hs</v>
      </c>
      <c r="J27" s="950"/>
      <c r="K27" s="599"/>
    </row>
    <row r="28" spans="1:11" ht="19.5" customHeight="1">
      <c r="A28" s="579"/>
      <c r="B28" s="600">
        <v>2</v>
      </c>
      <c r="C28" s="1092" t="s">
        <v>392</v>
      </c>
      <c r="D28" s="949"/>
      <c r="E28" s="949"/>
      <c r="F28" s="949"/>
      <c r="G28" s="949"/>
      <c r="H28" s="950"/>
      <c r="I28" s="1056"/>
      <c r="J28" s="950"/>
      <c r="K28" s="601"/>
    </row>
    <row r="29" spans="1:11" ht="39" customHeight="1">
      <c r="A29" s="579"/>
      <c r="B29" s="589">
        <v>3</v>
      </c>
      <c r="C29" s="1057" t="s">
        <v>608</v>
      </c>
      <c r="D29" s="929"/>
      <c r="E29" s="863">
        <v>200</v>
      </c>
      <c r="F29" s="604">
        <f>'1-ABA-DE-CARREGAMENTO'!D37</f>
        <v>4556.92</v>
      </c>
      <c r="G29" s="586" t="s">
        <v>394</v>
      </c>
      <c r="H29" s="864">
        <f>'1-ABA-DE-CARREGAMENTO'!D52</f>
        <v>100</v>
      </c>
      <c r="I29" s="1058">
        <f>F29/E29*H29</f>
        <v>2278.46</v>
      </c>
      <c r="J29" s="950"/>
      <c r="K29" s="606"/>
    </row>
    <row r="30" spans="1:11" ht="15.75" customHeight="1">
      <c r="A30" s="579"/>
      <c r="B30" s="589">
        <v>4</v>
      </c>
      <c r="C30" s="1051" t="s">
        <v>395</v>
      </c>
      <c r="D30" s="949"/>
      <c r="E30" s="949"/>
      <c r="F30" s="949"/>
      <c r="G30" s="949"/>
      <c r="H30" s="950"/>
      <c r="I30" s="1059"/>
      <c r="J30" s="950"/>
      <c r="K30" s="607"/>
    </row>
    <row r="31" spans="1:11" ht="15.75" customHeight="1">
      <c r="A31" s="579"/>
      <c r="B31" s="589">
        <v>5</v>
      </c>
      <c r="C31" s="1051" t="s">
        <v>396</v>
      </c>
      <c r="D31" s="949"/>
      <c r="E31" s="949"/>
      <c r="F31" s="949"/>
      <c r="G31" s="949"/>
      <c r="H31" s="950"/>
      <c r="I31" s="1061">
        <f>'1-ABA-DE-CARREGAMENTO'!D36</f>
        <v>0</v>
      </c>
      <c r="J31" s="950"/>
      <c r="K31" s="608"/>
    </row>
    <row r="32" spans="1:11" ht="27" customHeight="1">
      <c r="A32" s="579"/>
      <c r="B32" s="609">
        <v>6</v>
      </c>
      <c r="C32" s="1062" t="s">
        <v>609</v>
      </c>
      <c r="D32" s="949"/>
      <c r="E32" s="949"/>
      <c r="F32" s="949"/>
      <c r="G32" s="949"/>
      <c r="H32" s="950"/>
      <c r="I32" s="1063">
        <f>I29/H29</f>
        <v>22.784600000000001</v>
      </c>
      <c r="J32" s="950"/>
      <c r="K32" s="610"/>
    </row>
    <row r="33" spans="1:11" ht="27" customHeight="1">
      <c r="A33" s="579"/>
      <c r="B33" s="609">
        <v>7</v>
      </c>
      <c r="C33" s="1062" t="s">
        <v>610</v>
      </c>
      <c r="D33" s="949"/>
      <c r="E33" s="949"/>
      <c r="F33" s="950"/>
      <c r="G33" s="1064"/>
      <c r="H33" s="950"/>
      <c r="I33" s="1065">
        <f>(SUM(J47:J50)/H29)</f>
        <v>22.784600000000001</v>
      </c>
      <c r="J33" s="950"/>
      <c r="K33" s="610"/>
    </row>
    <row r="34" spans="1:11" ht="27" customHeight="1">
      <c r="A34" s="579"/>
      <c r="B34" s="609">
        <v>8</v>
      </c>
      <c r="C34" s="1062" t="s">
        <v>611</v>
      </c>
      <c r="D34" s="949"/>
      <c r="E34" s="949"/>
      <c r="F34" s="950"/>
      <c r="G34" s="1064"/>
      <c r="H34" s="950"/>
      <c r="I34" s="1063">
        <f t="shared" ref="I34:I35" si="0">I32*1.5</f>
        <v>34.176900000000003</v>
      </c>
      <c r="J34" s="950"/>
      <c r="K34" s="610"/>
    </row>
    <row r="35" spans="1:11" ht="23.25" customHeight="1">
      <c r="A35" s="579"/>
      <c r="B35" s="609">
        <v>9</v>
      </c>
      <c r="C35" s="1062" t="s">
        <v>612</v>
      </c>
      <c r="D35" s="949"/>
      <c r="E35" s="949"/>
      <c r="F35" s="950"/>
      <c r="G35" s="1064" t="s">
        <v>401</v>
      </c>
      <c r="H35" s="950"/>
      <c r="I35" s="1065">
        <f t="shared" si="0"/>
        <v>34.176900000000003</v>
      </c>
      <c r="J35" s="950"/>
      <c r="K35" s="611"/>
    </row>
    <row r="36" spans="1:11" ht="26.25" customHeight="1">
      <c r="A36" s="579"/>
      <c r="B36" s="609">
        <v>10</v>
      </c>
      <c r="C36" s="1062" t="s">
        <v>613</v>
      </c>
      <c r="D36" s="949"/>
      <c r="E36" s="949"/>
      <c r="F36" s="949"/>
      <c r="G36" s="949"/>
      <c r="H36" s="950"/>
      <c r="I36" s="1065">
        <f>I33*1.2</f>
        <v>27.341519999999999</v>
      </c>
      <c r="J36" s="950"/>
      <c r="K36" s="610"/>
    </row>
    <row r="37" spans="1:11" ht="27" customHeight="1">
      <c r="A37" s="579"/>
      <c r="B37" s="609">
        <v>11</v>
      </c>
      <c r="C37" s="1078" t="s">
        <v>614</v>
      </c>
      <c r="D37" s="1054"/>
      <c r="E37" s="1054"/>
      <c r="F37" s="1054"/>
      <c r="G37" s="1054"/>
      <c r="H37" s="1055"/>
      <c r="I37" s="1076">
        <f>I33*2</f>
        <v>45.569200000000002</v>
      </c>
      <c r="J37" s="950"/>
      <c r="K37" s="610"/>
    </row>
    <row r="38" spans="1:11" ht="31.5" customHeight="1" outlineLevel="1">
      <c r="A38" s="579"/>
      <c r="B38" s="865">
        <v>12</v>
      </c>
      <c r="C38" s="1062" t="s">
        <v>615</v>
      </c>
      <c r="D38" s="949"/>
      <c r="E38" s="866">
        <f>ROUND(I38/220,2)</f>
        <v>0</v>
      </c>
      <c r="F38" s="1166" t="s">
        <v>616</v>
      </c>
      <c r="G38" s="949"/>
      <c r="H38" s="950"/>
      <c r="I38" s="1167">
        <f>I29*'1-ABA-DE-CARREGAMENTO'!D44</f>
        <v>0</v>
      </c>
      <c r="J38" s="950"/>
      <c r="K38" s="610"/>
    </row>
    <row r="39" spans="1:11" ht="15.75" customHeight="1" outlineLevel="1">
      <c r="A39" s="579"/>
      <c r="B39" s="609">
        <v>13</v>
      </c>
      <c r="C39" s="1168" t="s">
        <v>405</v>
      </c>
      <c r="D39" s="1037"/>
      <c r="E39" s="1037"/>
      <c r="F39" s="1037"/>
      <c r="G39" s="1037"/>
      <c r="H39" s="1038"/>
      <c r="I39" s="1063">
        <f>ROUND(I32/6,2)*1.3*0</f>
        <v>0</v>
      </c>
      <c r="J39" s="950"/>
      <c r="K39" s="610"/>
    </row>
    <row r="40" spans="1:11" ht="15.75" customHeight="1">
      <c r="A40" s="579"/>
      <c r="B40" s="609">
        <v>14</v>
      </c>
      <c r="C40" s="1117" t="s">
        <v>406</v>
      </c>
      <c r="D40" s="949"/>
      <c r="E40" s="949"/>
      <c r="F40" s="949"/>
      <c r="G40" s="949"/>
      <c r="H40" s="950"/>
      <c r="I40" s="1163">
        <f>'1-ABA-DE-CARREGAMENTO'!D93</f>
        <v>1</v>
      </c>
      <c r="J40" s="950"/>
      <c r="K40" s="614"/>
    </row>
    <row r="41" spans="1:11" ht="15.75" customHeight="1">
      <c r="A41" s="579"/>
      <c r="B41" s="609">
        <v>15</v>
      </c>
      <c r="C41" s="1164" t="s">
        <v>407</v>
      </c>
      <c r="D41" s="949"/>
      <c r="E41" s="949"/>
      <c r="F41" s="949"/>
      <c r="G41" s="949"/>
      <c r="H41" s="950"/>
      <c r="I41" s="1165">
        <f>'1-ABA-DE-CARREGAMENTO'!D42</f>
        <v>1320</v>
      </c>
      <c r="J41" s="950"/>
      <c r="K41" s="616"/>
    </row>
    <row r="42" spans="1:11" ht="9" customHeight="1">
      <c r="A42" s="579"/>
      <c r="B42" s="1047"/>
      <c r="C42" s="949"/>
      <c r="D42" s="949"/>
      <c r="E42" s="949"/>
      <c r="F42" s="949"/>
      <c r="G42" s="949"/>
      <c r="H42" s="949"/>
      <c r="I42" s="949"/>
      <c r="J42" s="950"/>
      <c r="K42" s="362"/>
    </row>
    <row r="43" spans="1:11" ht="21.75" customHeight="1">
      <c r="A43" s="579"/>
      <c r="B43" s="1086" t="s">
        <v>408</v>
      </c>
      <c r="C43" s="949"/>
      <c r="D43" s="949"/>
      <c r="E43" s="949"/>
      <c r="F43" s="949"/>
      <c r="G43" s="949"/>
      <c r="H43" s="949"/>
      <c r="I43" s="949"/>
      <c r="J43" s="950"/>
      <c r="K43" s="617"/>
    </row>
    <row r="44" spans="1:11" ht="9" customHeight="1">
      <c r="A44" s="579"/>
      <c r="B44" s="1087"/>
      <c r="C44" s="949"/>
      <c r="D44" s="949"/>
      <c r="E44" s="949"/>
      <c r="F44" s="949"/>
      <c r="G44" s="949"/>
      <c r="H44" s="949"/>
      <c r="I44" s="949"/>
      <c r="J44" s="950"/>
      <c r="K44" s="618"/>
    </row>
    <row r="45" spans="1:11" ht="20.25" customHeight="1">
      <c r="A45" s="579"/>
      <c r="B45" s="1088" t="s">
        <v>409</v>
      </c>
      <c r="C45" s="949"/>
      <c r="D45" s="949"/>
      <c r="E45" s="949"/>
      <c r="F45" s="949"/>
      <c r="G45" s="949"/>
      <c r="H45" s="949"/>
      <c r="I45" s="949"/>
      <c r="J45" s="950"/>
      <c r="K45" s="620"/>
    </row>
    <row r="46" spans="1:11" ht="30" customHeight="1">
      <c r="A46" s="621"/>
      <c r="B46" s="622">
        <v>1</v>
      </c>
      <c r="C46" s="1089" t="s">
        <v>410</v>
      </c>
      <c r="D46" s="949"/>
      <c r="E46" s="949"/>
      <c r="F46" s="949"/>
      <c r="G46" s="949"/>
      <c r="H46" s="950"/>
      <c r="I46" s="623" t="s">
        <v>411</v>
      </c>
      <c r="J46" s="622" t="s">
        <v>412</v>
      </c>
      <c r="K46" s="592"/>
    </row>
    <row r="47" spans="1:11" ht="24" customHeight="1">
      <c r="A47" s="579"/>
      <c r="B47" s="589" t="s">
        <v>369</v>
      </c>
      <c r="C47" s="1051" t="s">
        <v>413</v>
      </c>
      <c r="D47" s="949"/>
      <c r="E47" s="949"/>
      <c r="F47" s="950"/>
      <c r="G47" s="624" t="s">
        <v>184</v>
      </c>
      <c r="H47" s="625">
        <f>'1-ABA-DE-CARREGAMENTO'!D52</f>
        <v>100</v>
      </c>
      <c r="I47" s="624"/>
      <c r="J47" s="627">
        <f>I29*I40</f>
        <v>2278.46</v>
      </c>
      <c r="K47" s="628"/>
    </row>
    <row r="48" spans="1:11" ht="15.75" customHeight="1">
      <c r="A48" s="579"/>
      <c r="B48" s="589" t="s">
        <v>371</v>
      </c>
      <c r="C48" s="1051" t="s">
        <v>617</v>
      </c>
      <c r="D48" s="949"/>
      <c r="E48" s="949"/>
      <c r="F48" s="1090" t="str">
        <f>'1-ABA-DE-CARREGAMENTO'!D38</f>
        <v>SEM ADICIONAL DE FUNÇÃO</v>
      </c>
      <c r="G48" s="949"/>
      <c r="H48" s="950"/>
      <c r="I48" s="867">
        <f>'1-ABA-DE-CARREGAMENTO'!D39</f>
        <v>0</v>
      </c>
      <c r="J48" s="868">
        <f>(IF(I9="PANAMBI ",0.5,1))*I48*I41</f>
        <v>0</v>
      </c>
      <c r="K48" s="628"/>
    </row>
    <row r="49" spans="1:11" ht="30" customHeight="1">
      <c r="A49" s="579"/>
      <c r="B49" s="589" t="s">
        <v>373</v>
      </c>
      <c r="C49" s="1051" t="s">
        <v>618</v>
      </c>
      <c r="D49" s="949"/>
      <c r="E49" s="949"/>
      <c r="F49" s="949"/>
      <c r="G49" s="949"/>
      <c r="H49" s="950"/>
      <c r="I49" s="756">
        <f>'1-ABA-DE-CARREGAMENTO'!D44</f>
        <v>0</v>
      </c>
      <c r="J49" s="627">
        <f>ROUND(J47*I49,2)</f>
        <v>0</v>
      </c>
      <c r="K49" s="628"/>
    </row>
    <row r="50" spans="1:11" ht="30" customHeight="1">
      <c r="A50" s="579"/>
      <c r="B50" s="589" t="s">
        <v>375</v>
      </c>
      <c r="C50" s="1051" t="s">
        <v>619</v>
      </c>
      <c r="D50" s="949"/>
      <c r="E50" s="949"/>
      <c r="F50" s="949"/>
      <c r="G50" s="1090" t="str">
        <f>'1-ABA-DE-CARREGAMENTO'!D40</f>
        <v>SEM ADICIONAL DE RISCO</v>
      </c>
      <c r="H50" s="950"/>
      <c r="I50" s="869">
        <f>'1-ABA-DE-CARREGAMENTO'!D41</f>
        <v>0</v>
      </c>
      <c r="J50" s="627">
        <f>ROUND(I50*I41,2)</f>
        <v>0</v>
      </c>
      <c r="K50" s="628"/>
    </row>
    <row r="51" spans="1:11" ht="40.5" hidden="1" customHeight="1" outlineLevel="1">
      <c r="A51" s="579"/>
      <c r="B51" s="589" t="s">
        <v>417</v>
      </c>
      <c r="C51" s="1091" t="s">
        <v>620</v>
      </c>
      <c r="D51" s="949"/>
      <c r="E51" s="950"/>
      <c r="F51" s="632" t="s">
        <v>419</v>
      </c>
      <c r="G51" s="870">
        <v>0</v>
      </c>
      <c r="H51" s="632" t="s">
        <v>420</v>
      </c>
      <c r="I51" s="634">
        <f>I36</f>
        <v>27.341519999999999</v>
      </c>
      <c r="J51" s="635">
        <f>G51*I51</f>
        <v>0</v>
      </c>
      <c r="K51" s="628"/>
    </row>
    <row r="52" spans="1:11" ht="51" hidden="1" customHeight="1" outlineLevel="1">
      <c r="A52" s="579"/>
      <c r="B52" s="589" t="s">
        <v>421</v>
      </c>
      <c r="C52" s="1092" t="s">
        <v>621</v>
      </c>
      <c r="D52" s="949"/>
      <c r="E52" s="949"/>
      <c r="F52" s="949"/>
      <c r="G52" s="949"/>
      <c r="H52" s="949"/>
      <c r="I52" s="950"/>
      <c r="J52" s="627">
        <f>ROUND(I38*(((12*15)+15)-((44/6)*26))*I35,2)*0+ROUND(2*4.33*I35,2)*0</f>
        <v>0</v>
      </c>
      <c r="K52" s="628"/>
    </row>
    <row r="53" spans="1:11" ht="30" hidden="1" customHeight="1" outlineLevel="1">
      <c r="A53" s="579"/>
      <c r="B53" s="589" t="s">
        <v>423</v>
      </c>
      <c r="C53" s="1092" t="s">
        <v>622</v>
      </c>
      <c r="D53" s="949"/>
      <c r="E53" s="949"/>
      <c r="F53" s="949"/>
      <c r="G53" s="949"/>
      <c r="H53" s="949"/>
      <c r="I53" s="950"/>
      <c r="J53" s="627">
        <f>ROUND(I39*I40*15,2)*0</f>
        <v>0</v>
      </c>
      <c r="K53" s="628"/>
    </row>
    <row r="54" spans="1:11" ht="30" hidden="1" customHeight="1" outlineLevel="1">
      <c r="A54" s="579"/>
      <c r="B54" s="589" t="s">
        <v>425</v>
      </c>
      <c r="C54" s="1093" t="s">
        <v>623</v>
      </c>
      <c r="D54" s="1037"/>
      <c r="E54" s="1037"/>
      <c r="F54" s="636" t="s">
        <v>427</v>
      </c>
      <c r="G54" s="871">
        <v>0</v>
      </c>
      <c r="H54" s="636" t="s">
        <v>428</v>
      </c>
      <c r="I54" s="638">
        <f>I35</f>
        <v>34.176900000000003</v>
      </c>
      <c r="J54" s="635">
        <f t="shared" ref="J54:J55" si="1">G54*I54</f>
        <v>0</v>
      </c>
      <c r="K54" s="628"/>
    </row>
    <row r="55" spans="1:11" ht="30" hidden="1" customHeight="1" outlineLevel="1">
      <c r="A55" s="579"/>
      <c r="B55" s="589" t="s">
        <v>429</v>
      </c>
      <c r="C55" s="1093" t="s">
        <v>624</v>
      </c>
      <c r="D55" s="1037"/>
      <c r="E55" s="1037"/>
      <c r="F55" s="636" t="s">
        <v>431</v>
      </c>
      <c r="G55" s="871">
        <v>0</v>
      </c>
      <c r="H55" s="636" t="s">
        <v>432</v>
      </c>
      <c r="I55" s="638">
        <f>I37</f>
        <v>45.569200000000002</v>
      </c>
      <c r="J55" s="639">
        <f t="shared" si="1"/>
        <v>0</v>
      </c>
      <c r="K55" s="628"/>
    </row>
    <row r="56" spans="1:11" ht="43.5" customHeight="1" collapsed="1">
      <c r="A56" s="579"/>
      <c r="B56" s="589" t="s">
        <v>433</v>
      </c>
      <c r="C56" s="1094" t="s">
        <v>625</v>
      </c>
      <c r="D56" s="947"/>
      <c r="E56" s="947"/>
      <c r="F56" s="640" t="s">
        <v>435</v>
      </c>
      <c r="G56" s="641">
        <f>(G54+G55)*0.2</f>
        <v>0</v>
      </c>
      <c r="H56" s="636"/>
      <c r="I56" s="638"/>
      <c r="J56" s="627">
        <f>ROUND(SUM(J54:J55)*0.2,2)</f>
        <v>0</v>
      </c>
      <c r="K56" s="628"/>
    </row>
    <row r="57" spans="1:11" ht="31.5" customHeight="1">
      <c r="A57" s="579"/>
      <c r="B57" s="589" t="s">
        <v>436</v>
      </c>
      <c r="C57" s="1051" t="s">
        <v>437</v>
      </c>
      <c r="D57" s="949"/>
      <c r="E57" s="949"/>
      <c r="F57" s="949"/>
      <c r="G57" s="949"/>
      <c r="H57" s="949"/>
      <c r="I57" s="950"/>
      <c r="J57" s="643" t="s">
        <v>382</v>
      </c>
      <c r="K57" s="644"/>
    </row>
    <row r="58" spans="1:11" ht="32.25" customHeight="1">
      <c r="A58" s="579"/>
      <c r="B58" s="1050" t="s">
        <v>438</v>
      </c>
      <c r="C58" s="949"/>
      <c r="D58" s="949"/>
      <c r="E58" s="949"/>
      <c r="F58" s="949"/>
      <c r="G58" s="949"/>
      <c r="H58" s="949"/>
      <c r="I58" s="950"/>
      <c r="J58" s="645">
        <f>SUM(J47:J57)</f>
        <v>2278.46</v>
      </c>
      <c r="K58" s="646"/>
    </row>
    <row r="59" spans="1:11" ht="9.75" customHeight="1">
      <c r="A59" s="579"/>
      <c r="B59" s="647"/>
      <c r="C59" s="1095"/>
      <c r="D59" s="949"/>
      <c r="E59" s="949"/>
      <c r="F59" s="949"/>
      <c r="G59" s="949"/>
      <c r="H59" s="949"/>
      <c r="I59" s="950"/>
      <c r="J59" s="648"/>
      <c r="K59" s="646"/>
    </row>
    <row r="60" spans="1:11" ht="29.25" customHeight="1">
      <c r="A60" s="579"/>
      <c r="B60" s="589" t="s">
        <v>425</v>
      </c>
      <c r="C60" s="1051" t="s">
        <v>626</v>
      </c>
      <c r="D60" s="949"/>
      <c r="E60" s="949"/>
      <c r="F60" s="949"/>
      <c r="G60" s="949"/>
      <c r="H60" s="949"/>
      <c r="I60" s="950"/>
      <c r="J60" s="627">
        <f>ROUND(I34*15*I40*0.5,2)*0</f>
        <v>0</v>
      </c>
      <c r="K60" s="628"/>
    </row>
    <row r="61" spans="1:11" ht="31.5" customHeight="1">
      <c r="A61" s="579"/>
      <c r="B61" s="1050" t="s">
        <v>627</v>
      </c>
      <c r="C61" s="949"/>
      <c r="D61" s="949"/>
      <c r="E61" s="949"/>
      <c r="F61" s="949"/>
      <c r="G61" s="949"/>
      <c r="H61" s="949"/>
      <c r="I61" s="950"/>
      <c r="J61" s="645">
        <f>J60</f>
        <v>0</v>
      </c>
      <c r="K61" s="646"/>
    </row>
    <row r="62" spans="1:11" ht="11.25" customHeight="1">
      <c r="A62" s="579"/>
      <c r="B62" s="1045"/>
      <c r="C62" s="949"/>
      <c r="D62" s="949"/>
      <c r="E62" s="949"/>
      <c r="F62" s="949"/>
      <c r="G62" s="949"/>
      <c r="H62" s="949"/>
      <c r="I62" s="949"/>
      <c r="J62" s="950"/>
      <c r="K62" s="593"/>
    </row>
    <row r="63" spans="1:11" ht="48" customHeight="1">
      <c r="A63" s="579"/>
      <c r="B63" s="1096" t="s">
        <v>628</v>
      </c>
      <c r="C63" s="949"/>
      <c r="D63" s="949"/>
      <c r="E63" s="949"/>
      <c r="F63" s="949"/>
      <c r="G63" s="949"/>
      <c r="H63" s="949"/>
      <c r="I63" s="950"/>
      <c r="J63" s="649">
        <f>J58+J61</f>
        <v>2278.46</v>
      </c>
      <c r="K63" s="650"/>
    </row>
    <row r="64" spans="1:11" ht="9" customHeight="1">
      <c r="A64" s="579"/>
      <c r="B64" s="1095"/>
      <c r="C64" s="949"/>
      <c r="D64" s="949"/>
      <c r="E64" s="949"/>
      <c r="F64" s="949"/>
      <c r="G64" s="949"/>
      <c r="H64" s="949"/>
      <c r="I64" s="949"/>
      <c r="J64" s="950"/>
      <c r="K64" s="651"/>
    </row>
    <row r="65" spans="1:11" ht="19.5" customHeight="1">
      <c r="A65" s="579"/>
      <c r="B65" s="1097" t="s">
        <v>442</v>
      </c>
      <c r="C65" s="949"/>
      <c r="D65" s="949"/>
      <c r="E65" s="949"/>
      <c r="F65" s="949"/>
      <c r="G65" s="949"/>
      <c r="H65" s="949"/>
      <c r="I65" s="949"/>
      <c r="J65" s="950"/>
      <c r="K65" s="652"/>
    </row>
    <row r="66" spans="1:11" ht="8.25" customHeight="1">
      <c r="A66" s="579"/>
      <c r="B66" s="1095"/>
      <c r="C66" s="949"/>
      <c r="D66" s="949"/>
      <c r="E66" s="949"/>
      <c r="F66" s="949"/>
      <c r="G66" s="949"/>
      <c r="H66" s="949"/>
      <c r="I66" s="949"/>
      <c r="J66" s="950"/>
      <c r="K66" s="651"/>
    </row>
    <row r="67" spans="1:11" ht="27" customHeight="1">
      <c r="A67" s="579"/>
      <c r="B67" s="1098" t="s">
        <v>443</v>
      </c>
      <c r="C67" s="949"/>
      <c r="D67" s="949"/>
      <c r="E67" s="949"/>
      <c r="F67" s="949"/>
      <c r="G67" s="949"/>
      <c r="H67" s="949"/>
      <c r="I67" s="949"/>
      <c r="J67" s="950"/>
      <c r="K67" s="653"/>
    </row>
    <row r="68" spans="1:11" ht="27" customHeight="1">
      <c r="A68" s="579"/>
      <c r="B68" s="1099" t="s">
        <v>629</v>
      </c>
      <c r="C68" s="949"/>
      <c r="D68" s="949"/>
      <c r="E68" s="949"/>
      <c r="F68" s="949"/>
      <c r="G68" s="949"/>
      <c r="H68" s="949"/>
      <c r="I68" s="949"/>
      <c r="J68" s="950"/>
      <c r="K68" s="654"/>
    </row>
    <row r="69" spans="1:11" ht="22.5" customHeight="1">
      <c r="A69" s="579"/>
      <c r="B69" s="655" t="s">
        <v>445</v>
      </c>
      <c r="C69" s="1100" t="s">
        <v>630</v>
      </c>
      <c r="D69" s="949"/>
      <c r="E69" s="949"/>
      <c r="F69" s="949"/>
      <c r="G69" s="949"/>
      <c r="H69" s="949"/>
      <c r="I69" s="950"/>
      <c r="J69" s="656" t="s">
        <v>447</v>
      </c>
      <c r="K69" s="657"/>
    </row>
    <row r="70" spans="1:11" ht="28.5" customHeight="1">
      <c r="A70" s="579"/>
      <c r="B70" s="655" t="s">
        <v>369</v>
      </c>
      <c r="C70" s="1092" t="s">
        <v>631</v>
      </c>
      <c r="D70" s="949"/>
      <c r="E70" s="949"/>
      <c r="F70" s="949"/>
      <c r="G70" s="949"/>
      <c r="H70" s="950"/>
      <c r="I70" s="658">
        <v>8.3299999999999999E-2</v>
      </c>
      <c r="J70" s="659">
        <f>ROUND(J58*I70,2)</f>
        <v>189.8</v>
      </c>
      <c r="K70" s="660"/>
    </row>
    <row r="71" spans="1:11" ht="93" customHeight="1">
      <c r="A71" s="579"/>
      <c r="B71" s="655" t="s">
        <v>371</v>
      </c>
      <c r="C71" s="1101" t="s">
        <v>632</v>
      </c>
      <c r="D71" s="949"/>
      <c r="E71" s="949"/>
      <c r="F71" s="949"/>
      <c r="G71" s="949"/>
      <c r="H71" s="950"/>
      <c r="I71" s="661">
        <v>3.0249999999999999E-2</v>
      </c>
      <c r="J71" s="659">
        <f>ROUND(J58*I71,2)</f>
        <v>68.92</v>
      </c>
      <c r="K71" s="660"/>
    </row>
    <row r="72" spans="1:11" ht="15" customHeight="1">
      <c r="A72" s="579"/>
      <c r="B72" s="1102" t="s">
        <v>450</v>
      </c>
      <c r="C72" s="949"/>
      <c r="D72" s="949"/>
      <c r="E72" s="949"/>
      <c r="F72" s="949"/>
      <c r="G72" s="949"/>
      <c r="H72" s="949"/>
      <c r="I72" s="950"/>
      <c r="J72" s="662">
        <f>SUM(J70+J71)</f>
        <v>258.72000000000003</v>
      </c>
      <c r="K72" s="663"/>
    </row>
    <row r="73" spans="1:11" ht="7.5" customHeight="1">
      <c r="A73" s="579"/>
      <c r="B73" s="1103"/>
      <c r="C73" s="949"/>
      <c r="D73" s="949"/>
      <c r="E73" s="949"/>
      <c r="F73" s="949"/>
      <c r="G73" s="949"/>
      <c r="H73" s="949"/>
      <c r="I73" s="949"/>
      <c r="J73" s="950"/>
      <c r="K73" s="664"/>
    </row>
    <row r="74" spans="1:11" ht="84" customHeight="1">
      <c r="A74" s="579"/>
      <c r="B74" s="1086" t="s">
        <v>633</v>
      </c>
      <c r="C74" s="949"/>
      <c r="D74" s="949"/>
      <c r="E74" s="949"/>
      <c r="F74" s="949"/>
      <c r="G74" s="949"/>
      <c r="H74" s="949"/>
      <c r="I74" s="949"/>
      <c r="J74" s="950"/>
      <c r="K74" s="617"/>
    </row>
    <row r="75" spans="1:11" ht="7.5" customHeight="1">
      <c r="A75" s="579"/>
      <c r="B75" s="1104"/>
      <c r="C75" s="949"/>
      <c r="D75" s="949"/>
      <c r="E75" s="949"/>
      <c r="F75" s="949"/>
      <c r="G75" s="949"/>
      <c r="H75" s="949"/>
      <c r="I75" s="949"/>
      <c r="J75" s="950"/>
      <c r="K75" s="617"/>
    </row>
    <row r="76" spans="1:11" ht="32.25" customHeight="1">
      <c r="A76" s="579"/>
      <c r="B76" s="1105" t="s">
        <v>634</v>
      </c>
      <c r="C76" s="949"/>
      <c r="D76" s="949"/>
      <c r="E76" s="949"/>
      <c r="F76" s="949"/>
      <c r="G76" s="949"/>
      <c r="H76" s="949"/>
      <c r="I76" s="949"/>
      <c r="J76" s="950"/>
      <c r="K76" s="665"/>
    </row>
    <row r="77" spans="1:11" ht="27" customHeight="1">
      <c r="A77" s="579"/>
      <c r="B77" s="666" t="s">
        <v>453</v>
      </c>
      <c r="C77" s="1110" t="s">
        <v>454</v>
      </c>
      <c r="D77" s="949"/>
      <c r="E77" s="949"/>
      <c r="F77" s="949"/>
      <c r="G77" s="949"/>
      <c r="H77" s="950"/>
      <c r="I77" s="667" t="s">
        <v>411</v>
      </c>
      <c r="J77" s="668" t="s">
        <v>455</v>
      </c>
      <c r="K77" s="657"/>
    </row>
    <row r="78" spans="1:11" ht="18.75" customHeight="1">
      <c r="A78" s="579"/>
      <c r="B78" s="669" t="s">
        <v>369</v>
      </c>
      <c r="C78" s="1051" t="s">
        <v>456</v>
      </c>
      <c r="D78" s="949"/>
      <c r="E78" s="949"/>
      <c r="F78" s="949"/>
      <c r="G78" s="949"/>
      <c r="H78" s="950"/>
      <c r="I78" s="670">
        <v>0.2</v>
      </c>
      <c r="J78" s="671">
        <f>ROUND((J58+J72)*I78,2)</f>
        <v>507.44</v>
      </c>
      <c r="K78" s="663"/>
    </row>
    <row r="79" spans="1:11" ht="18.75" customHeight="1">
      <c r="A79" s="579"/>
      <c r="B79" s="669" t="s">
        <v>371</v>
      </c>
      <c r="C79" s="1051" t="s">
        <v>457</v>
      </c>
      <c r="D79" s="949"/>
      <c r="E79" s="949"/>
      <c r="F79" s="949"/>
      <c r="G79" s="949"/>
      <c r="H79" s="950"/>
      <c r="I79" s="670">
        <v>2.5000000000000001E-2</v>
      </c>
      <c r="J79" s="671">
        <f>ROUND((J58+J72)*I79,2)</f>
        <v>63.43</v>
      </c>
      <c r="K79" s="663"/>
    </row>
    <row r="80" spans="1:11" ht="55.5" customHeight="1">
      <c r="A80" s="579"/>
      <c r="B80" s="669" t="s">
        <v>373</v>
      </c>
      <c r="C80" s="1051" t="s">
        <v>635</v>
      </c>
      <c r="D80" s="950"/>
      <c r="E80" s="602" t="s">
        <v>459</v>
      </c>
      <c r="F80" s="672">
        <f>'1-ABA-DE-CARREGAMENTO'!D57</f>
        <v>0.03</v>
      </c>
      <c r="G80" s="602" t="s">
        <v>460</v>
      </c>
      <c r="H80" s="673">
        <f>'1-ABA-DE-CARREGAMENTO'!D58</f>
        <v>1</v>
      </c>
      <c r="I80" s="674">
        <f>ROUND((F80*H80),6)</f>
        <v>0.03</v>
      </c>
      <c r="J80" s="671">
        <f>ROUND((J58+J72)*I80,2)</f>
        <v>76.12</v>
      </c>
      <c r="K80" s="663"/>
    </row>
    <row r="81" spans="1:11" ht="15.75" customHeight="1">
      <c r="A81" s="579"/>
      <c r="B81" s="669" t="s">
        <v>375</v>
      </c>
      <c r="C81" s="1051" t="s">
        <v>461</v>
      </c>
      <c r="D81" s="949"/>
      <c r="E81" s="949"/>
      <c r="F81" s="949"/>
      <c r="G81" s="949"/>
      <c r="H81" s="950"/>
      <c r="I81" s="670">
        <v>1.4999999999999999E-2</v>
      </c>
      <c r="J81" s="671">
        <f>ROUND((J58+J72)*I81,2)</f>
        <v>38.06</v>
      </c>
      <c r="K81" s="663"/>
    </row>
    <row r="82" spans="1:11" ht="15.75" customHeight="1">
      <c r="A82" s="579"/>
      <c r="B82" s="669" t="s">
        <v>417</v>
      </c>
      <c r="C82" s="1051" t="s">
        <v>462</v>
      </c>
      <c r="D82" s="949"/>
      <c r="E82" s="949"/>
      <c r="F82" s="949"/>
      <c r="G82" s="949"/>
      <c r="H82" s="950"/>
      <c r="I82" s="670">
        <v>0.01</v>
      </c>
      <c r="J82" s="671">
        <f>ROUND((J58+J72)*I82,2)</f>
        <v>25.37</v>
      </c>
      <c r="K82" s="663"/>
    </row>
    <row r="83" spans="1:11" ht="15.75" customHeight="1">
      <c r="A83" s="579"/>
      <c r="B83" s="669" t="s">
        <v>421</v>
      </c>
      <c r="C83" s="1051" t="s">
        <v>463</v>
      </c>
      <c r="D83" s="949"/>
      <c r="E83" s="949"/>
      <c r="F83" s="949"/>
      <c r="G83" s="949"/>
      <c r="H83" s="950"/>
      <c r="I83" s="670">
        <v>6.0000000000000001E-3</v>
      </c>
      <c r="J83" s="671">
        <f>ROUND((J58+J72)*I83,2)</f>
        <v>15.22</v>
      </c>
      <c r="K83" s="663"/>
    </row>
    <row r="84" spans="1:11" ht="15.75" customHeight="1">
      <c r="A84" s="579"/>
      <c r="B84" s="669" t="s">
        <v>423</v>
      </c>
      <c r="C84" s="1051" t="s">
        <v>464</v>
      </c>
      <c r="D84" s="949"/>
      <c r="E84" s="949"/>
      <c r="F84" s="949"/>
      <c r="G84" s="949"/>
      <c r="H84" s="950"/>
      <c r="I84" s="670">
        <v>2E-3</v>
      </c>
      <c r="J84" s="671">
        <f>ROUND((J58+J72)*I84,2)</f>
        <v>5.07</v>
      </c>
      <c r="K84" s="663"/>
    </row>
    <row r="85" spans="1:11" ht="15.75" customHeight="1">
      <c r="A85" s="579"/>
      <c r="B85" s="669" t="s">
        <v>425</v>
      </c>
      <c r="C85" s="1051" t="s">
        <v>465</v>
      </c>
      <c r="D85" s="949"/>
      <c r="E85" s="949"/>
      <c r="F85" s="949"/>
      <c r="G85" s="949"/>
      <c r="H85" s="950"/>
      <c r="I85" s="670">
        <v>0.08</v>
      </c>
      <c r="J85" s="671">
        <f>ROUND((J58+J72)*I85,2)</f>
        <v>202.97</v>
      </c>
      <c r="K85" s="663"/>
    </row>
    <row r="86" spans="1:11" ht="15.75" customHeight="1">
      <c r="A86" s="579"/>
      <c r="B86" s="1108" t="s">
        <v>450</v>
      </c>
      <c r="C86" s="949"/>
      <c r="D86" s="949"/>
      <c r="E86" s="949"/>
      <c r="F86" s="949"/>
      <c r="G86" s="949"/>
      <c r="H86" s="950"/>
      <c r="I86" s="675">
        <f t="shared" ref="I86:J86" si="2">SUM(I78:I85)</f>
        <v>0.36800000000000005</v>
      </c>
      <c r="J86" s="662">
        <f t="shared" si="2"/>
        <v>933.68000000000006</v>
      </c>
      <c r="K86" s="663"/>
    </row>
    <row r="87" spans="1:11" ht="8.25" customHeight="1">
      <c r="A87" s="579"/>
      <c r="B87" s="676"/>
      <c r="C87" s="677"/>
      <c r="D87" s="677"/>
      <c r="E87" s="677"/>
      <c r="F87" s="677"/>
      <c r="G87" s="677"/>
      <c r="H87" s="677"/>
      <c r="I87" s="678"/>
      <c r="J87" s="679"/>
      <c r="K87" s="663"/>
    </row>
    <row r="88" spans="1:11" ht="35.25" customHeight="1">
      <c r="A88" s="579"/>
      <c r="B88" s="1086" t="s">
        <v>466</v>
      </c>
      <c r="C88" s="949"/>
      <c r="D88" s="949"/>
      <c r="E88" s="949"/>
      <c r="F88" s="949"/>
      <c r="G88" s="949"/>
      <c r="H88" s="949"/>
      <c r="I88" s="949"/>
      <c r="J88" s="950"/>
      <c r="K88" s="617"/>
    </row>
    <row r="89" spans="1:11" ht="9.75" customHeight="1">
      <c r="A89" s="579"/>
      <c r="B89" s="1047"/>
      <c r="C89" s="949"/>
      <c r="D89" s="949"/>
      <c r="E89" s="949"/>
      <c r="F89" s="949"/>
      <c r="G89" s="949"/>
      <c r="H89" s="949"/>
      <c r="I89" s="949"/>
      <c r="J89" s="950"/>
      <c r="K89" s="362"/>
    </row>
    <row r="90" spans="1:11" ht="20.25" customHeight="1">
      <c r="A90" s="579"/>
      <c r="B90" s="1114" t="s">
        <v>467</v>
      </c>
      <c r="C90" s="949"/>
      <c r="D90" s="949"/>
      <c r="E90" s="949"/>
      <c r="F90" s="949"/>
      <c r="G90" s="949"/>
      <c r="H90" s="949"/>
      <c r="I90" s="949"/>
      <c r="J90" s="950"/>
      <c r="K90" s="654"/>
    </row>
    <row r="91" spans="1:11" ht="27" customHeight="1">
      <c r="A91" s="579"/>
      <c r="B91" s="680" t="s">
        <v>468</v>
      </c>
      <c r="C91" s="1089" t="s">
        <v>469</v>
      </c>
      <c r="D91" s="949"/>
      <c r="E91" s="949"/>
      <c r="F91" s="949"/>
      <c r="G91" s="949"/>
      <c r="H91" s="949"/>
      <c r="I91" s="950"/>
      <c r="J91" s="681" t="s">
        <v>447</v>
      </c>
      <c r="K91" s="592"/>
    </row>
    <row r="92" spans="1:11" ht="23.25" customHeight="1">
      <c r="A92" s="579"/>
      <c r="B92" s="682" t="s">
        <v>369</v>
      </c>
      <c r="C92" s="1051" t="s">
        <v>636</v>
      </c>
      <c r="D92" s="949"/>
      <c r="E92" s="949"/>
      <c r="F92" s="949"/>
      <c r="G92" s="949"/>
      <c r="H92" s="950"/>
      <c r="I92" s="683">
        <f>J47</f>
        <v>2278.46</v>
      </c>
      <c r="J92" s="684">
        <f>IF(ROUND((I93*I95*I94)-(J47*I96),2)&lt;0,0,ROUND((I93*I95*I94)-(J47*I96),2))</f>
        <v>0</v>
      </c>
      <c r="K92" s="663"/>
    </row>
    <row r="93" spans="1:11" ht="27" customHeight="1">
      <c r="A93" s="579"/>
      <c r="B93" s="682" t="s">
        <v>371</v>
      </c>
      <c r="C93" s="1051" t="s">
        <v>637</v>
      </c>
      <c r="D93" s="949"/>
      <c r="E93" s="949"/>
      <c r="F93" s="949"/>
      <c r="G93" s="949"/>
      <c r="H93" s="949"/>
      <c r="I93" s="685">
        <f>'1-ABA-DE-CARREGAMENTO'!D72</f>
        <v>0</v>
      </c>
      <c r="J93" s="686" t="s">
        <v>382</v>
      </c>
      <c r="K93" s="644"/>
    </row>
    <row r="94" spans="1:11" ht="19.5" customHeight="1">
      <c r="A94" s="579"/>
      <c r="B94" s="682" t="s">
        <v>373</v>
      </c>
      <c r="C94" s="1051" t="s">
        <v>638</v>
      </c>
      <c r="D94" s="949"/>
      <c r="E94" s="949"/>
      <c r="F94" s="949"/>
      <c r="G94" s="949"/>
      <c r="H94" s="950"/>
      <c r="I94" s="687">
        <f>'1-ABA-DE-CARREGAMENTO'!D73</f>
        <v>2</v>
      </c>
      <c r="J94" s="686" t="s">
        <v>382</v>
      </c>
      <c r="K94" s="644"/>
    </row>
    <row r="95" spans="1:11" ht="19.5" customHeight="1">
      <c r="A95" s="579"/>
      <c r="B95" s="682" t="s">
        <v>375</v>
      </c>
      <c r="C95" s="1062" t="s">
        <v>473</v>
      </c>
      <c r="D95" s="949"/>
      <c r="E95" s="949"/>
      <c r="F95" s="949"/>
      <c r="G95" s="949"/>
      <c r="H95" s="950"/>
      <c r="I95" s="687">
        <f>'1-ABA-DE-CARREGAMENTO'!D74</f>
        <v>0</v>
      </c>
      <c r="J95" s="686" t="s">
        <v>382</v>
      </c>
      <c r="K95" s="644"/>
    </row>
    <row r="96" spans="1:11" ht="24.75" customHeight="1">
      <c r="A96" s="579"/>
      <c r="B96" s="682" t="s">
        <v>417</v>
      </c>
      <c r="C96" s="1062" t="s">
        <v>639</v>
      </c>
      <c r="D96" s="949"/>
      <c r="E96" s="949"/>
      <c r="F96" s="949"/>
      <c r="G96" s="949"/>
      <c r="H96" s="950"/>
      <c r="I96" s="688">
        <f>'1-ABA-DE-CARREGAMENTO'!D75</f>
        <v>0</v>
      </c>
      <c r="J96" s="689" t="s">
        <v>382</v>
      </c>
      <c r="K96" s="644"/>
    </row>
    <row r="97" spans="1:11" ht="14.25" customHeight="1">
      <c r="A97" s="579"/>
      <c r="B97" s="682" t="s">
        <v>421</v>
      </c>
      <c r="C97" s="1051" t="s">
        <v>640</v>
      </c>
      <c r="D97" s="949"/>
      <c r="E97" s="949"/>
      <c r="F97" s="949"/>
      <c r="G97" s="949"/>
      <c r="H97" s="949"/>
      <c r="I97" s="950"/>
      <c r="J97" s="684">
        <f>ROUND(I98*I99,2)-ROUND((I98*I99)*I100,2)</f>
        <v>0</v>
      </c>
      <c r="K97" s="663"/>
    </row>
    <row r="98" spans="1:11" ht="15.75" customHeight="1">
      <c r="A98" s="579"/>
      <c r="B98" s="682" t="s">
        <v>423</v>
      </c>
      <c r="C98" s="1051" t="s">
        <v>641</v>
      </c>
      <c r="D98" s="949"/>
      <c r="E98" s="949"/>
      <c r="F98" s="949"/>
      <c r="G98" s="949"/>
      <c r="H98" s="950"/>
      <c r="I98" s="685">
        <f>IF('1-ABA-DE-CARREGAMENTO'!D60&gt;0,'1-ABA-DE-CARREGAMENTO'!D60,'1-ABA-DE-CARREGAMENTO'!D64)</f>
        <v>0</v>
      </c>
      <c r="J98" s="691"/>
      <c r="K98" s="644"/>
    </row>
    <row r="99" spans="1:11" ht="27.75" customHeight="1">
      <c r="A99" s="579"/>
      <c r="B99" s="682" t="s">
        <v>425</v>
      </c>
      <c r="C99" s="1051" t="s">
        <v>642</v>
      </c>
      <c r="D99" s="949"/>
      <c r="E99" s="949"/>
      <c r="F99" s="949"/>
      <c r="G99" s="949"/>
      <c r="H99" s="950"/>
      <c r="I99" s="687">
        <f>'1-ABA-DE-CARREGAMENTO'!D62</f>
        <v>0</v>
      </c>
      <c r="J99" s="691"/>
      <c r="K99" s="644"/>
    </row>
    <row r="100" spans="1:11" ht="24" customHeight="1">
      <c r="A100" s="579"/>
      <c r="B100" s="682" t="s">
        <v>429</v>
      </c>
      <c r="C100" s="1107" t="s">
        <v>643</v>
      </c>
      <c r="D100" s="949"/>
      <c r="E100" s="949"/>
      <c r="F100" s="949"/>
      <c r="G100" s="949"/>
      <c r="H100" s="950"/>
      <c r="I100" s="688">
        <f>'1-ABA-DE-CARREGAMENTO'!D61</f>
        <v>0</v>
      </c>
      <c r="J100" s="693"/>
      <c r="K100" s="644"/>
    </row>
    <row r="101" spans="1:11" ht="15.75" hidden="1" customHeight="1" outlineLevel="1">
      <c r="A101" s="579"/>
      <c r="B101" s="682" t="s">
        <v>433</v>
      </c>
      <c r="C101" s="1051" t="s">
        <v>479</v>
      </c>
      <c r="D101" s="949"/>
      <c r="E101" s="949"/>
      <c r="F101" s="949"/>
      <c r="G101" s="949"/>
      <c r="H101" s="949"/>
      <c r="I101" s="949"/>
      <c r="J101" s="671">
        <f>'1-ABA-DE-CARREGAMENTO'!D79/12</f>
        <v>0</v>
      </c>
      <c r="K101" s="663"/>
    </row>
    <row r="102" spans="1:11" ht="40.5" hidden="1" customHeight="1" outlineLevel="1">
      <c r="A102" s="579"/>
      <c r="B102" s="682" t="s">
        <v>436</v>
      </c>
      <c r="C102" s="1051" t="s">
        <v>644</v>
      </c>
      <c r="D102" s="949"/>
      <c r="E102" s="949"/>
      <c r="F102" s="949"/>
      <c r="G102" s="949"/>
      <c r="H102" s="949"/>
      <c r="I102" s="949"/>
      <c r="J102" s="671">
        <f>'1-ABA-DE-CARREGAMENTO'!D77</f>
        <v>0</v>
      </c>
      <c r="K102" s="663"/>
    </row>
    <row r="103" spans="1:11" ht="40.5" hidden="1" customHeight="1" outlineLevel="1">
      <c r="A103" s="579"/>
      <c r="B103" s="682" t="s">
        <v>481</v>
      </c>
      <c r="C103" s="1051" t="s">
        <v>645</v>
      </c>
      <c r="D103" s="949"/>
      <c r="E103" s="949"/>
      <c r="F103" s="949"/>
      <c r="G103" s="949"/>
      <c r="H103" s="949"/>
      <c r="I103" s="950"/>
      <c r="J103" s="671">
        <f>'1-ABA-DE-CARREGAMENTO'!D78</f>
        <v>0</v>
      </c>
      <c r="K103" s="663"/>
    </row>
    <row r="104" spans="1:11" ht="21" hidden="1" customHeight="1" outlineLevel="1">
      <c r="A104" s="579"/>
      <c r="B104" s="682" t="s">
        <v>483</v>
      </c>
      <c r="C104" s="1051" t="s">
        <v>484</v>
      </c>
      <c r="D104" s="949"/>
      <c r="E104" s="949"/>
      <c r="F104" s="949"/>
      <c r="G104" s="949"/>
      <c r="H104" s="949"/>
      <c r="I104" s="950"/>
      <c r="J104" s="671">
        <f>'1-ABA-DE-CARREGAMENTO'!D76</f>
        <v>0</v>
      </c>
      <c r="K104" s="663"/>
    </row>
    <row r="105" spans="1:11" ht="21.75" hidden="1" customHeight="1" outlineLevel="1">
      <c r="A105" s="579"/>
      <c r="B105" s="695" t="s">
        <v>129</v>
      </c>
      <c r="C105" s="696" t="s">
        <v>485</v>
      </c>
      <c r="D105" s="697"/>
      <c r="E105" s="698"/>
      <c r="F105" s="699"/>
      <c r="G105" s="700"/>
      <c r="H105" s="701"/>
      <c r="I105" s="702"/>
      <c r="J105" s="703"/>
      <c r="K105" s="704"/>
    </row>
    <row r="106" spans="1:11" ht="18" customHeight="1" collapsed="1">
      <c r="A106" s="579"/>
      <c r="B106" s="705"/>
      <c r="C106" s="1108" t="s">
        <v>450</v>
      </c>
      <c r="D106" s="949"/>
      <c r="E106" s="949"/>
      <c r="F106" s="949"/>
      <c r="G106" s="949"/>
      <c r="H106" s="949"/>
      <c r="I106" s="949"/>
      <c r="J106" s="662">
        <f>SUM(J92:J105)</f>
        <v>0</v>
      </c>
      <c r="K106" s="663"/>
    </row>
    <row r="107" spans="1:11" ht="9" customHeight="1">
      <c r="A107" s="579"/>
      <c r="B107" s="1047"/>
      <c r="C107" s="949"/>
      <c r="D107" s="949"/>
      <c r="E107" s="949"/>
      <c r="F107" s="949"/>
      <c r="G107" s="949"/>
      <c r="H107" s="949"/>
      <c r="I107" s="949"/>
      <c r="J107" s="950"/>
      <c r="K107" s="362"/>
    </row>
    <row r="108" spans="1:11" ht="32.25" customHeight="1">
      <c r="A108" s="579"/>
      <c r="B108" s="1086" t="s">
        <v>486</v>
      </c>
      <c r="C108" s="949"/>
      <c r="D108" s="949"/>
      <c r="E108" s="949"/>
      <c r="F108" s="949"/>
      <c r="G108" s="949"/>
      <c r="H108" s="949"/>
      <c r="I108" s="949"/>
      <c r="J108" s="950"/>
      <c r="K108" s="617"/>
    </row>
    <row r="109" spans="1:11" ht="8.25" customHeight="1">
      <c r="A109" s="579"/>
      <c r="B109" s="1045"/>
      <c r="C109" s="949"/>
      <c r="D109" s="949"/>
      <c r="E109" s="949"/>
      <c r="F109" s="949"/>
      <c r="G109" s="949"/>
      <c r="H109" s="949"/>
      <c r="I109" s="949"/>
      <c r="J109" s="950"/>
      <c r="K109" s="593"/>
    </row>
    <row r="110" spans="1:11" ht="17.25" customHeight="1">
      <c r="A110" s="579"/>
      <c r="B110" s="1109" t="s">
        <v>487</v>
      </c>
      <c r="C110" s="949"/>
      <c r="D110" s="949"/>
      <c r="E110" s="949"/>
      <c r="F110" s="949"/>
      <c r="G110" s="949"/>
      <c r="H110" s="949"/>
      <c r="I110" s="949"/>
      <c r="J110" s="950"/>
      <c r="K110" s="706"/>
    </row>
    <row r="111" spans="1:11" ht="15.75" customHeight="1">
      <c r="A111" s="579"/>
      <c r="B111" s="668">
        <v>2</v>
      </c>
      <c r="C111" s="1110" t="s">
        <v>488</v>
      </c>
      <c r="D111" s="949"/>
      <c r="E111" s="949"/>
      <c r="F111" s="949"/>
      <c r="G111" s="949"/>
      <c r="H111" s="949"/>
      <c r="I111" s="950"/>
      <c r="J111" s="668" t="s">
        <v>447</v>
      </c>
      <c r="K111" s="657"/>
    </row>
    <row r="112" spans="1:11" ht="14.25" customHeight="1">
      <c r="A112" s="579"/>
      <c r="B112" s="600" t="s">
        <v>445</v>
      </c>
      <c r="C112" s="1092" t="s">
        <v>646</v>
      </c>
      <c r="D112" s="949"/>
      <c r="E112" s="949"/>
      <c r="F112" s="949"/>
      <c r="G112" s="949"/>
      <c r="H112" s="949"/>
      <c r="I112" s="950"/>
      <c r="J112" s="707">
        <f>J72</f>
        <v>258.72000000000003</v>
      </c>
      <c r="K112" s="708"/>
    </row>
    <row r="113" spans="1:12" ht="14.25" customHeight="1">
      <c r="A113" s="579"/>
      <c r="B113" s="600" t="s">
        <v>453</v>
      </c>
      <c r="C113" s="1092" t="s">
        <v>454</v>
      </c>
      <c r="D113" s="949"/>
      <c r="E113" s="949"/>
      <c r="F113" s="949"/>
      <c r="G113" s="949"/>
      <c r="H113" s="949"/>
      <c r="I113" s="950"/>
      <c r="J113" s="707">
        <f>J86</f>
        <v>933.68000000000006</v>
      </c>
      <c r="K113" s="708"/>
    </row>
    <row r="114" spans="1:12" ht="14.25" customHeight="1">
      <c r="A114" s="579"/>
      <c r="B114" s="600" t="s">
        <v>468</v>
      </c>
      <c r="C114" s="1092" t="s">
        <v>469</v>
      </c>
      <c r="D114" s="949"/>
      <c r="E114" s="949"/>
      <c r="F114" s="949"/>
      <c r="G114" s="949"/>
      <c r="H114" s="949"/>
      <c r="I114" s="950"/>
      <c r="J114" s="707">
        <f>J106</f>
        <v>0</v>
      </c>
      <c r="K114" s="708"/>
    </row>
    <row r="115" spans="1:12" ht="14.25" customHeight="1">
      <c r="A115" s="579"/>
      <c r="B115" s="1115" t="s">
        <v>450</v>
      </c>
      <c r="C115" s="949"/>
      <c r="D115" s="949"/>
      <c r="E115" s="949"/>
      <c r="F115" s="949"/>
      <c r="G115" s="949"/>
      <c r="H115" s="949"/>
      <c r="I115" s="950"/>
      <c r="J115" s="709">
        <f>SUM(J112+J113+J114)</f>
        <v>1192.4000000000001</v>
      </c>
      <c r="K115" s="708"/>
    </row>
    <row r="116" spans="1:12" ht="8.25" customHeight="1">
      <c r="A116" s="579"/>
      <c r="B116" s="1116"/>
      <c r="C116" s="949"/>
      <c r="D116" s="949"/>
      <c r="E116" s="949"/>
      <c r="F116" s="949"/>
      <c r="G116" s="949"/>
      <c r="H116" s="949"/>
      <c r="I116" s="949"/>
      <c r="J116" s="950"/>
      <c r="K116" s="710"/>
    </row>
    <row r="117" spans="1:12" ht="20.25" customHeight="1">
      <c r="A117" s="579"/>
      <c r="B117" s="1117" t="s">
        <v>490</v>
      </c>
      <c r="C117" s="949"/>
      <c r="D117" s="949"/>
      <c r="E117" s="949"/>
      <c r="F117" s="949"/>
      <c r="G117" s="949"/>
      <c r="H117" s="949"/>
      <c r="I117" s="949"/>
      <c r="J117" s="950"/>
      <c r="K117" s="711"/>
    </row>
    <row r="118" spans="1:12" ht="15" customHeight="1">
      <c r="A118" s="579"/>
      <c r="B118" s="680">
        <v>3</v>
      </c>
      <c r="C118" s="1118" t="s">
        <v>491</v>
      </c>
      <c r="D118" s="949"/>
      <c r="E118" s="949"/>
      <c r="F118" s="949"/>
      <c r="G118" s="949"/>
      <c r="H118" s="949"/>
      <c r="I118" s="950"/>
      <c r="J118" s="680" t="s">
        <v>447</v>
      </c>
      <c r="K118" s="712"/>
    </row>
    <row r="119" spans="1:12" ht="44.25" customHeight="1">
      <c r="A119" s="579"/>
      <c r="B119" s="682" t="s">
        <v>369</v>
      </c>
      <c r="C119" s="1051" t="s">
        <v>647</v>
      </c>
      <c r="D119" s="949"/>
      <c r="E119" s="949"/>
      <c r="F119" s="949"/>
      <c r="G119" s="949"/>
      <c r="H119" s="949"/>
      <c r="I119" s="950"/>
      <c r="J119" s="671">
        <f>ROUND((($J$58/12)+($J$70/12)+(J58/12/12)+($J$71/12))*(30/30)*0.05,2)</f>
        <v>11.36</v>
      </c>
      <c r="K119" s="663"/>
    </row>
    <row r="120" spans="1:12" ht="14.25" customHeight="1">
      <c r="A120" s="579"/>
      <c r="B120" s="682" t="s">
        <v>371</v>
      </c>
      <c r="C120" s="1111" t="s">
        <v>493</v>
      </c>
      <c r="D120" s="949"/>
      <c r="E120" s="949"/>
      <c r="F120" s="949"/>
      <c r="G120" s="949"/>
      <c r="H120" s="949"/>
      <c r="I120" s="950"/>
      <c r="J120" s="671">
        <f>ROUND($I$85*J119,2)</f>
        <v>0.91</v>
      </c>
      <c r="K120" s="663"/>
    </row>
    <row r="121" spans="1:12" ht="62.25" customHeight="1">
      <c r="A121" s="579"/>
      <c r="B121" s="682" t="s">
        <v>373</v>
      </c>
      <c r="C121" s="1106" t="s">
        <v>648</v>
      </c>
      <c r="D121" s="949"/>
      <c r="E121" s="949"/>
      <c r="F121" s="949"/>
      <c r="G121" s="949"/>
      <c r="H121" s="949"/>
      <c r="I121" s="713" t="str">
        <f>IF(J121&lt;J58*1.94%,"OK","VERIFIQUE")</f>
        <v>OK</v>
      </c>
      <c r="J121" s="671">
        <f>ROUND(((7/30)/$I$11)*$J$58*1,2)</f>
        <v>17.72</v>
      </c>
      <c r="K121" s="663"/>
      <c r="L121" s="872"/>
    </row>
    <row r="122" spans="1:12" ht="23.25" customHeight="1">
      <c r="A122" s="579"/>
      <c r="B122" s="682" t="s">
        <v>375</v>
      </c>
      <c r="C122" s="1111" t="s">
        <v>495</v>
      </c>
      <c r="D122" s="949"/>
      <c r="E122" s="949"/>
      <c r="F122" s="949"/>
      <c r="G122" s="949"/>
      <c r="H122" s="949"/>
      <c r="I122" s="950"/>
      <c r="J122" s="671">
        <f>ROUND($I$86*J121,2)</f>
        <v>6.52</v>
      </c>
      <c r="K122" s="663"/>
    </row>
    <row r="123" spans="1:12" ht="37.5" customHeight="1">
      <c r="A123" s="579"/>
      <c r="B123" s="682" t="s">
        <v>417</v>
      </c>
      <c r="C123" s="1051" t="s">
        <v>649</v>
      </c>
      <c r="D123" s="949"/>
      <c r="E123" s="949"/>
      <c r="F123" s="949"/>
      <c r="G123" s="949"/>
      <c r="H123" s="950"/>
      <c r="I123" s="714">
        <v>0.04</v>
      </c>
      <c r="J123" s="671">
        <f>ROUND(J58*I123,2)</f>
        <v>91.14</v>
      </c>
      <c r="K123" s="663"/>
    </row>
    <row r="124" spans="1:12" ht="15.75" customHeight="1">
      <c r="A124" s="579"/>
      <c r="B124" s="1108" t="s">
        <v>497</v>
      </c>
      <c r="C124" s="949"/>
      <c r="D124" s="949"/>
      <c r="E124" s="949"/>
      <c r="F124" s="949"/>
      <c r="G124" s="949"/>
      <c r="H124" s="949"/>
      <c r="I124" s="950"/>
      <c r="J124" s="662">
        <f>SUM(J119:J123)</f>
        <v>127.65</v>
      </c>
      <c r="K124" s="663"/>
    </row>
    <row r="125" spans="1:12" ht="9" customHeight="1">
      <c r="A125" s="579"/>
      <c r="B125" s="1112"/>
      <c r="C125" s="949"/>
      <c r="D125" s="949"/>
      <c r="E125" s="949"/>
      <c r="F125" s="949"/>
      <c r="G125" s="949"/>
      <c r="H125" s="949"/>
      <c r="I125" s="949"/>
      <c r="J125" s="950"/>
      <c r="K125" s="715"/>
    </row>
    <row r="126" spans="1:12" ht="24" customHeight="1">
      <c r="A126" s="579"/>
      <c r="B126" s="1113" t="s">
        <v>498</v>
      </c>
      <c r="C126" s="949"/>
      <c r="D126" s="949"/>
      <c r="E126" s="949"/>
      <c r="F126" s="949"/>
      <c r="G126" s="949"/>
      <c r="H126" s="949"/>
      <c r="I126" s="949"/>
      <c r="J126" s="950"/>
      <c r="K126" s="716"/>
    </row>
    <row r="127" spans="1:12" ht="26.25" customHeight="1">
      <c r="A127" s="579"/>
      <c r="B127" s="1086" t="s">
        <v>499</v>
      </c>
      <c r="C127" s="949"/>
      <c r="D127" s="949"/>
      <c r="E127" s="949"/>
      <c r="F127" s="949"/>
      <c r="G127" s="949"/>
      <c r="H127" s="949"/>
      <c r="I127" s="949"/>
      <c r="J127" s="950"/>
      <c r="K127" s="617"/>
    </row>
    <row r="128" spans="1:12" ht="55.5" customHeight="1">
      <c r="A128" s="579"/>
      <c r="B128" s="1105" t="s">
        <v>650</v>
      </c>
      <c r="C128" s="949"/>
      <c r="D128" s="949"/>
      <c r="E128" s="949"/>
      <c r="F128" s="949"/>
      <c r="G128" s="949"/>
      <c r="H128" s="949"/>
      <c r="I128" s="949"/>
      <c r="J128" s="950"/>
      <c r="K128" s="665"/>
    </row>
    <row r="129" spans="1:11" ht="36.75" customHeight="1">
      <c r="A129" s="579"/>
      <c r="B129" s="717" t="s">
        <v>501</v>
      </c>
      <c r="C129" s="718">
        <f>J58</f>
        <v>2278.46</v>
      </c>
      <c r="D129" s="719" t="s">
        <v>502</v>
      </c>
      <c r="E129" s="717" t="s">
        <v>651</v>
      </c>
      <c r="F129" s="718">
        <f>J115-J92-J97</f>
        <v>1192.4000000000001</v>
      </c>
      <c r="G129" s="719" t="s">
        <v>502</v>
      </c>
      <c r="H129" s="717" t="s">
        <v>504</v>
      </c>
      <c r="I129" s="718">
        <f>J124</f>
        <v>127.65</v>
      </c>
      <c r="J129" s="720">
        <f>C129+F129+I129</f>
        <v>3598.51</v>
      </c>
      <c r="K129" s="721"/>
    </row>
    <row r="130" spans="1:11" ht="7.5" customHeight="1">
      <c r="A130" s="579"/>
      <c r="B130" s="1120"/>
      <c r="C130" s="949"/>
      <c r="D130" s="949"/>
      <c r="E130" s="949"/>
      <c r="F130" s="949"/>
      <c r="G130" s="949"/>
      <c r="H130" s="949"/>
      <c r="I130" s="949"/>
      <c r="J130" s="950"/>
      <c r="K130" s="722"/>
    </row>
    <row r="131" spans="1:11" ht="25.5" customHeight="1">
      <c r="A131" s="579"/>
      <c r="B131" s="1121" t="s">
        <v>505</v>
      </c>
      <c r="C131" s="949"/>
      <c r="D131" s="949"/>
      <c r="E131" s="949"/>
      <c r="F131" s="949"/>
      <c r="G131" s="949"/>
      <c r="H131" s="949"/>
      <c r="I131" s="949"/>
      <c r="J131" s="950"/>
      <c r="K131" s="723"/>
    </row>
    <row r="132" spans="1:11" ht="24" customHeight="1">
      <c r="A132" s="579"/>
      <c r="B132" s="724" t="s">
        <v>506</v>
      </c>
      <c r="C132" s="1118" t="s">
        <v>507</v>
      </c>
      <c r="D132" s="949"/>
      <c r="E132" s="949"/>
      <c r="F132" s="949"/>
      <c r="G132" s="949"/>
      <c r="H132" s="949"/>
      <c r="I132" s="950"/>
      <c r="J132" s="724" t="s">
        <v>447</v>
      </c>
      <c r="K132" s="726"/>
    </row>
    <row r="133" spans="1:11" ht="36.75" customHeight="1">
      <c r="A133" s="579"/>
      <c r="B133" s="682" t="s">
        <v>369</v>
      </c>
      <c r="C133" s="1092" t="s">
        <v>652</v>
      </c>
      <c r="D133" s="949"/>
      <c r="E133" s="949"/>
      <c r="F133" s="949"/>
      <c r="G133" s="949"/>
      <c r="H133" s="727">
        <v>9.0749999999999997E-2</v>
      </c>
      <c r="I133" s="873">
        <f>I86</f>
        <v>0.36800000000000005</v>
      </c>
      <c r="J133" s="729">
        <f>IF('1-ABA-DE-CARREGAMENTO'!C81="S",(ROUND(H133*J58,2)*(1+I133)),IF('1-ABA-DE-CARREGAMENTO'!C81="N",0,"INFORME S ou N"))</f>
        <v>0</v>
      </c>
      <c r="K133" s="663"/>
    </row>
    <row r="134" spans="1:11" ht="21" customHeight="1">
      <c r="A134" s="579"/>
      <c r="B134" s="682" t="s">
        <v>371</v>
      </c>
      <c r="C134" s="1051" t="s">
        <v>653</v>
      </c>
      <c r="D134" s="949"/>
      <c r="E134" s="949"/>
      <c r="F134" s="949"/>
      <c r="G134" s="949"/>
      <c r="H134" s="949"/>
      <c r="I134" s="950"/>
      <c r="J134" s="671">
        <f>ROUND((1/30)/12*(J129),2)</f>
        <v>10</v>
      </c>
      <c r="K134" s="663"/>
    </row>
    <row r="135" spans="1:11" ht="30.75" customHeight="1">
      <c r="A135" s="579"/>
      <c r="B135" s="682" t="s">
        <v>373</v>
      </c>
      <c r="C135" s="1051" t="s">
        <v>654</v>
      </c>
      <c r="D135" s="949"/>
      <c r="E135" s="949"/>
      <c r="F135" s="949"/>
      <c r="G135" s="949"/>
      <c r="H135" s="949"/>
      <c r="I135" s="950"/>
      <c r="J135" s="671">
        <f>ROUND((5/30)/12*0.015*(J129),2)</f>
        <v>0.75</v>
      </c>
      <c r="K135" s="663"/>
    </row>
    <row r="136" spans="1:11" ht="24" customHeight="1">
      <c r="A136" s="579"/>
      <c r="B136" s="682" t="s">
        <v>375</v>
      </c>
      <c r="C136" s="1051" t="s">
        <v>655</v>
      </c>
      <c r="D136" s="949"/>
      <c r="E136" s="949"/>
      <c r="F136" s="949"/>
      <c r="G136" s="949"/>
      <c r="H136" s="949"/>
      <c r="I136" s="950"/>
      <c r="J136" s="671">
        <f>ROUND(((15/30)/12)*0.0078*(J129),2)</f>
        <v>1.17</v>
      </c>
      <c r="K136" s="663"/>
    </row>
    <row r="137" spans="1:11" ht="35.25" customHeight="1">
      <c r="A137" s="579"/>
      <c r="B137" s="730" t="s">
        <v>417</v>
      </c>
      <c r="C137" s="1119" t="s">
        <v>656</v>
      </c>
      <c r="D137" s="949"/>
      <c r="E137" s="949"/>
      <c r="F137" s="949"/>
      <c r="G137" s="949"/>
      <c r="H137" s="949"/>
      <c r="I137" s="950"/>
      <c r="J137" s="731">
        <f>ROUND(((((C129+C129/3)+(I86)*(C129+C129/3))*(4/12))/12)*0.02,2) + ((J106 -J92-J97+ J124)*4/12)*0.02</f>
        <v>3.161</v>
      </c>
      <c r="K137" s="732"/>
    </row>
    <row r="138" spans="1:11" ht="63.75" customHeight="1">
      <c r="A138" s="579"/>
      <c r="B138" s="682" t="s">
        <v>421</v>
      </c>
      <c r="C138" s="1051" t="s">
        <v>657</v>
      </c>
      <c r="D138" s="949"/>
      <c r="E138" s="949"/>
      <c r="F138" s="949"/>
      <c r="G138" s="949"/>
      <c r="H138" s="949"/>
      <c r="I138" s="950"/>
      <c r="J138" s="671">
        <f>ROUND(((3/30)/12)*(J129),2)</f>
        <v>29.99</v>
      </c>
      <c r="K138" s="663"/>
    </row>
    <row r="139" spans="1:11" ht="15.75" customHeight="1">
      <c r="A139" s="579"/>
      <c r="B139" s="1108" t="s">
        <v>450</v>
      </c>
      <c r="C139" s="949"/>
      <c r="D139" s="949"/>
      <c r="E139" s="949"/>
      <c r="F139" s="949"/>
      <c r="G139" s="949"/>
      <c r="H139" s="949"/>
      <c r="I139" s="950"/>
      <c r="J139" s="662">
        <f>SUM(J133:J138)</f>
        <v>45.070999999999998</v>
      </c>
      <c r="K139" s="663"/>
    </row>
    <row r="140" spans="1:11" ht="9" customHeight="1">
      <c r="A140" s="579"/>
      <c r="B140" s="1112"/>
      <c r="C140" s="949"/>
      <c r="D140" s="949"/>
      <c r="E140" s="949"/>
      <c r="F140" s="949"/>
      <c r="G140" s="949"/>
      <c r="H140" s="949"/>
      <c r="I140" s="949"/>
      <c r="J140" s="950"/>
      <c r="K140" s="715"/>
    </row>
    <row r="141" spans="1:11" ht="15.75" customHeight="1">
      <c r="A141" s="579"/>
      <c r="B141" s="1114" t="s">
        <v>514</v>
      </c>
      <c r="C141" s="949"/>
      <c r="D141" s="949"/>
      <c r="E141" s="949"/>
      <c r="F141" s="949"/>
      <c r="G141" s="949"/>
      <c r="H141" s="949"/>
      <c r="I141" s="949"/>
      <c r="J141" s="950"/>
      <c r="K141" s="654"/>
    </row>
    <row r="142" spans="1:11" ht="15.75" customHeight="1">
      <c r="A142" s="579"/>
      <c r="B142" s="733" t="s">
        <v>515</v>
      </c>
      <c r="C142" s="1122" t="s">
        <v>516</v>
      </c>
      <c r="D142" s="949"/>
      <c r="E142" s="949"/>
      <c r="F142" s="949"/>
      <c r="G142" s="949"/>
      <c r="H142" s="949"/>
      <c r="I142" s="950"/>
      <c r="J142" s="734" t="s">
        <v>447</v>
      </c>
      <c r="K142" s="735"/>
    </row>
    <row r="143" spans="1:11" ht="15.75" customHeight="1">
      <c r="A143" s="579"/>
      <c r="B143" s="736" t="s">
        <v>369</v>
      </c>
      <c r="C143" s="1125" t="s">
        <v>517</v>
      </c>
      <c r="D143" s="949"/>
      <c r="E143" s="949"/>
      <c r="F143" s="949"/>
      <c r="G143" s="949"/>
      <c r="H143" s="949"/>
      <c r="I143" s="950"/>
      <c r="J143" s="737">
        <v>0</v>
      </c>
      <c r="K143" s="738"/>
    </row>
    <row r="144" spans="1:11" ht="15.75" customHeight="1">
      <c r="A144" s="579"/>
      <c r="B144" s="1102" t="s">
        <v>450</v>
      </c>
      <c r="C144" s="949"/>
      <c r="D144" s="949"/>
      <c r="E144" s="949"/>
      <c r="F144" s="949"/>
      <c r="G144" s="949"/>
      <c r="H144" s="949"/>
      <c r="I144" s="950"/>
      <c r="J144" s="739">
        <v>0</v>
      </c>
      <c r="K144" s="738"/>
    </row>
    <row r="145" spans="1:11" ht="7.5" customHeight="1">
      <c r="A145" s="579"/>
      <c r="B145" s="1126"/>
      <c r="C145" s="949"/>
      <c r="D145" s="949"/>
      <c r="E145" s="949"/>
      <c r="F145" s="949"/>
      <c r="G145" s="949"/>
      <c r="H145" s="949"/>
      <c r="I145" s="949"/>
      <c r="J145" s="950"/>
      <c r="K145" s="740"/>
    </row>
    <row r="146" spans="1:11" ht="23.25" customHeight="1">
      <c r="A146" s="579"/>
      <c r="B146" s="1098" t="s">
        <v>518</v>
      </c>
      <c r="C146" s="949"/>
      <c r="D146" s="949"/>
      <c r="E146" s="949"/>
      <c r="F146" s="949"/>
      <c r="G146" s="949"/>
      <c r="H146" s="949"/>
      <c r="I146" s="949"/>
      <c r="J146" s="950"/>
      <c r="K146" s="653"/>
    </row>
    <row r="147" spans="1:11" ht="23.25" customHeight="1">
      <c r="A147" s="579"/>
      <c r="B147" s="668">
        <v>4</v>
      </c>
      <c r="C147" s="1122" t="s">
        <v>519</v>
      </c>
      <c r="D147" s="949"/>
      <c r="E147" s="949"/>
      <c r="F147" s="949"/>
      <c r="G147" s="949"/>
      <c r="H147" s="949"/>
      <c r="I147" s="950"/>
      <c r="J147" s="734" t="s">
        <v>447</v>
      </c>
      <c r="K147" s="735"/>
    </row>
    <row r="148" spans="1:11" ht="18.75" customHeight="1">
      <c r="A148" s="579"/>
      <c r="B148" s="600" t="s">
        <v>506</v>
      </c>
      <c r="C148" s="1125" t="s">
        <v>507</v>
      </c>
      <c r="D148" s="949"/>
      <c r="E148" s="949"/>
      <c r="F148" s="949"/>
      <c r="G148" s="949"/>
      <c r="H148" s="949"/>
      <c r="I148" s="950"/>
      <c r="J148" s="737">
        <f>J139</f>
        <v>45.070999999999998</v>
      </c>
      <c r="K148" s="738"/>
    </row>
    <row r="149" spans="1:11" ht="21.75" customHeight="1">
      <c r="A149" s="579"/>
      <c r="B149" s="600" t="s">
        <v>520</v>
      </c>
      <c r="C149" s="1125" t="s">
        <v>516</v>
      </c>
      <c r="D149" s="949"/>
      <c r="E149" s="949"/>
      <c r="F149" s="949"/>
      <c r="G149" s="949"/>
      <c r="H149" s="949"/>
      <c r="I149" s="950"/>
      <c r="J149" s="737">
        <f>J144</f>
        <v>0</v>
      </c>
      <c r="K149" s="738"/>
    </row>
    <row r="150" spans="1:11" ht="23.25" customHeight="1">
      <c r="A150" s="579"/>
      <c r="B150" s="1115" t="s">
        <v>450</v>
      </c>
      <c r="C150" s="949"/>
      <c r="D150" s="949"/>
      <c r="E150" s="949"/>
      <c r="F150" s="949"/>
      <c r="G150" s="949"/>
      <c r="H150" s="949"/>
      <c r="I150" s="950"/>
      <c r="J150" s="739">
        <f>SUM(J148+J149)</f>
        <v>45.070999999999998</v>
      </c>
      <c r="K150" s="738"/>
    </row>
    <row r="151" spans="1:11" ht="7.5" customHeight="1">
      <c r="A151" s="579"/>
      <c r="B151" s="1126"/>
      <c r="C151" s="949"/>
      <c r="D151" s="949"/>
      <c r="E151" s="949"/>
      <c r="F151" s="949"/>
      <c r="G151" s="949"/>
      <c r="H151" s="949"/>
      <c r="I151" s="949"/>
      <c r="J151" s="950"/>
      <c r="K151" s="740"/>
    </row>
    <row r="152" spans="1:11" ht="27.75" customHeight="1">
      <c r="A152" s="579"/>
      <c r="B152" s="1113" t="s">
        <v>521</v>
      </c>
      <c r="C152" s="949"/>
      <c r="D152" s="949"/>
      <c r="E152" s="949"/>
      <c r="F152" s="949"/>
      <c r="G152" s="949"/>
      <c r="H152" s="949"/>
      <c r="I152" s="949"/>
      <c r="J152" s="950"/>
      <c r="K152" s="716"/>
    </row>
    <row r="153" spans="1:11" ht="27" customHeight="1">
      <c r="A153" s="579"/>
      <c r="B153" s="680">
        <v>3</v>
      </c>
      <c r="C153" s="1089" t="s">
        <v>522</v>
      </c>
      <c r="D153" s="949"/>
      <c r="E153" s="949"/>
      <c r="F153" s="949"/>
      <c r="G153" s="949"/>
      <c r="H153" s="949"/>
      <c r="I153" s="950"/>
      <c r="J153" s="680" t="s">
        <v>447</v>
      </c>
      <c r="K153" s="712"/>
    </row>
    <row r="154" spans="1:11" ht="18.75" customHeight="1">
      <c r="A154" s="579"/>
      <c r="B154" s="682" t="s">
        <v>369</v>
      </c>
      <c r="C154" s="1051" t="s">
        <v>658</v>
      </c>
      <c r="D154" s="949"/>
      <c r="E154" s="949"/>
      <c r="F154" s="949"/>
      <c r="G154" s="949"/>
      <c r="H154" s="949"/>
      <c r="I154" s="950"/>
      <c r="J154" s="741">
        <f>'Uniformes - EPIs_TODOS'!C23</f>
        <v>0</v>
      </c>
      <c r="K154" s="663"/>
    </row>
    <row r="155" spans="1:11" ht="18.75" customHeight="1">
      <c r="A155" s="579"/>
      <c r="B155" s="682" t="s">
        <v>371</v>
      </c>
      <c r="C155" s="1051" t="s">
        <v>659</v>
      </c>
      <c r="D155" s="949"/>
      <c r="E155" s="949"/>
      <c r="F155" s="949"/>
      <c r="G155" s="949"/>
      <c r="H155" s="949"/>
      <c r="I155" s="950"/>
      <c r="J155" s="742">
        <v>0</v>
      </c>
      <c r="K155" s="704"/>
    </row>
    <row r="156" spans="1:11" ht="18.75" customHeight="1">
      <c r="A156" s="579"/>
      <c r="B156" s="682" t="s">
        <v>373</v>
      </c>
      <c r="C156" s="1051" t="s">
        <v>524</v>
      </c>
      <c r="D156" s="949"/>
      <c r="E156" s="949"/>
      <c r="F156" s="949"/>
      <c r="G156" s="949"/>
      <c r="H156" s="949"/>
      <c r="I156" s="950"/>
      <c r="J156" s="742" t="s">
        <v>525</v>
      </c>
      <c r="K156" s="704"/>
    </row>
    <row r="157" spans="1:11" ht="15.75" customHeight="1">
      <c r="A157" s="579"/>
      <c r="B157" s="1108" t="s">
        <v>526</v>
      </c>
      <c r="C157" s="949"/>
      <c r="D157" s="949"/>
      <c r="E157" s="949"/>
      <c r="F157" s="949"/>
      <c r="G157" s="949"/>
      <c r="H157" s="949"/>
      <c r="I157" s="950"/>
      <c r="J157" s="743">
        <f>ROUND(SUM(J154:J156),2)</f>
        <v>0</v>
      </c>
      <c r="K157" s="704"/>
    </row>
    <row r="158" spans="1:11" ht="7.5" customHeight="1">
      <c r="A158" s="579"/>
      <c r="B158" s="1153"/>
      <c r="C158" s="949"/>
      <c r="D158" s="949"/>
      <c r="E158" s="949"/>
      <c r="F158" s="949"/>
      <c r="G158" s="949"/>
      <c r="H158" s="949"/>
      <c r="I158" s="949"/>
      <c r="J158" s="950"/>
      <c r="K158" s="744"/>
    </row>
    <row r="159" spans="1:11" ht="15.75" customHeight="1">
      <c r="A159" s="579"/>
      <c r="B159" s="1154" t="s">
        <v>527</v>
      </c>
      <c r="C159" s="949"/>
      <c r="D159" s="949"/>
      <c r="E159" s="949"/>
      <c r="F159" s="949"/>
      <c r="G159" s="949"/>
      <c r="H159" s="949"/>
      <c r="I159" s="949"/>
      <c r="J159" s="950"/>
      <c r="K159" s="745"/>
    </row>
    <row r="160" spans="1:11" ht="6.75" customHeight="1">
      <c r="A160" s="579"/>
      <c r="B160" s="746"/>
      <c r="C160" s="747"/>
      <c r="D160" s="747"/>
      <c r="E160" s="747"/>
      <c r="F160" s="747"/>
      <c r="G160" s="747"/>
      <c r="H160" s="747"/>
      <c r="I160" s="747"/>
      <c r="J160" s="748"/>
      <c r="K160" s="314"/>
    </row>
    <row r="161" spans="1:11" ht="16.5" customHeight="1">
      <c r="A161" s="579"/>
      <c r="B161" s="1117" t="s">
        <v>528</v>
      </c>
      <c r="C161" s="949"/>
      <c r="D161" s="949"/>
      <c r="E161" s="949"/>
      <c r="F161" s="949"/>
      <c r="G161" s="949"/>
      <c r="H161" s="949"/>
      <c r="I161" s="949"/>
      <c r="J161" s="950"/>
      <c r="K161" s="711"/>
    </row>
    <row r="162" spans="1:11" ht="30" customHeight="1">
      <c r="A162" s="579"/>
      <c r="B162" s="680">
        <v>6</v>
      </c>
      <c r="C162" s="1118" t="s">
        <v>529</v>
      </c>
      <c r="D162" s="949"/>
      <c r="E162" s="949"/>
      <c r="F162" s="949"/>
      <c r="G162" s="949"/>
      <c r="H162" s="950"/>
      <c r="I162" s="749" t="s">
        <v>411</v>
      </c>
      <c r="J162" s="750" t="s">
        <v>455</v>
      </c>
      <c r="K162" s="751"/>
    </row>
    <row r="163" spans="1:11" ht="65.25" customHeight="1">
      <c r="A163" s="579"/>
      <c r="B163" s="1062" t="s">
        <v>530</v>
      </c>
      <c r="C163" s="949"/>
      <c r="D163" s="949"/>
      <c r="E163" s="949"/>
      <c r="F163" s="949"/>
      <c r="G163" s="949"/>
      <c r="H163" s="950"/>
      <c r="I163" s="341" t="s">
        <v>382</v>
      </c>
      <c r="J163" s="752">
        <f>SUM(J63+J115+J124+J150+J157)</f>
        <v>3643.5810000000001</v>
      </c>
      <c r="K163" s="753"/>
    </row>
    <row r="164" spans="1:11" ht="15" customHeight="1">
      <c r="A164" s="579"/>
      <c r="B164" s="682" t="s">
        <v>369</v>
      </c>
      <c r="C164" s="1155" t="s">
        <v>531</v>
      </c>
      <c r="D164" s="949"/>
      <c r="E164" s="949"/>
      <c r="F164" s="949"/>
      <c r="G164" s="949"/>
      <c r="H164" s="950"/>
      <c r="I164" s="670">
        <f>'1-ABA-DE-CARREGAMENTO'!D85</f>
        <v>0.06</v>
      </c>
      <c r="J164" s="671">
        <f>ROUND(I164*J163,2)</f>
        <v>218.61</v>
      </c>
      <c r="K164" s="663"/>
    </row>
    <row r="165" spans="1:11" ht="50.25" customHeight="1">
      <c r="A165" s="579"/>
      <c r="B165" s="1062" t="s">
        <v>532</v>
      </c>
      <c r="C165" s="949"/>
      <c r="D165" s="949"/>
      <c r="E165" s="949"/>
      <c r="F165" s="949"/>
      <c r="G165" s="949"/>
      <c r="H165" s="950"/>
      <c r="I165" s="754" t="s">
        <v>382</v>
      </c>
      <c r="J165" s="752">
        <f>SUM(J63+J115+J124+J150+J157+J164)</f>
        <v>3862.1910000000003</v>
      </c>
      <c r="K165" s="753"/>
    </row>
    <row r="166" spans="1:11" ht="15" customHeight="1">
      <c r="A166" s="579"/>
      <c r="B166" s="682" t="s">
        <v>371</v>
      </c>
      <c r="C166" s="1155" t="s">
        <v>312</v>
      </c>
      <c r="D166" s="949"/>
      <c r="E166" s="949"/>
      <c r="F166" s="949"/>
      <c r="G166" s="949"/>
      <c r="H166" s="950"/>
      <c r="I166" s="670">
        <f>'1-ABA-DE-CARREGAMENTO'!D86</f>
        <v>0.06</v>
      </c>
      <c r="J166" s="671">
        <f>ROUND(I166*J165,2)</f>
        <v>231.73</v>
      </c>
      <c r="K166" s="663"/>
    </row>
    <row r="167" spans="1:11" ht="48.75" customHeight="1">
      <c r="A167" s="579"/>
      <c r="B167" s="1062" t="s">
        <v>533</v>
      </c>
      <c r="C167" s="949"/>
      <c r="D167" s="949"/>
      <c r="E167" s="949"/>
      <c r="F167" s="949"/>
      <c r="G167" s="949"/>
      <c r="H167" s="950"/>
      <c r="I167" s="754" t="s">
        <v>382</v>
      </c>
      <c r="J167" s="752">
        <f>SUM(J163+J164+J166)</f>
        <v>4093.9210000000003</v>
      </c>
      <c r="K167" s="753"/>
    </row>
    <row r="168" spans="1:11" ht="16.5" customHeight="1">
      <c r="A168" s="579"/>
      <c r="B168" s="755" t="s">
        <v>373</v>
      </c>
      <c r="C168" s="1117" t="s">
        <v>534</v>
      </c>
      <c r="D168" s="949"/>
      <c r="E168" s="949"/>
      <c r="F168" s="949"/>
      <c r="G168" s="949"/>
      <c r="H168" s="950"/>
      <c r="I168" s="756" t="s">
        <v>382</v>
      </c>
      <c r="J168" s="643" t="s">
        <v>382</v>
      </c>
      <c r="K168" s="644"/>
    </row>
    <row r="169" spans="1:11" ht="14.25" customHeight="1">
      <c r="A169" s="579"/>
      <c r="B169" s="682"/>
      <c r="C169" s="1111" t="s">
        <v>535</v>
      </c>
      <c r="D169" s="949"/>
      <c r="E169" s="949"/>
      <c r="F169" s="949"/>
      <c r="G169" s="949"/>
      <c r="H169" s="950"/>
      <c r="I169" s="756" t="s">
        <v>382</v>
      </c>
      <c r="J169" s="643" t="s">
        <v>382</v>
      </c>
      <c r="K169" s="644"/>
    </row>
    <row r="170" spans="1:11" ht="22.5" customHeight="1">
      <c r="A170" s="579"/>
      <c r="B170" s="682"/>
      <c r="C170" s="1156" t="s">
        <v>660</v>
      </c>
      <c r="D170" s="949"/>
      <c r="E170" s="949"/>
      <c r="F170" s="949"/>
      <c r="G170" s="949"/>
      <c r="H170" s="950"/>
      <c r="I170" s="629">
        <f>'1-ABA-DE-CARREGAMENTO'!E28</f>
        <v>1.6500000000000001E-2</v>
      </c>
      <c r="J170" s="757">
        <f t="shared" ref="J170:J171" si="3">ROUND(($J$167/(1-$I$179))*I170,2)</f>
        <v>76.98</v>
      </c>
      <c r="K170" s="758"/>
    </row>
    <row r="171" spans="1:11" ht="22.5" customHeight="1">
      <c r="A171" s="579"/>
      <c r="B171" s="682"/>
      <c r="C171" s="1156" t="s">
        <v>661</v>
      </c>
      <c r="D171" s="949"/>
      <c r="E171" s="949"/>
      <c r="F171" s="949"/>
      <c r="G171" s="949"/>
      <c r="H171" s="950"/>
      <c r="I171" s="629">
        <f>'1-ABA-DE-CARREGAMENTO'!F28</f>
        <v>7.5999999999999998E-2</v>
      </c>
      <c r="J171" s="757">
        <f t="shared" si="3"/>
        <v>354.57</v>
      </c>
      <c r="K171" s="758"/>
    </row>
    <row r="172" spans="1:11" ht="29.25" customHeight="1">
      <c r="A172" s="579"/>
      <c r="B172" s="682"/>
      <c r="C172" s="1051" t="s">
        <v>662</v>
      </c>
      <c r="D172" s="949"/>
      <c r="E172" s="949"/>
      <c r="F172" s="949"/>
      <c r="G172" s="949"/>
      <c r="H172" s="950"/>
      <c r="I172" s="759" t="s">
        <v>382</v>
      </c>
      <c r="J172" s="643" t="s">
        <v>382</v>
      </c>
      <c r="K172" s="644"/>
    </row>
    <row r="173" spans="1:11" ht="29.25" customHeight="1">
      <c r="A173" s="579"/>
      <c r="B173" s="682"/>
      <c r="C173" s="1051" t="s">
        <v>663</v>
      </c>
      <c r="D173" s="949"/>
      <c r="E173" s="949"/>
      <c r="F173" s="949"/>
      <c r="G173" s="949"/>
      <c r="H173" s="950"/>
      <c r="I173" s="759" t="s">
        <v>382</v>
      </c>
      <c r="J173" s="643" t="s">
        <v>382</v>
      </c>
      <c r="K173" s="644"/>
    </row>
    <row r="174" spans="1:11" ht="18" customHeight="1">
      <c r="A174" s="579"/>
      <c r="B174" s="682"/>
      <c r="C174" s="1051" t="s">
        <v>540</v>
      </c>
      <c r="D174" s="949"/>
      <c r="E174" s="949"/>
      <c r="F174" s="949"/>
      <c r="G174" s="949"/>
      <c r="H174" s="949"/>
      <c r="I174" s="760" t="s">
        <v>382</v>
      </c>
      <c r="J174" s="761" t="s">
        <v>382</v>
      </c>
      <c r="K174" s="762"/>
    </row>
    <row r="175" spans="1:11" ht="18" customHeight="1">
      <c r="A175" s="579"/>
      <c r="B175" s="682"/>
      <c r="C175" s="1051" t="s">
        <v>541</v>
      </c>
      <c r="D175" s="949"/>
      <c r="E175" s="949"/>
      <c r="F175" s="949"/>
      <c r="G175" s="949"/>
      <c r="H175" s="949"/>
      <c r="I175" s="760" t="s">
        <v>382</v>
      </c>
      <c r="J175" s="761" t="s">
        <v>382</v>
      </c>
      <c r="K175" s="762"/>
    </row>
    <row r="176" spans="1:11" ht="15" customHeight="1">
      <c r="A176" s="579"/>
      <c r="B176" s="682"/>
      <c r="C176" s="1051" t="s">
        <v>664</v>
      </c>
      <c r="D176" s="949"/>
      <c r="E176" s="949"/>
      <c r="F176" s="949"/>
      <c r="G176" s="949"/>
      <c r="H176" s="950"/>
      <c r="I176" s="763">
        <f>'1-ABA-DE-CARREGAMENTO'!D87</f>
        <v>0.03</v>
      </c>
      <c r="J176" s="757">
        <f>ROUND(($J$167/(1-$I$179))*I176,2)</f>
        <v>139.96</v>
      </c>
      <c r="K176" s="758"/>
    </row>
    <row r="177" spans="1:11" ht="15.75" customHeight="1">
      <c r="A177" s="579"/>
      <c r="B177" s="1108" t="s">
        <v>497</v>
      </c>
      <c r="C177" s="949"/>
      <c r="D177" s="949"/>
      <c r="E177" s="949"/>
      <c r="F177" s="949"/>
      <c r="G177" s="949"/>
      <c r="H177" s="949"/>
      <c r="I177" s="950"/>
      <c r="J177" s="662">
        <f>SUM(J164+J166+J170+J171+J176)</f>
        <v>1021.8500000000001</v>
      </c>
      <c r="K177" s="663"/>
    </row>
    <row r="178" spans="1:11" ht="6.75" customHeight="1">
      <c r="A178" s="579"/>
      <c r="B178" s="1112"/>
      <c r="C178" s="949"/>
      <c r="D178" s="949"/>
      <c r="E178" s="949"/>
      <c r="F178" s="949"/>
      <c r="G178" s="949"/>
      <c r="H178" s="949"/>
      <c r="I178" s="949"/>
      <c r="J178" s="950"/>
      <c r="K178" s="715"/>
    </row>
    <row r="179" spans="1:11" ht="15.75" customHeight="1">
      <c r="A179" s="579"/>
      <c r="B179" s="1157" t="s">
        <v>543</v>
      </c>
      <c r="C179" s="949"/>
      <c r="D179" s="949"/>
      <c r="E179" s="949"/>
      <c r="F179" s="949"/>
      <c r="G179" s="949"/>
      <c r="H179" s="950"/>
      <c r="I179" s="764">
        <f t="shared" ref="I179:J179" si="4">SUM(I170:I176)</f>
        <v>0.1225</v>
      </c>
      <c r="J179" s="752">
        <f t="shared" si="4"/>
        <v>571.51</v>
      </c>
      <c r="K179" s="753"/>
    </row>
    <row r="180" spans="1:11" ht="12.75" customHeight="1">
      <c r="A180" s="579"/>
      <c r="B180" s="1158" t="s">
        <v>544</v>
      </c>
      <c r="C180" s="947"/>
      <c r="D180" s="1159" t="s">
        <v>545</v>
      </c>
      <c r="E180" s="947"/>
      <c r="F180" s="947"/>
      <c r="G180" s="947"/>
      <c r="H180" s="947"/>
      <c r="I180" s="947"/>
      <c r="J180" s="1020"/>
      <c r="K180" s="765"/>
    </row>
    <row r="181" spans="1:11" ht="12" customHeight="1">
      <c r="A181" s="579"/>
      <c r="B181" s="1151"/>
      <c r="C181" s="947"/>
      <c r="D181" s="1160" t="s">
        <v>546</v>
      </c>
      <c r="E181" s="947"/>
      <c r="F181" s="947"/>
      <c r="G181" s="947"/>
      <c r="H181" s="947"/>
      <c r="I181" s="947"/>
      <c r="J181" s="1020"/>
      <c r="K181" s="766"/>
    </row>
    <row r="182" spans="1:11" ht="13.5" customHeight="1">
      <c r="A182" s="579"/>
      <c r="B182" s="1134"/>
      <c r="C182" s="1037"/>
      <c r="D182" s="1161" t="s">
        <v>547</v>
      </c>
      <c r="E182" s="1037"/>
      <c r="F182" s="1037"/>
      <c r="G182" s="1037"/>
      <c r="H182" s="1037"/>
      <c r="I182" s="1037"/>
      <c r="J182" s="1038"/>
      <c r="K182" s="765"/>
    </row>
    <row r="183" spans="1:11" ht="6.75" customHeight="1">
      <c r="A183" s="579"/>
      <c r="B183" s="1162"/>
      <c r="C183" s="949"/>
      <c r="D183" s="949"/>
      <c r="E183" s="949"/>
      <c r="F183" s="949"/>
      <c r="G183" s="949"/>
      <c r="H183" s="949"/>
      <c r="I183" s="949"/>
      <c r="J183" s="950"/>
      <c r="K183" s="767"/>
    </row>
    <row r="184" spans="1:11" ht="24" customHeight="1">
      <c r="A184" s="579"/>
      <c r="B184" s="1046" t="s">
        <v>548</v>
      </c>
      <c r="C184" s="949"/>
      <c r="D184" s="949"/>
      <c r="E184" s="949"/>
      <c r="F184" s="949"/>
      <c r="G184" s="949"/>
      <c r="H184" s="949"/>
      <c r="I184" s="949"/>
      <c r="J184" s="950"/>
      <c r="K184" s="596"/>
    </row>
    <row r="185" spans="1:11" ht="8.25" customHeight="1">
      <c r="A185" s="579"/>
      <c r="B185" s="1112"/>
      <c r="C185" s="949"/>
      <c r="D185" s="949"/>
      <c r="E185" s="949"/>
      <c r="F185" s="949"/>
      <c r="G185" s="949"/>
      <c r="H185" s="949"/>
      <c r="I185" s="949"/>
      <c r="J185" s="950"/>
      <c r="K185" s="715"/>
    </row>
    <row r="186" spans="1:11" ht="27.75" customHeight="1">
      <c r="A186" s="579"/>
      <c r="B186" s="1113" t="s">
        <v>665</v>
      </c>
      <c r="C186" s="949"/>
      <c r="D186" s="949"/>
      <c r="E186" s="949"/>
      <c r="F186" s="949"/>
      <c r="G186" s="949"/>
      <c r="H186" s="949"/>
      <c r="I186" s="949"/>
      <c r="J186" s="950"/>
      <c r="K186" s="716"/>
    </row>
    <row r="187" spans="1:11" ht="15" customHeight="1">
      <c r="A187" s="579"/>
      <c r="B187" s="1050" t="s">
        <v>550</v>
      </c>
      <c r="C187" s="949"/>
      <c r="D187" s="949"/>
      <c r="E187" s="949"/>
      <c r="F187" s="949"/>
      <c r="G187" s="949"/>
      <c r="H187" s="949"/>
      <c r="I187" s="950"/>
      <c r="J187" s="749" t="s">
        <v>447</v>
      </c>
      <c r="K187" s="593"/>
    </row>
    <row r="188" spans="1:11" ht="15" customHeight="1">
      <c r="A188" s="579"/>
      <c r="B188" s="768" t="s">
        <v>369</v>
      </c>
      <c r="C188" s="1123" t="s">
        <v>551</v>
      </c>
      <c r="D188" s="949"/>
      <c r="E188" s="949"/>
      <c r="F188" s="949"/>
      <c r="G188" s="949"/>
      <c r="H188" s="949"/>
      <c r="I188" s="949"/>
      <c r="J188" s="742">
        <f>J63</f>
        <v>2278.46</v>
      </c>
      <c r="K188" s="704"/>
    </row>
    <row r="189" spans="1:11" ht="15" customHeight="1">
      <c r="A189" s="579"/>
      <c r="B189" s="768" t="s">
        <v>371</v>
      </c>
      <c r="C189" s="1123" t="s">
        <v>552</v>
      </c>
      <c r="D189" s="949"/>
      <c r="E189" s="949"/>
      <c r="F189" s="949"/>
      <c r="G189" s="949"/>
      <c r="H189" s="949"/>
      <c r="I189" s="949"/>
      <c r="J189" s="742">
        <f>J115</f>
        <v>1192.4000000000001</v>
      </c>
      <c r="K189" s="704"/>
    </row>
    <row r="190" spans="1:11" ht="15" customHeight="1">
      <c r="A190" s="579"/>
      <c r="B190" s="768" t="s">
        <v>373</v>
      </c>
      <c r="C190" s="1123" t="s">
        <v>553</v>
      </c>
      <c r="D190" s="949"/>
      <c r="E190" s="949"/>
      <c r="F190" s="949"/>
      <c r="G190" s="949"/>
      <c r="H190" s="949"/>
      <c r="I190" s="949"/>
      <c r="J190" s="742">
        <f>J124</f>
        <v>127.65</v>
      </c>
      <c r="K190" s="704"/>
    </row>
    <row r="191" spans="1:11" ht="15" customHeight="1">
      <c r="A191" s="579"/>
      <c r="B191" s="768" t="s">
        <v>375</v>
      </c>
      <c r="C191" s="1123" t="s">
        <v>554</v>
      </c>
      <c r="D191" s="949"/>
      <c r="E191" s="949"/>
      <c r="F191" s="949"/>
      <c r="G191" s="949"/>
      <c r="H191" s="949"/>
      <c r="I191" s="949"/>
      <c r="J191" s="742">
        <f>J150</f>
        <v>45.070999999999998</v>
      </c>
      <c r="K191" s="704"/>
    </row>
    <row r="192" spans="1:11" ht="15" customHeight="1">
      <c r="A192" s="579"/>
      <c r="B192" s="768" t="s">
        <v>417</v>
      </c>
      <c r="C192" s="1123" t="s">
        <v>555</v>
      </c>
      <c r="D192" s="949"/>
      <c r="E192" s="949"/>
      <c r="F192" s="949"/>
      <c r="G192" s="949"/>
      <c r="H192" s="949"/>
      <c r="I192" s="949"/>
      <c r="J192" s="742">
        <f>J157</f>
        <v>0</v>
      </c>
      <c r="K192" s="704"/>
    </row>
    <row r="193" spans="1:11" ht="15" customHeight="1">
      <c r="A193" s="579"/>
      <c r="B193" s="1124" t="s">
        <v>556</v>
      </c>
      <c r="C193" s="949"/>
      <c r="D193" s="949"/>
      <c r="E193" s="949"/>
      <c r="F193" s="949"/>
      <c r="G193" s="949"/>
      <c r="H193" s="949"/>
      <c r="I193" s="949"/>
      <c r="J193" s="743">
        <f>ROUND(SUM(J188:J192),2)</f>
        <v>3643.58</v>
      </c>
      <c r="K193" s="704"/>
    </row>
    <row r="194" spans="1:11" ht="15" customHeight="1">
      <c r="A194" s="579"/>
      <c r="B194" s="769" t="s">
        <v>421</v>
      </c>
      <c r="C194" s="1123" t="s">
        <v>528</v>
      </c>
      <c r="D194" s="949"/>
      <c r="E194" s="949"/>
      <c r="F194" s="949"/>
      <c r="G194" s="949"/>
      <c r="H194" s="949"/>
      <c r="I194" s="949"/>
      <c r="J194" s="742">
        <f>J177</f>
        <v>1021.8500000000001</v>
      </c>
      <c r="K194" s="704"/>
    </row>
    <row r="195" spans="1:11" ht="15" customHeight="1">
      <c r="A195" s="579"/>
      <c r="B195" s="1124" t="s">
        <v>666</v>
      </c>
      <c r="C195" s="949"/>
      <c r="D195" s="949"/>
      <c r="E195" s="949"/>
      <c r="F195" s="949"/>
      <c r="G195" s="949"/>
      <c r="H195" s="949"/>
      <c r="I195" s="949"/>
      <c r="J195" s="743">
        <f>J193+J194</f>
        <v>4665.43</v>
      </c>
      <c r="K195" s="704"/>
    </row>
    <row r="196" spans="1:11" ht="36.75" customHeight="1">
      <c r="A196" s="579"/>
      <c r="B196" s="1169" t="s">
        <v>558</v>
      </c>
      <c r="C196" s="949"/>
      <c r="D196" s="949"/>
      <c r="E196" s="949"/>
      <c r="F196" s="949"/>
      <c r="G196" s="949"/>
      <c r="H196" s="949"/>
      <c r="I196" s="949"/>
      <c r="J196" s="950"/>
      <c r="K196" s="874"/>
    </row>
    <row r="197" spans="1:11" ht="9" customHeight="1">
      <c r="A197" s="579"/>
      <c r="B197" s="1170"/>
      <c r="C197" s="949"/>
      <c r="D197" s="949"/>
      <c r="E197" s="949"/>
      <c r="F197" s="949"/>
      <c r="G197" s="949"/>
      <c r="H197" s="949"/>
      <c r="I197" s="949"/>
      <c r="J197" s="950"/>
      <c r="K197" s="771"/>
    </row>
    <row r="198" spans="1:11" ht="15" customHeight="1">
      <c r="A198" s="579"/>
      <c r="B198" s="772"/>
      <c r="C198" s="587"/>
      <c r="D198" s="587"/>
      <c r="E198" s="587"/>
      <c r="F198" s="587"/>
      <c r="G198" s="587"/>
      <c r="H198" s="587"/>
      <c r="I198" s="773"/>
      <c r="J198" s="774"/>
      <c r="K198" s="773"/>
    </row>
    <row r="199" spans="1:11" ht="31.5" customHeight="1">
      <c r="A199" s="579"/>
      <c r="B199" s="1129" t="s">
        <v>559</v>
      </c>
      <c r="C199" s="947"/>
      <c r="D199" s="947"/>
      <c r="E199" s="947"/>
      <c r="F199" s="947"/>
      <c r="G199" s="947"/>
      <c r="H199" s="947"/>
      <c r="I199" s="947"/>
      <c r="J199" s="1020"/>
      <c r="K199" s="588"/>
    </row>
    <row r="200" spans="1:11" ht="45" customHeight="1">
      <c r="A200" s="579"/>
      <c r="B200" s="1075" t="s">
        <v>560</v>
      </c>
      <c r="C200" s="949"/>
      <c r="D200" s="949"/>
      <c r="E200" s="950"/>
      <c r="F200" s="1075" t="s">
        <v>667</v>
      </c>
      <c r="G200" s="950"/>
      <c r="H200" s="749" t="s">
        <v>563</v>
      </c>
      <c r="I200" s="1075" t="s">
        <v>564</v>
      </c>
      <c r="J200" s="950"/>
      <c r="K200" s="593"/>
    </row>
    <row r="201" spans="1:11" ht="33" hidden="1" customHeight="1" outlineLevel="1">
      <c r="A201" s="579"/>
      <c r="B201" s="1051" t="s">
        <v>565</v>
      </c>
      <c r="C201" s="949"/>
      <c r="D201" s="949"/>
      <c r="E201" s="950"/>
      <c r="F201" s="1140">
        <v>0</v>
      </c>
      <c r="G201" s="950"/>
      <c r="H201" s="875">
        <f t="shared" ref="H201:H202" si="5">E201*F201</f>
        <v>0</v>
      </c>
      <c r="I201" s="1140">
        <f t="shared" ref="I201:I202" si="6">F201*H201</f>
        <v>0</v>
      </c>
      <c r="J201" s="950"/>
      <c r="K201" s="779"/>
    </row>
    <row r="202" spans="1:11" ht="42.75" hidden="1" customHeight="1" outlineLevel="1">
      <c r="A202" s="579"/>
      <c r="B202" s="1051" t="s">
        <v>566</v>
      </c>
      <c r="C202" s="949"/>
      <c r="D202" s="949"/>
      <c r="E202" s="950"/>
      <c r="F202" s="1140">
        <v>0</v>
      </c>
      <c r="G202" s="950"/>
      <c r="H202" s="875">
        <f t="shared" si="5"/>
        <v>0</v>
      </c>
      <c r="I202" s="1140">
        <f t="shared" si="6"/>
        <v>0</v>
      </c>
      <c r="J202" s="950"/>
      <c r="K202" s="779"/>
    </row>
    <row r="203" spans="1:11" ht="41.25" customHeight="1" collapsed="1">
      <c r="A203" s="579"/>
      <c r="B203" s="1141" t="str">
        <f>B3</f>
        <v>2614-25_INTERP.LIBRAS_20hs</v>
      </c>
      <c r="C203" s="949"/>
      <c r="D203" s="949"/>
      <c r="E203" s="950"/>
      <c r="F203" s="781">
        <f>J195</f>
        <v>4665.43</v>
      </c>
      <c r="G203" s="782">
        <f>I40</f>
        <v>1</v>
      </c>
      <c r="H203" s="783"/>
      <c r="I203" s="1130">
        <f>F203*G203</f>
        <v>4665.43</v>
      </c>
      <c r="J203" s="950"/>
      <c r="K203" s="779"/>
    </row>
    <row r="204" spans="1:11" ht="41.25" hidden="1" customHeight="1" outlineLevel="1">
      <c r="A204" s="579"/>
      <c r="B204" s="1051" t="s">
        <v>567</v>
      </c>
      <c r="C204" s="949"/>
      <c r="D204" s="949"/>
      <c r="E204" s="950"/>
      <c r="F204" s="1131">
        <v>0</v>
      </c>
      <c r="G204" s="950"/>
      <c r="H204" s="875">
        <f t="shared" ref="H204:I204" si="7">E204*G204</f>
        <v>0</v>
      </c>
      <c r="I204" s="1140">
        <f t="shared" si="7"/>
        <v>0</v>
      </c>
      <c r="J204" s="950"/>
      <c r="K204" s="779"/>
    </row>
    <row r="205" spans="1:11" ht="39.75" hidden="1" customHeight="1" outlineLevel="1">
      <c r="A205" s="579"/>
      <c r="B205" s="1051" t="s">
        <v>568</v>
      </c>
      <c r="C205" s="949"/>
      <c r="D205" s="949"/>
      <c r="E205" s="950"/>
      <c r="F205" s="1131">
        <v>0</v>
      </c>
      <c r="G205" s="950"/>
      <c r="H205" s="875">
        <f t="shared" ref="H205:I205" si="8">E205*G205</f>
        <v>0</v>
      </c>
      <c r="I205" s="1140">
        <f t="shared" si="8"/>
        <v>0</v>
      </c>
      <c r="J205" s="950"/>
      <c r="K205" s="779"/>
    </row>
    <row r="206" spans="1:11" ht="35.25" hidden="1" customHeight="1" outlineLevel="1">
      <c r="A206" s="579"/>
      <c r="B206" s="1142" t="s">
        <v>668</v>
      </c>
      <c r="C206" s="949"/>
      <c r="D206" s="949"/>
      <c r="E206" s="950"/>
      <c r="F206" s="1140">
        <v>0</v>
      </c>
      <c r="G206" s="950"/>
      <c r="H206" s="875">
        <f t="shared" ref="H206:I206" si="9">E206*G206</f>
        <v>0</v>
      </c>
      <c r="I206" s="1140">
        <f t="shared" si="9"/>
        <v>0</v>
      </c>
      <c r="J206" s="950"/>
      <c r="K206" s="779"/>
    </row>
    <row r="207" spans="1:11" ht="27" customHeight="1" collapsed="1">
      <c r="A207" s="579"/>
      <c r="B207" s="1143" t="s">
        <v>570</v>
      </c>
      <c r="C207" s="949"/>
      <c r="D207" s="949"/>
      <c r="E207" s="949"/>
      <c r="F207" s="949"/>
      <c r="G207" s="950"/>
      <c r="H207" s="785">
        <f>I17</f>
        <v>0</v>
      </c>
      <c r="I207" s="1132">
        <f>H207*I203</f>
        <v>0</v>
      </c>
      <c r="J207" s="950"/>
      <c r="K207" s="786"/>
    </row>
    <row r="208" spans="1:11" ht="6.75" customHeight="1">
      <c r="A208" s="579"/>
      <c r="B208" s="1171"/>
      <c r="C208" s="1172"/>
      <c r="D208" s="1172"/>
      <c r="E208" s="1172"/>
      <c r="F208" s="1172"/>
      <c r="G208" s="1172"/>
      <c r="H208" s="1172"/>
      <c r="I208" s="1172"/>
      <c r="J208" s="1173"/>
      <c r="K208" s="715"/>
    </row>
    <row r="209" spans="1:11" ht="17.25" customHeight="1">
      <c r="A209" s="579"/>
      <c r="B209" s="1147" t="s">
        <v>571</v>
      </c>
      <c r="C209" s="1037"/>
      <c r="D209" s="1037"/>
      <c r="E209" s="1037"/>
      <c r="F209" s="1037"/>
      <c r="G209" s="1037"/>
      <c r="H209" s="1037"/>
      <c r="I209" s="1037"/>
      <c r="J209" s="1038"/>
      <c r="K209" s="596"/>
    </row>
    <row r="210" spans="1:11" ht="6.75" customHeight="1">
      <c r="A210" s="579"/>
      <c r="B210" s="1148"/>
      <c r="C210" s="949"/>
      <c r="D210" s="949"/>
      <c r="E210" s="949"/>
      <c r="F210" s="949"/>
      <c r="G210" s="949"/>
      <c r="H210" s="949"/>
      <c r="I210" s="949"/>
      <c r="J210" s="950"/>
      <c r="K210" s="787"/>
    </row>
    <row r="211" spans="1:11" ht="18.75" customHeight="1">
      <c r="A211" s="579"/>
      <c r="B211" s="1072" t="s">
        <v>572</v>
      </c>
      <c r="C211" s="949"/>
      <c r="D211" s="949"/>
      <c r="E211" s="949"/>
      <c r="F211" s="949"/>
      <c r="G211" s="950"/>
      <c r="H211" s="1149">
        <f>$I$207</f>
        <v>0</v>
      </c>
      <c r="I211" s="949"/>
      <c r="J211" s="950"/>
      <c r="K211" s="788"/>
    </row>
    <row r="212" spans="1:11" ht="8.25" customHeight="1">
      <c r="A212" s="579"/>
      <c r="B212" s="1135"/>
      <c r="C212" s="954"/>
      <c r="D212" s="954"/>
      <c r="E212" s="954"/>
      <c r="F212" s="954"/>
      <c r="G212" s="954"/>
      <c r="H212" s="954"/>
      <c r="I212" s="954"/>
      <c r="J212" s="1136"/>
      <c r="K212" s="789"/>
    </row>
    <row r="213" spans="1:11" ht="19.5" customHeight="1">
      <c r="A213" s="579"/>
      <c r="B213" s="1072" t="s">
        <v>573</v>
      </c>
      <c r="C213" s="949"/>
      <c r="D213" s="949"/>
      <c r="E213" s="949"/>
      <c r="F213" s="949"/>
      <c r="G213" s="950"/>
      <c r="H213" s="1073">
        <f>$I$11</f>
        <v>30</v>
      </c>
      <c r="I213" s="949"/>
      <c r="J213" s="950"/>
      <c r="K213" s="790"/>
    </row>
    <row r="214" spans="1:11" ht="8.25" customHeight="1">
      <c r="A214" s="579"/>
      <c r="B214" s="1137"/>
      <c r="C214" s="949"/>
      <c r="D214" s="949"/>
      <c r="E214" s="949"/>
      <c r="F214" s="949"/>
      <c r="G214" s="949"/>
      <c r="H214" s="949"/>
      <c r="I214" s="949"/>
      <c r="J214" s="950"/>
      <c r="K214" s="791"/>
    </row>
    <row r="215" spans="1:11" ht="31.5" customHeight="1">
      <c r="A215" s="579"/>
      <c r="B215" s="1072" t="s">
        <v>669</v>
      </c>
      <c r="C215" s="949"/>
      <c r="D215" s="949"/>
      <c r="E215" s="949"/>
      <c r="F215" s="949"/>
      <c r="G215" s="950"/>
      <c r="H215" s="1138">
        <f>ROUND(H211*H213,2)</f>
        <v>0</v>
      </c>
      <c r="I215" s="949"/>
      <c r="J215" s="950"/>
      <c r="K215" s="792"/>
    </row>
    <row r="216" spans="1:11" ht="8.25" customHeight="1">
      <c r="A216" s="579"/>
      <c r="B216" s="1139"/>
      <c r="C216" s="949"/>
      <c r="D216" s="949"/>
      <c r="E216" s="949"/>
      <c r="F216" s="949"/>
      <c r="G216" s="949"/>
      <c r="H216" s="949"/>
      <c r="I216" s="949"/>
      <c r="J216" s="950"/>
      <c r="K216" s="587"/>
    </row>
    <row r="217" spans="1:11" ht="15.75" customHeight="1"/>
    <row r="218" spans="1:11" ht="55.5" customHeight="1">
      <c r="B218" s="1197" t="s">
        <v>1264</v>
      </c>
      <c r="C218" s="1197"/>
      <c r="D218" s="1197"/>
      <c r="E218" s="1197"/>
      <c r="F218" s="1197"/>
      <c r="G218" s="1197"/>
      <c r="H218" s="1197"/>
      <c r="I218" s="1197"/>
      <c r="J218" s="1197"/>
    </row>
    <row r="219" spans="1:11" ht="15.75" customHeight="1">
      <c r="B219" s="800"/>
      <c r="C219" s="801"/>
      <c r="D219" s="801"/>
      <c r="E219" s="802"/>
      <c r="F219" s="803"/>
      <c r="G219" s="804"/>
      <c r="H219" s="805"/>
      <c r="I219" s="806"/>
      <c r="J219" s="806"/>
    </row>
    <row r="220" spans="1:11" ht="69" customHeight="1">
      <c r="B220" s="1193" t="s">
        <v>670</v>
      </c>
      <c r="C220" s="1194"/>
      <c r="D220" s="1194"/>
      <c r="E220" s="1195" t="s">
        <v>577</v>
      </c>
      <c r="F220" s="810" t="s">
        <v>578</v>
      </c>
      <c r="G220" s="1196" t="s">
        <v>579</v>
      </c>
      <c r="H220" s="1192" t="s">
        <v>580</v>
      </c>
      <c r="I220" s="579"/>
      <c r="J220" s="579"/>
    </row>
    <row r="221" spans="1:11" ht="15.75" customHeight="1">
      <c r="B221" s="813" t="str">
        <f>B45</f>
        <v>Módulo 1: Composição da Remuneração (por Posto)</v>
      </c>
      <c r="C221" s="814"/>
      <c r="D221" s="815"/>
      <c r="E221" s="816" t="s">
        <v>581</v>
      </c>
      <c r="F221" s="817" t="s">
        <v>382</v>
      </c>
      <c r="G221" s="818">
        <f>J58</f>
        <v>2278.46</v>
      </c>
      <c r="H221" s="819">
        <f t="shared" ref="H221:H226" si="10">TRUNC(G221/$H$47,2)</f>
        <v>22.78</v>
      </c>
      <c r="I221" s="579"/>
      <c r="J221" s="579"/>
    </row>
    <row r="222" spans="1:11" ht="15.75" customHeight="1">
      <c r="B222" s="813" t="str">
        <f>B67</f>
        <v>Módulo 2 : Encargos e Benefícios Anuais, Mensais e Diários</v>
      </c>
      <c r="C222" s="814"/>
      <c r="D222" s="815"/>
      <c r="E222" s="816" t="s">
        <v>582</v>
      </c>
      <c r="F222" s="820">
        <f>G222/G221</f>
        <v>0.52333593743142304</v>
      </c>
      <c r="G222" s="818">
        <f>J112+J113</f>
        <v>1192.4000000000001</v>
      </c>
      <c r="H222" s="819">
        <f t="shared" si="10"/>
        <v>11.92</v>
      </c>
      <c r="I222" s="579"/>
      <c r="J222" s="579"/>
    </row>
    <row r="223" spans="1:11" ht="15.75" customHeight="1">
      <c r="B223" s="813" t="str">
        <f>B117</f>
        <v>Módulo 3 - Provisão para Rescisão</v>
      </c>
      <c r="C223" s="814"/>
      <c r="D223" s="815"/>
      <c r="E223" s="816" t="s">
        <v>581</v>
      </c>
      <c r="F223" s="820">
        <f>G223/G221</f>
        <v>5.6024683338746349E-2</v>
      </c>
      <c r="G223" s="818">
        <f>J124</f>
        <v>127.65</v>
      </c>
      <c r="H223" s="819">
        <f t="shared" si="10"/>
        <v>1.27</v>
      </c>
      <c r="I223" s="579"/>
      <c r="J223" s="579"/>
    </row>
    <row r="224" spans="1:11" ht="15.75" customHeight="1">
      <c r="B224" s="813" t="str">
        <f>B126</f>
        <v>Módulo 4 - Custo de Reposição do Profissional Ausente</v>
      </c>
      <c r="C224" s="814"/>
      <c r="D224" s="815"/>
      <c r="E224" s="816" t="s">
        <v>583</v>
      </c>
      <c r="F224" s="820">
        <f t="shared" ref="F224:F225" si="11">G224/SUM($G$221:$G$226)</f>
        <v>0</v>
      </c>
      <c r="G224" s="818">
        <f>J148*0</f>
        <v>0</v>
      </c>
      <c r="H224" s="819">
        <f t="shared" si="10"/>
        <v>0</v>
      </c>
      <c r="I224" s="579"/>
      <c r="J224" s="579"/>
    </row>
    <row r="225" spans="2:10" ht="15.75" customHeight="1">
      <c r="B225" s="813" t="str">
        <f>B152</f>
        <v>Módulo 5 – Insumos Diversos</v>
      </c>
      <c r="C225" s="814"/>
      <c r="D225" s="815"/>
      <c r="E225" s="816" t="s">
        <v>583</v>
      </c>
      <c r="F225" s="820">
        <f t="shared" si="11"/>
        <v>0</v>
      </c>
      <c r="G225" s="818">
        <f>J157*0</f>
        <v>0</v>
      </c>
      <c r="H225" s="819">
        <f t="shared" si="10"/>
        <v>0</v>
      </c>
      <c r="I225" s="579"/>
      <c r="J225" s="579"/>
    </row>
    <row r="226" spans="2:10" ht="15.75" customHeight="1">
      <c r="B226" s="813" t="str">
        <f>B161</f>
        <v>Módulo 6 - Custos Indiretos, Lucro e Tributos</v>
      </c>
      <c r="C226" s="814"/>
      <c r="D226" s="815"/>
      <c r="E226" s="816" t="s">
        <v>581</v>
      </c>
      <c r="F226" s="820">
        <f>G226/G221</f>
        <v>0.44848274711866792</v>
      </c>
      <c r="G226" s="818">
        <f>J177</f>
        <v>1021.8500000000001</v>
      </c>
      <c r="H226" s="819">
        <f t="shared" si="10"/>
        <v>10.210000000000001</v>
      </c>
      <c r="I226" s="579"/>
      <c r="J226" s="579"/>
    </row>
    <row r="227" spans="2:10" ht="24.75">
      <c r="B227" s="801"/>
      <c r="C227" s="801"/>
      <c r="D227" s="801"/>
      <c r="E227" s="821"/>
      <c r="F227" s="822">
        <f>SUM((F222:F226))</f>
        <v>1.0278433678888372</v>
      </c>
      <c r="G227" s="823">
        <f t="shared" ref="G227:H227" si="12">G221+G222+G223+G224+G225+G226</f>
        <v>4620.3600000000006</v>
      </c>
      <c r="H227" s="824">
        <f t="shared" si="12"/>
        <v>46.180000000000007</v>
      </c>
      <c r="I227" s="579"/>
      <c r="J227" s="579"/>
    </row>
    <row r="228" spans="2:10">
      <c r="C228" s="825"/>
      <c r="D228" s="825"/>
      <c r="E228" s="826"/>
      <c r="I228" s="579"/>
      <c r="J228" s="579"/>
    </row>
    <row r="229" spans="2:10" ht="46.5">
      <c r="B229" s="827"/>
      <c r="C229" s="827"/>
      <c r="D229" s="827"/>
      <c r="E229" s="828"/>
      <c r="F229" s="829" t="s">
        <v>584</v>
      </c>
      <c r="G229" s="830" t="s">
        <v>585</v>
      </c>
      <c r="H229" s="1186" t="s">
        <v>586</v>
      </c>
      <c r="I229" s="1187" t="s">
        <v>587</v>
      </c>
      <c r="J229" s="1188"/>
    </row>
    <row r="230" spans="2:10" ht="69.75">
      <c r="B230" s="832" t="s">
        <v>588</v>
      </c>
      <c r="C230" s="833"/>
      <c r="D230" s="833"/>
      <c r="E230" s="834"/>
      <c r="F230" s="835">
        <v>0.2</v>
      </c>
      <c r="G230" s="836">
        <f>H227*1.2</f>
        <v>55.416000000000004</v>
      </c>
      <c r="H230" s="1189" t="s">
        <v>589</v>
      </c>
      <c r="I230" s="1190"/>
      <c r="J230" s="1191"/>
    </row>
    <row r="231" spans="2:10" ht="36">
      <c r="B231" s="1150" t="s">
        <v>671</v>
      </c>
      <c r="C231" s="947"/>
      <c r="D231" s="1020"/>
      <c r="E231" s="838" t="s">
        <v>420</v>
      </c>
      <c r="F231" s="839">
        <v>1.2</v>
      </c>
      <c r="G231" s="840">
        <f t="shared" ref="G231:G234" si="13">F231*$G$230</f>
        <v>66.499200000000002</v>
      </c>
      <c r="H231" s="841">
        <v>0</v>
      </c>
      <c r="I231" s="842"/>
      <c r="J231" s="843">
        <f t="shared" ref="J231:J234" si="14">G231*H231</f>
        <v>0</v>
      </c>
    </row>
    <row r="232" spans="2:10" ht="36">
      <c r="B232" s="1151"/>
      <c r="C232" s="947"/>
      <c r="D232" s="1020"/>
      <c r="E232" s="838" t="s">
        <v>591</v>
      </c>
      <c r="F232" s="839">
        <v>1.8</v>
      </c>
      <c r="G232" s="840">
        <f t="shared" si="13"/>
        <v>99.748800000000003</v>
      </c>
      <c r="H232" s="841">
        <v>0</v>
      </c>
      <c r="I232" s="842"/>
      <c r="J232" s="843">
        <f t="shared" si="14"/>
        <v>0</v>
      </c>
    </row>
    <row r="233" spans="2:10" ht="36">
      <c r="B233" s="1151"/>
      <c r="C233" s="947"/>
      <c r="D233" s="1020"/>
      <c r="E233" s="838" t="s">
        <v>592</v>
      </c>
      <c r="F233" s="839">
        <v>1.5</v>
      </c>
      <c r="G233" s="840">
        <f t="shared" si="13"/>
        <v>83.124000000000009</v>
      </c>
      <c r="H233" s="841">
        <v>0</v>
      </c>
      <c r="I233" s="842"/>
      <c r="J233" s="843">
        <f t="shared" si="14"/>
        <v>0</v>
      </c>
    </row>
    <row r="234" spans="2:10" ht="36">
      <c r="B234" s="1134"/>
      <c r="C234" s="1037"/>
      <c r="D234" s="1038"/>
      <c r="E234" s="838" t="s">
        <v>593</v>
      </c>
      <c r="F234" s="839">
        <v>2</v>
      </c>
      <c r="G234" s="840">
        <f t="shared" si="13"/>
        <v>110.83200000000001</v>
      </c>
      <c r="H234" s="841">
        <v>0</v>
      </c>
      <c r="I234" s="842"/>
      <c r="J234" s="843">
        <f t="shared" si="14"/>
        <v>0</v>
      </c>
    </row>
    <row r="235" spans="2:10" ht="30.75">
      <c r="B235" s="619"/>
      <c r="C235" s="619"/>
      <c r="D235" s="619"/>
      <c r="E235" s="619"/>
      <c r="F235" s="619"/>
      <c r="G235" s="619"/>
      <c r="H235" s="619"/>
      <c r="I235" s="806"/>
      <c r="J235" s="844">
        <f>SUM(J231:J234)</f>
        <v>0</v>
      </c>
    </row>
    <row r="236" spans="2:10">
      <c r="B236" s="619"/>
      <c r="C236" s="619"/>
      <c r="D236" s="619"/>
      <c r="E236" s="619"/>
      <c r="F236" s="619"/>
      <c r="G236" s="619"/>
      <c r="H236" s="619"/>
      <c r="I236" s="806"/>
      <c r="J236" s="806"/>
    </row>
    <row r="237" spans="2:10">
      <c r="B237" s="845" t="s">
        <v>594</v>
      </c>
      <c r="C237" s="846" t="s">
        <v>595</v>
      </c>
      <c r="D237" s="847" t="s">
        <v>596</v>
      </c>
      <c r="E237" s="845" t="s">
        <v>597</v>
      </c>
      <c r="F237" s="847" t="s">
        <v>598</v>
      </c>
      <c r="G237" s="845" t="s">
        <v>599</v>
      </c>
      <c r="H237" s="847" t="s">
        <v>600</v>
      </c>
      <c r="I237" s="848"/>
      <c r="J237" s="849"/>
    </row>
    <row r="238" spans="2:10" ht="36">
      <c r="B238" s="850" t="s">
        <v>601</v>
      </c>
      <c r="C238" s="851" t="s">
        <v>602</v>
      </c>
      <c r="D238" s="852">
        <v>381.14</v>
      </c>
      <c r="E238" s="853" t="s">
        <v>603</v>
      </c>
      <c r="F238" s="854">
        <v>341.02</v>
      </c>
      <c r="G238" s="855" t="s">
        <v>604</v>
      </c>
      <c r="H238" s="856">
        <v>300.89999999999998</v>
      </c>
      <c r="I238" s="857"/>
      <c r="J238" s="876">
        <v>0</v>
      </c>
    </row>
    <row r="239" spans="2:10">
      <c r="B239" s="619"/>
      <c r="C239" s="619"/>
      <c r="D239" s="619"/>
      <c r="E239" s="619"/>
      <c r="F239" s="619"/>
      <c r="G239" s="619"/>
      <c r="H239" s="619"/>
      <c r="I239" s="806"/>
      <c r="J239" s="806"/>
    </row>
    <row r="240" spans="2:10" ht="30">
      <c r="B240" s="1152" t="s">
        <v>672</v>
      </c>
      <c r="C240" s="949"/>
      <c r="D240" s="949"/>
      <c r="E240" s="949"/>
      <c r="F240" s="949"/>
      <c r="G240" s="950"/>
      <c r="H240" s="859">
        <f>I45</f>
        <v>0</v>
      </c>
      <c r="I240" s="1132">
        <f>I207+J231+J232+J233+J234+J238</f>
        <v>0</v>
      </c>
      <c r="J240" s="950"/>
    </row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6">
    <mergeCell ref="B231:D234"/>
    <mergeCell ref="B240:G240"/>
    <mergeCell ref="I240:J240"/>
    <mergeCell ref="B208:J208"/>
    <mergeCell ref="B209:J209"/>
    <mergeCell ref="B210:J210"/>
    <mergeCell ref="B211:G211"/>
    <mergeCell ref="H211:J211"/>
    <mergeCell ref="B212:J212"/>
    <mergeCell ref="H213:J213"/>
    <mergeCell ref="B220:D220"/>
    <mergeCell ref="B218:J218"/>
    <mergeCell ref="I201:J201"/>
    <mergeCell ref="I206:J206"/>
    <mergeCell ref="I207:J207"/>
    <mergeCell ref="I229:J230"/>
    <mergeCell ref="B213:G213"/>
    <mergeCell ref="B214:J214"/>
    <mergeCell ref="B215:G215"/>
    <mergeCell ref="H215:J215"/>
    <mergeCell ref="B216:J216"/>
    <mergeCell ref="B206:E206"/>
    <mergeCell ref="F206:G206"/>
    <mergeCell ref="B207:G207"/>
    <mergeCell ref="B205:E205"/>
    <mergeCell ref="F205:G205"/>
    <mergeCell ref="I205:J205"/>
    <mergeCell ref="C171:H171"/>
    <mergeCell ref="C172:H172"/>
    <mergeCell ref="C173:H173"/>
    <mergeCell ref="C174:H174"/>
    <mergeCell ref="C175:H175"/>
    <mergeCell ref="C176:H176"/>
    <mergeCell ref="B177:I177"/>
    <mergeCell ref="B178:J178"/>
    <mergeCell ref="B179:H179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88:I188"/>
    <mergeCell ref="C189:I189"/>
    <mergeCell ref="C190:I190"/>
    <mergeCell ref="B202:E202"/>
    <mergeCell ref="F202:G202"/>
    <mergeCell ref="I202:J202"/>
    <mergeCell ref="B203:E203"/>
    <mergeCell ref="I203:J203"/>
    <mergeCell ref="F204:G204"/>
    <mergeCell ref="I204:J204"/>
    <mergeCell ref="B204:E204"/>
    <mergeCell ref="C191:I191"/>
    <mergeCell ref="C192:I192"/>
    <mergeCell ref="B193:I193"/>
    <mergeCell ref="C194:I194"/>
    <mergeCell ref="B195:I195"/>
    <mergeCell ref="B196:J196"/>
    <mergeCell ref="B197:J197"/>
    <mergeCell ref="B199:J199"/>
    <mergeCell ref="B200:E200"/>
    <mergeCell ref="F200:G200"/>
    <mergeCell ref="I200:J200"/>
    <mergeCell ref="B201:E201"/>
    <mergeCell ref="F201:G201"/>
    <mergeCell ref="B86:H86"/>
    <mergeCell ref="B88:J88"/>
    <mergeCell ref="B89:J89"/>
    <mergeCell ref="B90:J90"/>
    <mergeCell ref="C135:I135"/>
    <mergeCell ref="C136:I136"/>
    <mergeCell ref="C137:I137"/>
    <mergeCell ref="C138:I138"/>
    <mergeCell ref="B139:I139"/>
    <mergeCell ref="B130:J130"/>
    <mergeCell ref="B131:J131"/>
    <mergeCell ref="C132:I132"/>
    <mergeCell ref="C133:G133"/>
    <mergeCell ref="C134:I134"/>
    <mergeCell ref="C120:I120"/>
    <mergeCell ref="C121:H121"/>
    <mergeCell ref="C122:I122"/>
    <mergeCell ref="C123:H123"/>
    <mergeCell ref="B124:I124"/>
    <mergeCell ref="B125:J125"/>
    <mergeCell ref="B126:J126"/>
    <mergeCell ref="B127:J127"/>
    <mergeCell ref="B128:J128"/>
    <mergeCell ref="C111:I111"/>
    <mergeCell ref="C83:H83"/>
    <mergeCell ref="C84:H84"/>
    <mergeCell ref="C85:H85"/>
    <mergeCell ref="C80:D80"/>
    <mergeCell ref="C81:H81"/>
    <mergeCell ref="C82:H82"/>
    <mergeCell ref="C77:H77"/>
    <mergeCell ref="C78:H78"/>
    <mergeCell ref="C79:H79"/>
    <mergeCell ref="C36:H36"/>
    <mergeCell ref="I36:J36"/>
    <mergeCell ref="C37:H37"/>
    <mergeCell ref="I37:J37"/>
    <mergeCell ref="C38:D38"/>
    <mergeCell ref="F38:H38"/>
    <mergeCell ref="I38:J38"/>
    <mergeCell ref="C39:H39"/>
    <mergeCell ref="I39:J39"/>
    <mergeCell ref="C40:H40"/>
    <mergeCell ref="I40:J40"/>
    <mergeCell ref="C41:H41"/>
    <mergeCell ref="I41:J41"/>
    <mergeCell ref="B42:J42"/>
    <mergeCell ref="B43:J43"/>
    <mergeCell ref="B44:J44"/>
    <mergeCell ref="B45:J45"/>
    <mergeCell ref="C46:H46"/>
    <mergeCell ref="C47:F47"/>
    <mergeCell ref="C48:E48"/>
    <mergeCell ref="F48:H48"/>
    <mergeCell ref="C71:H71"/>
    <mergeCell ref="B72:I72"/>
    <mergeCell ref="B73:J73"/>
    <mergeCell ref="B74:J74"/>
    <mergeCell ref="B75:J75"/>
    <mergeCell ref="B76:J76"/>
    <mergeCell ref="B63:I63"/>
    <mergeCell ref="B64:J64"/>
    <mergeCell ref="B65:J65"/>
    <mergeCell ref="B66:J66"/>
    <mergeCell ref="B67:J67"/>
    <mergeCell ref="B68:J68"/>
    <mergeCell ref="C33:F33"/>
    <mergeCell ref="C34:F34"/>
    <mergeCell ref="G34:H34"/>
    <mergeCell ref="I34:J34"/>
    <mergeCell ref="C35:F35"/>
    <mergeCell ref="G35:H35"/>
    <mergeCell ref="I35:J35"/>
    <mergeCell ref="C69:I69"/>
    <mergeCell ref="C70:H70"/>
    <mergeCell ref="C49:H49"/>
    <mergeCell ref="C50:F50"/>
    <mergeCell ref="G50:H50"/>
    <mergeCell ref="C51:E51"/>
    <mergeCell ref="C52:I52"/>
    <mergeCell ref="C53:I53"/>
    <mergeCell ref="C54:E54"/>
    <mergeCell ref="C55:E55"/>
    <mergeCell ref="C56:E56"/>
    <mergeCell ref="C57:I57"/>
    <mergeCell ref="B58:I58"/>
    <mergeCell ref="C59:I59"/>
    <mergeCell ref="C60:I60"/>
    <mergeCell ref="B61:I61"/>
    <mergeCell ref="B62:J62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1:H11"/>
    <mergeCell ref="C168:H168"/>
    <mergeCell ref="C169:H169"/>
    <mergeCell ref="C170:H170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I30:J30"/>
    <mergeCell ref="B158:J158"/>
    <mergeCell ref="B157:I157"/>
    <mergeCell ref="C164:H164"/>
    <mergeCell ref="B165:H165"/>
    <mergeCell ref="C166:H166"/>
    <mergeCell ref="B167:H167"/>
    <mergeCell ref="B140:J140"/>
    <mergeCell ref="B141:J141"/>
    <mergeCell ref="C142:I142"/>
    <mergeCell ref="C143:I143"/>
    <mergeCell ref="B144:I144"/>
    <mergeCell ref="B145:J145"/>
    <mergeCell ref="B146:J146"/>
    <mergeCell ref="C147:I147"/>
    <mergeCell ref="C148:I148"/>
    <mergeCell ref="B159:J159"/>
    <mergeCell ref="B161:J161"/>
    <mergeCell ref="C162:H162"/>
    <mergeCell ref="B163:H163"/>
    <mergeCell ref="C91:I91"/>
    <mergeCell ref="C92:H92"/>
    <mergeCell ref="C93:H93"/>
    <mergeCell ref="C94:H94"/>
    <mergeCell ref="C95:H95"/>
    <mergeCell ref="C96:H96"/>
    <mergeCell ref="C97:I97"/>
    <mergeCell ref="C98:H98"/>
    <mergeCell ref="C99:H99"/>
    <mergeCell ref="C100:H100"/>
    <mergeCell ref="C101:I101"/>
    <mergeCell ref="C102:I102"/>
    <mergeCell ref="C103:I103"/>
    <mergeCell ref="C104:I104"/>
    <mergeCell ref="C106:I106"/>
    <mergeCell ref="B107:J107"/>
    <mergeCell ref="B108:J108"/>
    <mergeCell ref="B109:J109"/>
    <mergeCell ref="B110:J110"/>
    <mergeCell ref="C149:I149"/>
    <mergeCell ref="B150:I150"/>
    <mergeCell ref="B151:J151"/>
    <mergeCell ref="B152:J152"/>
    <mergeCell ref="C153:I153"/>
    <mergeCell ref="C154:I154"/>
    <mergeCell ref="C155:I155"/>
    <mergeCell ref="C156:I156"/>
    <mergeCell ref="C112:I112"/>
    <mergeCell ref="C113:I113"/>
    <mergeCell ref="C114:I114"/>
    <mergeCell ref="B115:I115"/>
    <mergeCell ref="B116:J116"/>
    <mergeCell ref="B117:J117"/>
    <mergeCell ref="C118:I118"/>
    <mergeCell ref="C119:I119"/>
  </mergeCells>
  <conditionalFormatting sqref="J133">
    <cfRule type="cellIs" dxfId="119" priority="1" operator="equal">
      <formula>0</formula>
    </cfRule>
  </conditionalFormatting>
  <conditionalFormatting sqref="I49:I50">
    <cfRule type="cellIs" dxfId="118" priority="2" operator="equal">
      <formula>0</formula>
    </cfRule>
  </conditionalFormatting>
  <conditionalFormatting sqref="I48">
    <cfRule type="cellIs" dxfId="117" priority="3" operator="equal">
      <formula>0</formula>
    </cfRule>
  </conditionalFormatting>
  <conditionalFormatting sqref="I121">
    <cfRule type="cellIs" dxfId="116" priority="4" operator="notEqual">
      <formula>"OK"</formula>
    </cfRule>
  </conditionalFormatting>
  <printOptions horizontalCentered="1"/>
  <pageMargins left="0.19685039370078741" right="0.11811023622047245" top="0.19685039370078741" bottom="0.19685039370078741" header="0" footer="0"/>
  <pageSetup paperSize="9" scale="95" fitToHeight="0" orientation="landscape" r:id="rId1"/>
  <headerFooter>
    <oddFooter>&amp;C&amp;A » Página -&amp;P  de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  <pageSetUpPr fitToPage="1"/>
  </sheetPr>
  <dimension ref="A1:H1000"/>
  <sheetViews>
    <sheetView topLeftCell="A19" workbookViewId="0">
      <selection activeCell="J148" sqref="J148"/>
    </sheetView>
  </sheetViews>
  <sheetFormatPr defaultColWidth="14.42578125" defaultRowHeight="15" customHeight="1" outlineLevelRow="1"/>
  <cols>
    <col min="1" max="1" width="3.140625" customWidth="1"/>
    <col min="2" max="2" width="42.7109375" customWidth="1"/>
    <col min="3" max="3" width="44.85546875" customWidth="1"/>
    <col min="4" max="4" width="23.42578125" customWidth="1"/>
    <col min="5" max="5" width="18.7109375" customWidth="1"/>
    <col min="6" max="6" width="23.5703125" customWidth="1"/>
    <col min="7" max="7" width="20.7109375" customWidth="1"/>
    <col min="8" max="8" width="29.140625" customWidth="1"/>
  </cols>
  <sheetData>
    <row r="1" spans="1:8" ht="7.5" customHeight="1">
      <c r="E1" s="877"/>
      <c r="F1" s="878"/>
    </row>
    <row r="2" spans="1:8" ht="26.25">
      <c r="B2" s="1017" t="s">
        <v>673</v>
      </c>
      <c r="C2" s="960"/>
      <c r="D2" s="960"/>
      <c r="E2" s="960"/>
      <c r="F2" s="878"/>
    </row>
    <row r="3" spans="1:8" ht="6.75" customHeight="1">
      <c r="B3" s="486"/>
      <c r="C3" s="1"/>
      <c r="D3" s="1"/>
      <c r="E3" s="879"/>
      <c r="F3" s="1"/>
    </row>
    <row r="4" spans="1:8" ht="6.75" customHeight="1">
      <c r="C4" s="484"/>
      <c r="D4" s="484"/>
      <c r="E4" s="880"/>
      <c r="F4" s="484"/>
    </row>
    <row r="5" spans="1:8" ht="6.75" customHeight="1">
      <c r="A5" s="881" t="s">
        <v>674</v>
      </c>
      <c r="B5" s="1174"/>
      <c r="C5" s="949"/>
      <c r="D5" s="949"/>
      <c r="E5" s="949"/>
      <c r="F5" s="882"/>
      <c r="G5" s="883"/>
      <c r="H5" s="884"/>
    </row>
    <row r="6" spans="1:8" ht="40.5">
      <c r="A6" s="881" t="s">
        <v>674</v>
      </c>
      <c r="B6" s="885" t="s">
        <v>2</v>
      </c>
      <c r="C6" s="886" t="s">
        <v>329</v>
      </c>
      <c r="D6" s="887" t="s">
        <v>331</v>
      </c>
      <c r="E6" s="887" t="s">
        <v>332</v>
      </c>
      <c r="F6" s="887" t="s">
        <v>333</v>
      </c>
      <c r="G6" s="888" t="s">
        <v>334</v>
      </c>
      <c r="H6" s="889" t="s">
        <v>675</v>
      </c>
    </row>
    <row r="7" spans="1:8" ht="20.25">
      <c r="A7" s="881" t="s">
        <v>674</v>
      </c>
      <c r="B7" s="500" t="str">
        <f>CAMPUS.CONTRATANTE!D10</f>
        <v xml:space="preserve">ALEGRETE </v>
      </c>
      <c r="C7" s="500" t="str">
        <f>'1-ABA-DE-CARREGAMENTO'!C33</f>
        <v>2614-25_INTERP.LIBRAS_30hs</v>
      </c>
      <c r="D7" s="890">
        <v>2</v>
      </c>
      <c r="E7" s="502">
        <v>1</v>
      </c>
      <c r="F7" s="503">
        <v>6998.1100000000006</v>
      </c>
      <c r="G7" s="504">
        <f t="shared" ref="G7:G8" si="0">F7</f>
        <v>6998.1100000000006</v>
      </c>
      <c r="H7" s="505">
        <f t="shared" ref="H7:H8" si="1">G7*D7</f>
        <v>13996.220000000001</v>
      </c>
    </row>
    <row r="8" spans="1:8" ht="20.25" collapsed="1">
      <c r="A8" s="881" t="s">
        <v>674</v>
      </c>
      <c r="B8" s="500" t="str">
        <f t="shared" ref="B8:B18" si="2">B7</f>
        <v xml:space="preserve">ALEGRETE </v>
      </c>
      <c r="C8" s="500" t="str">
        <f>'1-ABA-DE-CARREGAMENTO'!D33</f>
        <v>2614-25_INTERP.LIBRAS_20hs</v>
      </c>
      <c r="D8" s="890">
        <v>2</v>
      </c>
      <c r="E8" s="502">
        <v>1</v>
      </c>
      <c r="F8" s="510">
        <v>4665.43</v>
      </c>
      <c r="G8" s="504">
        <f t="shared" si="0"/>
        <v>4665.43</v>
      </c>
      <c r="H8" s="505">
        <f t="shared" si="1"/>
        <v>9330.86</v>
      </c>
    </row>
    <row r="9" spans="1:8" ht="20.25" hidden="1" outlineLevel="1">
      <c r="A9" s="881" t="s">
        <v>674</v>
      </c>
      <c r="B9" s="500" t="str">
        <f t="shared" si="2"/>
        <v xml:space="preserve">ALEGRETE </v>
      </c>
      <c r="C9" s="511" t="str">
        <f>'1-ABA-DE-CARREGAMENTO'!E33</f>
        <v>A NÃO TEM MAIS POSTOS-00</v>
      </c>
      <c r="D9" s="502"/>
      <c r="E9" s="512"/>
      <c r="F9" s="510"/>
      <c r="G9" s="504"/>
      <c r="H9" s="505"/>
    </row>
    <row r="10" spans="1:8" ht="20.25" hidden="1" outlineLevel="1">
      <c r="A10" s="881" t="s">
        <v>674</v>
      </c>
      <c r="B10" s="500" t="str">
        <f t="shared" si="2"/>
        <v xml:space="preserve">ALEGRETE </v>
      </c>
      <c r="C10" s="511" t="str">
        <f>'1-ABA-DE-CARREGAMENTO'!F33</f>
        <v>A NÃO TEM MAIS POSTOS-11</v>
      </c>
      <c r="D10" s="502"/>
      <c r="E10" s="512"/>
      <c r="F10" s="510"/>
      <c r="G10" s="504"/>
      <c r="H10" s="505"/>
    </row>
    <row r="11" spans="1:8" ht="20.25" hidden="1" outlineLevel="1">
      <c r="A11" s="881" t="s">
        <v>674</v>
      </c>
      <c r="B11" s="500" t="str">
        <f t="shared" si="2"/>
        <v xml:space="preserve">ALEGRETE </v>
      </c>
      <c r="C11" s="511" t="str">
        <f>'1-ABA-DE-CARREGAMENTO'!G33</f>
        <v>A NÃO TEM MAIS POSTOS-22</v>
      </c>
      <c r="D11" s="502"/>
      <c r="E11" s="512"/>
      <c r="F11" s="510"/>
      <c r="G11" s="504"/>
      <c r="H11" s="505"/>
    </row>
    <row r="12" spans="1:8" ht="20.25" hidden="1" outlineLevel="1">
      <c r="A12" s="881" t="s">
        <v>674</v>
      </c>
      <c r="B12" s="500" t="str">
        <f t="shared" si="2"/>
        <v xml:space="preserve">ALEGRETE </v>
      </c>
      <c r="C12" s="511" t="str">
        <f>'1-ABA-DE-CARREGAMENTO'!H33</f>
        <v>A NÃO TEM MAIS POSTOS-33</v>
      </c>
      <c r="D12" s="502"/>
      <c r="E12" s="512"/>
      <c r="F12" s="510"/>
      <c r="G12" s="504"/>
      <c r="H12" s="505"/>
    </row>
    <row r="13" spans="1:8" ht="20.25" hidden="1" outlineLevel="1">
      <c r="A13" s="881" t="s">
        <v>674</v>
      </c>
      <c r="B13" s="500" t="str">
        <f t="shared" si="2"/>
        <v xml:space="preserve">ALEGRETE </v>
      </c>
      <c r="C13" s="511" t="str">
        <f>'1-ABA-DE-CARREGAMENTO'!I33</f>
        <v>A NÃO TEM MAIS POSTOS-44</v>
      </c>
      <c r="D13" s="502"/>
      <c r="E13" s="512"/>
      <c r="F13" s="510"/>
      <c r="G13" s="504"/>
      <c r="H13" s="505"/>
    </row>
    <row r="14" spans="1:8" ht="20.25" hidden="1" outlineLevel="1">
      <c r="A14" s="881" t="s">
        <v>674</v>
      </c>
      <c r="B14" s="500" t="str">
        <f t="shared" si="2"/>
        <v xml:space="preserve">ALEGRETE </v>
      </c>
      <c r="C14" s="891" t="str">
        <f>'1-ABA-DE-CARREGAMENTO'!J33</f>
        <v>A NÃO TEM MAIS POSTOS-55</v>
      </c>
      <c r="D14" s="502"/>
      <c r="E14" s="512"/>
      <c r="F14" s="510"/>
      <c r="G14" s="504"/>
      <c r="H14" s="505"/>
    </row>
    <row r="15" spans="1:8" ht="20.25" hidden="1" outlineLevel="1">
      <c r="A15" s="881" t="s">
        <v>674</v>
      </c>
      <c r="B15" s="500" t="str">
        <f t="shared" si="2"/>
        <v xml:space="preserve">ALEGRETE </v>
      </c>
      <c r="C15" s="511" t="str">
        <f>'1-ABA-DE-CARREGAMENTO'!K33</f>
        <v>A NÃO TEM MAIS POSTOS-66</v>
      </c>
      <c r="D15" s="502"/>
      <c r="E15" s="512"/>
      <c r="F15" s="510"/>
      <c r="G15" s="504"/>
      <c r="H15" s="505"/>
    </row>
    <row r="16" spans="1:8" ht="20.25" hidden="1" outlineLevel="1">
      <c r="A16" s="881" t="s">
        <v>674</v>
      </c>
      <c r="B16" s="500" t="str">
        <f t="shared" si="2"/>
        <v xml:space="preserve">ALEGRETE </v>
      </c>
      <c r="C16" s="511" t="str">
        <f>'1-ABA-DE-CARREGAMENTO'!L33</f>
        <v>A NÃO TEM MAIS POSTOS-77</v>
      </c>
      <c r="D16" s="502"/>
      <c r="E16" s="512"/>
      <c r="F16" s="510"/>
      <c r="G16" s="504"/>
      <c r="H16" s="505"/>
    </row>
    <row r="17" spans="1:8" ht="20.25" hidden="1" outlineLevel="1">
      <c r="A17" s="881" t="s">
        <v>674</v>
      </c>
      <c r="B17" s="500" t="str">
        <f t="shared" si="2"/>
        <v xml:space="preserve">ALEGRETE </v>
      </c>
      <c r="C17" s="511" t="str">
        <f>'1-ABA-DE-CARREGAMENTO'!M33</f>
        <v>A NÃO TEM MAIS POSTOS-88</v>
      </c>
      <c r="D17" s="502"/>
      <c r="E17" s="512"/>
      <c r="F17" s="510"/>
      <c r="G17" s="504"/>
      <c r="H17" s="505"/>
    </row>
    <row r="18" spans="1:8" ht="20.25" hidden="1" outlineLevel="1">
      <c r="A18" s="881" t="s">
        <v>674</v>
      </c>
      <c r="B18" s="500" t="str">
        <f t="shared" si="2"/>
        <v xml:space="preserve">ALEGRETE </v>
      </c>
      <c r="C18" s="511" t="str">
        <f>'1-ABA-DE-CARREGAMENTO'!N33</f>
        <v>A NÃO TEM MAIS POSTOS-99</v>
      </c>
      <c r="D18" s="502"/>
      <c r="E18" s="512"/>
      <c r="F18" s="510"/>
      <c r="G18" s="504"/>
      <c r="H18" s="505"/>
    </row>
    <row r="19" spans="1:8" ht="20.25">
      <c r="A19" s="881" t="s">
        <v>674</v>
      </c>
      <c r="B19" s="513" t="str">
        <f>B7</f>
        <v xml:space="preserve">ALEGRETE </v>
      </c>
      <c r="C19" s="513" t="s">
        <v>341</v>
      </c>
      <c r="D19" s="892">
        <f>SUBTOTAL(9,D7:D8)</f>
        <v>4</v>
      </c>
      <c r="E19" s="893">
        <v>4665.43</v>
      </c>
      <c r="F19" s="516"/>
      <c r="G19" s="516"/>
      <c r="H19" s="516">
        <f>SUBTOTAL(9,H7:H8)</f>
        <v>23327.08</v>
      </c>
    </row>
    <row r="20" spans="1:8" hidden="1">
      <c r="A20" s="894" t="s">
        <v>674</v>
      </c>
      <c r="B20" s="894" t="s">
        <v>674</v>
      </c>
      <c r="C20" s="894" t="s">
        <v>674</v>
      </c>
      <c r="D20" s="894" t="s">
        <v>674</v>
      </c>
      <c r="E20" s="894" t="s">
        <v>674</v>
      </c>
      <c r="F20" s="894" t="s">
        <v>674</v>
      </c>
      <c r="G20" s="894" t="s">
        <v>674</v>
      </c>
      <c r="H20" s="894" t="s">
        <v>674</v>
      </c>
    </row>
    <row r="21" spans="1:8" ht="15.75" customHeight="1">
      <c r="A21" s="881" t="s">
        <v>674</v>
      </c>
      <c r="B21" s="500" t="str">
        <f>CAMPUS.CONTRATANTE!D11</f>
        <v xml:space="preserve">FREDERICO-WESTFALEN </v>
      </c>
      <c r="C21" s="500" t="str">
        <f t="shared" ref="C21:C32" si="3">C7</f>
        <v>2614-25_INTERP.LIBRAS_30hs</v>
      </c>
      <c r="D21" s="890">
        <v>0</v>
      </c>
      <c r="E21" s="502">
        <v>1</v>
      </c>
      <c r="F21" s="503">
        <v>6998.1100000000006</v>
      </c>
      <c r="G21" s="504">
        <f t="shared" ref="G21:G22" si="4">F21</f>
        <v>6998.1100000000006</v>
      </c>
      <c r="H21" s="505">
        <f t="shared" ref="H21:H22" si="5">G21*D21</f>
        <v>0</v>
      </c>
    </row>
    <row r="22" spans="1:8" ht="15.75" customHeight="1" collapsed="1">
      <c r="A22" s="881" t="s">
        <v>674</v>
      </c>
      <c r="B22" s="500" t="str">
        <f t="shared" ref="B22:B33" si="6">B21</f>
        <v xml:space="preserve">FREDERICO-WESTFALEN </v>
      </c>
      <c r="C22" s="500" t="str">
        <f t="shared" si="3"/>
        <v>2614-25_INTERP.LIBRAS_20hs</v>
      </c>
      <c r="D22" s="890">
        <v>2</v>
      </c>
      <c r="E22" s="502">
        <v>1</v>
      </c>
      <c r="F22" s="510">
        <v>4665.43</v>
      </c>
      <c r="G22" s="504">
        <f t="shared" si="4"/>
        <v>4665.43</v>
      </c>
      <c r="H22" s="505">
        <f t="shared" si="5"/>
        <v>9330.86</v>
      </c>
    </row>
    <row r="23" spans="1:8" ht="15.75" hidden="1" customHeight="1" outlineLevel="1">
      <c r="A23" s="881" t="s">
        <v>674</v>
      </c>
      <c r="B23" s="500" t="str">
        <f t="shared" si="6"/>
        <v xml:space="preserve">FREDERICO-WESTFALEN </v>
      </c>
      <c r="C23" s="500" t="str">
        <f t="shared" si="3"/>
        <v>A NÃO TEM MAIS POSTOS-00</v>
      </c>
      <c r="D23" s="502"/>
      <c r="E23" s="512"/>
      <c r="F23" s="510"/>
      <c r="G23" s="504"/>
      <c r="H23" s="505"/>
    </row>
    <row r="24" spans="1:8" ht="15.75" hidden="1" customHeight="1" outlineLevel="1">
      <c r="A24" s="881" t="s">
        <v>674</v>
      </c>
      <c r="B24" s="500" t="str">
        <f t="shared" si="6"/>
        <v xml:space="preserve">FREDERICO-WESTFALEN </v>
      </c>
      <c r="C24" s="500" t="str">
        <f t="shared" si="3"/>
        <v>A NÃO TEM MAIS POSTOS-11</v>
      </c>
      <c r="D24" s="502"/>
      <c r="E24" s="512"/>
      <c r="F24" s="510"/>
      <c r="G24" s="504"/>
      <c r="H24" s="505"/>
    </row>
    <row r="25" spans="1:8" ht="15.75" hidden="1" customHeight="1" outlineLevel="1">
      <c r="A25" s="881" t="s">
        <v>674</v>
      </c>
      <c r="B25" s="500" t="str">
        <f t="shared" si="6"/>
        <v xml:space="preserve">FREDERICO-WESTFALEN </v>
      </c>
      <c r="C25" s="500" t="str">
        <f t="shared" si="3"/>
        <v>A NÃO TEM MAIS POSTOS-22</v>
      </c>
      <c r="D25" s="502"/>
      <c r="E25" s="512"/>
      <c r="F25" s="510"/>
      <c r="G25" s="504"/>
      <c r="H25" s="505"/>
    </row>
    <row r="26" spans="1:8" ht="15.75" hidden="1" customHeight="1" outlineLevel="1">
      <c r="A26" s="881" t="s">
        <v>674</v>
      </c>
      <c r="B26" s="500" t="str">
        <f t="shared" si="6"/>
        <v xml:space="preserve">FREDERICO-WESTFALEN </v>
      </c>
      <c r="C26" s="500" t="str">
        <f t="shared" si="3"/>
        <v>A NÃO TEM MAIS POSTOS-33</v>
      </c>
      <c r="D26" s="502"/>
      <c r="E26" s="512"/>
      <c r="F26" s="510"/>
      <c r="G26" s="504"/>
      <c r="H26" s="505"/>
    </row>
    <row r="27" spans="1:8" ht="15.75" hidden="1" customHeight="1" outlineLevel="1">
      <c r="A27" s="881" t="s">
        <v>674</v>
      </c>
      <c r="B27" s="500" t="str">
        <f t="shared" si="6"/>
        <v xml:space="preserve">FREDERICO-WESTFALEN </v>
      </c>
      <c r="C27" s="500" t="str">
        <f t="shared" si="3"/>
        <v>A NÃO TEM MAIS POSTOS-44</v>
      </c>
      <c r="D27" s="502"/>
      <c r="E27" s="512"/>
      <c r="F27" s="510"/>
      <c r="G27" s="504"/>
      <c r="H27" s="505"/>
    </row>
    <row r="28" spans="1:8" ht="15.75" hidden="1" customHeight="1" outlineLevel="1">
      <c r="A28" s="881" t="s">
        <v>674</v>
      </c>
      <c r="B28" s="500" t="str">
        <f t="shared" si="6"/>
        <v xml:space="preserve">FREDERICO-WESTFALEN </v>
      </c>
      <c r="C28" s="500" t="str">
        <f t="shared" si="3"/>
        <v>A NÃO TEM MAIS POSTOS-55</v>
      </c>
      <c r="D28" s="502"/>
      <c r="E28" s="512"/>
      <c r="F28" s="510"/>
      <c r="G28" s="504"/>
      <c r="H28" s="505"/>
    </row>
    <row r="29" spans="1:8" ht="15.75" hidden="1" customHeight="1" outlineLevel="1">
      <c r="A29" s="881" t="s">
        <v>674</v>
      </c>
      <c r="B29" s="500" t="str">
        <f t="shared" si="6"/>
        <v xml:space="preserve">FREDERICO-WESTFALEN </v>
      </c>
      <c r="C29" s="500" t="str">
        <f t="shared" si="3"/>
        <v>A NÃO TEM MAIS POSTOS-66</v>
      </c>
      <c r="D29" s="502"/>
      <c r="E29" s="512"/>
      <c r="F29" s="510"/>
      <c r="G29" s="504"/>
      <c r="H29" s="505"/>
    </row>
    <row r="30" spans="1:8" ht="15.75" hidden="1" customHeight="1" outlineLevel="1">
      <c r="A30" s="881" t="s">
        <v>674</v>
      </c>
      <c r="B30" s="500" t="str">
        <f t="shared" si="6"/>
        <v xml:space="preserve">FREDERICO-WESTFALEN </v>
      </c>
      <c r="C30" s="500" t="str">
        <f t="shared" si="3"/>
        <v>A NÃO TEM MAIS POSTOS-77</v>
      </c>
      <c r="D30" s="502"/>
      <c r="E30" s="512"/>
      <c r="F30" s="510"/>
      <c r="G30" s="504"/>
      <c r="H30" s="505"/>
    </row>
    <row r="31" spans="1:8" ht="15.75" hidden="1" customHeight="1" outlineLevel="1">
      <c r="A31" s="881" t="s">
        <v>674</v>
      </c>
      <c r="B31" s="500" t="str">
        <f t="shared" si="6"/>
        <v xml:space="preserve">FREDERICO-WESTFALEN </v>
      </c>
      <c r="C31" s="500" t="str">
        <f t="shared" si="3"/>
        <v>A NÃO TEM MAIS POSTOS-88</v>
      </c>
      <c r="D31" s="502"/>
      <c r="E31" s="512"/>
      <c r="F31" s="510"/>
      <c r="G31" s="504"/>
      <c r="H31" s="505"/>
    </row>
    <row r="32" spans="1:8" ht="15.75" hidden="1" customHeight="1" outlineLevel="1">
      <c r="A32" s="881" t="s">
        <v>674</v>
      </c>
      <c r="B32" s="500" t="str">
        <f t="shared" si="6"/>
        <v xml:space="preserve">FREDERICO-WESTFALEN </v>
      </c>
      <c r="C32" s="500" t="str">
        <f t="shared" si="3"/>
        <v>A NÃO TEM MAIS POSTOS-99</v>
      </c>
      <c r="D32" s="502"/>
      <c r="E32" s="512"/>
      <c r="F32" s="510"/>
      <c r="G32" s="504"/>
      <c r="H32" s="505"/>
    </row>
    <row r="33" spans="1:8" ht="15.75" customHeight="1">
      <c r="A33" s="881" t="s">
        <v>674</v>
      </c>
      <c r="B33" s="513" t="str">
        <f t="shared" si="6"/>
        <v xml:space="preserve">FREDERICO-WESTFALEN </v>
      </c>
      <c r="C33" s="513" t="s">
        <v>341</v>
      </c>
      <c r="D33" s="892">
        <f>SUBTOTAL(9,D21:D22)</f>
        <v>2</v>
      </c>
      <c r="E33" s="893">
        <v>4665.43</v>
      </c>
      <c r="F33" s="516"/>
      <c r="G33" s="516"/>
      <c r="H33" s="516">
        <f>SUBTOTAL(9,H21:H22)</f>
        <v>9330.86</v>
      </c>
    </row>
    <row r="34" spans="1:8" ht="15.75" hidden="1" customHeight="1">
      <c r="A34" s="894" t="s">
        <v>674</v>
      </c>
      <c r="B34" s="894" t="s">
        <v>674</v>
      </c>
      <c r="C34" s="894" t="s">
        <v>674</v>
      </c>
      <c r="D34" s="894" t="s">
        <v>674</v>
      </c>
      <c r="E34" s="894" t="s">
        <v>674</v>
      </c>
      <c r="F34" s="894" t="s">
        <v>674</v>
      </c>
      <c r="G34" s="894" t="s">
        <v>674</v>
      </c>
      <c r="H34" s="894" t="s">
        <v>674</v>
      </c>
    </row>
    <row r="35" spans="1:8" ht="15.75" customHeight="1">
      <c r="A35" s="881" t="s">
        <v>674</v>
      </c>
      <c r="B35" s="500" t="str">
        <f>CAMPUS.CONTRATANTE!D12</f>
        <v>JAGUARI</v>
      </c>
      <c r="C35" s="500" t="str">
        <f t="shared" ref="C35:C46" si="7">C21</f>
        <v>2614-25_INTERP.LIBRAS_30hs</v>
      </c>
      <c r="D35" s="890">
        <v>1</v>
      </c>
      <c r="E35" s="895">
        <v>1</v>
      </c>
      <c r="F35" s="896">
        <v>6998.1100000000006</v>
      </c>
      <c r="G35" s="504">
        <f t="shared" ref="G35:G36" si="8">F35</f>
        <v>6998.1100000000006</v>
      </c>
      <c r="H35" s="505">
        <f t="shared" ref="H35:H36" si="9">G35*D35</f>
        <v>6998.1100000000006</v>
      </c>
    </row>
    <row r="36" spans="1:8" ht="15.75" customHeight="1">
      <c r="A36" s="881" t="s">
        <v>674</v>
      </c>
      <c r="B36" s="500" t="str">
        <f t="shared" ref="B36:B47" si="10">B35</f>
        <v>JAGUARI</v>
      </c>
      <c r="C36" s="500" t="str">
        <f t="shared" si="7"/>
        <v>2614-25_INTERP.LIBRAS_20hs</v>
      </c>
      <c r="D36" s="890">
        <v>2</v>
      </c>
      <c r="E36" s="897">
        <v>1</v>
      </c>
      <c r="F36" s="898">
        <v>4665.43</v>
      </c>
      <c r="G36" s="504">
        <f t="shared" si="8"/>
        <v>4665.43</v>
      </c>
      <c r="H36" s="505">
        <f t="shared" si="9"/>
        <v>9330.86</v>
      </c>
    </row>
    <row r="37" spans="1:8" ht="15.75" hidden="1" customHeight="1">
      <c r="A37" s="881" t="s">
        <v>674</v>
      </c>
      <c r="B37" s="500" t="str">
        <f t="shared" si="10"/>
        <v>JAGUARI</v>
      </c>
      <c r="C37" s="500" t="str">
        <f t="shared" si="7"/>
        <v>A NÃO TEM MAIS POSTOS-00</v>
      </c>
      <c r="D37" s="502"/>
      <c r="E37" s="512"/>
      <c r="F37" s="510"/>
      <c r="G37" s="504"/>
      <c r="H37" s="505"/>
    </row>
    <row r="38" spans="1:8" ht="15.75" hidden="1" customHeight="1">
      <c r="A38" s="881" t="s">
        <v>674</v>
      </c>
      <c r="B38" s="500" t="str">
        <f t="shared" si="10"/>
        <v>JAGUARI</v>
      </c>
      <c r="C38" s="500" t="str">
        <f t="shared" si="7"/>
        <v>A NÃO TEM MAIS POSTOS-11</v>
      </c>
      <c r="D38" s="502"/>
      <c r="E38" s="512"/>
      <c r="F38" s="510"/>
      <c r="G38" s="504"/>
      <c r="H38" s="505"/>
    </row>
    <row r="39" spans="1:8" ht="15.75" hidden="1" customHeight="1">
      <c r="A39" s="881" t="s">
        <v>674</v>
      </c>
      <c r="B39" s="500" t="str">
        <f t="shared" si="10"/>
        <v>JAGUARI</v>
      </c>
      <c r="C39" s="500" t="str">
        <f t="shared" si="7"/>
        <v>A NÃO TEM MAIS POSTOS-22</v>
      </c>
      <c r="D39" s="502"/>
      <c r="E39" s="512"/>
      <c r="F39" s="510"/>
      <c r="G39" s="504"/>
      <c r="H39" s="505"/>
    </row>
    <row r="40" spans="1:8" ht="15.75" hidden="1" customHeight="1">
      <c r="A40" s="881" t="s">
        <v>674</v>
      </c>
      <c r="B40" s="500" t="str">
        <f t="shared" si="10"/>
        <v>JAGUARI</v>
      </c>
      <c r="C40" s="500" t="str">
        <f t="shared" si="7"/>
        <v>A NÃO TEM MAIS POSTOS-33</v>
      </c>
      <c r="D40" s="502"/>
      <c r="E40" s="512"/>
      <c r="F40" s="510"/>
      <c r="G40" s="504"/>
      <c r="H40" s="505"/>
    </row>
    <row r="41" spans="1:8" ht="15.75" hidden="1" customHeight="1">
      <c r="A41" s="881" t="s">
        <v>674</v>
      </c>
      <c r="B41" s="500" t="str">
        <f t="shared" si="10"/>
        <v>JAGUARI</v>
      </c>
      <c r="C41" s="500" t="str">
        <f t="shared" si="7"/>
        <v>A NÃO TEM MAIS POSTOS-44</v>
      </c>
      <c r="D41" s="502"/>
      <c r="E41" s="512"/>
      <c r="F41" s="510"/>
      <c r="G41" s="504"/>
      <c r="H41" s="505"/>
    </row>
    <row r="42" spans="1:8" ht="15.75" hidden="1" customHeight="1">
      <c r="A42" s="881" t="s">
        <v>674</v>
      </c>
      <c r="B42" s="500" t="str">
        <f t="shared" si="10"/>
        <v>JAGUARI</v>
      </c>
      <c r="C42" s="500" t="str">
        <f t="shared" si="7"/>
        <v>A NÃO TEM MAIS POSTOS-55</v>
      </c>
      <c r="D42" s="502"/>
      <c r="E42" s="512"/>
      <c r="F42" s="510"/>
      <c r="G42" s="504"/>
      <c r="H42" s="505"/>
    </row>
    <row r="43" spans="1:8" ht="15.75" hidden="1" customHeight="1">
      <c r="A43" s="881" t="s">
        <v>674</v>
      </c>
      <c r="B43" s="500" t="str">
        <f t="shared" si="10"/>
        <v>JAGUARI</v>
      </c>
      <c r="C43" s="500" t="str">
        <f t="shared" si="7"/>
        <v>A NÃO TEM MAIS POSTOS-66</v>
      </c>
      <c r="D43" s="502"/>
      <c r="E43" s="512"/>
      <c r="F43" s="510"/>
      <c r="G43" s="504"/>
      <c r="H43" s="505"/>
    </row>
    <row r="44" spans="1:8" ht="15.75" hidden="1" customHeight="1">
      <c r="A44" s="881" t="s">
        <v>674</v>
      </c>
      <c r="B44" s="500" t="str">
        <f t="shared" si="10"/>
        <v>JAGUARI</v>
      </c>
      <c r="C44" s="500" t="str">
        <f t="shared" si="7"/>
        <v>A NÃO TEM MAIS POSTOS-77</v>
      </c>
      <c r="D44" s="502"/>
      <c r="E44" s="512"/>
      <c r="F44" s="510"/>
      <c r="G44" s="504"/>
      <c r="H44" s="505"/>
    </row>
    <row r="45" spans="1:8" ht="15.75" hidden="1" customHeight="1">
      <c r="A45" s="881" t="s">
        <v>674</v>
      </c>
      <c r="B45" s="500" t="str">
        <f t="shared" si="10"/>
        <v>JAGUARI</v>
      </c>
      <c r="C45" s="500" t="str">
        <f t="shared" si="7"/>
        <v>A NÃO TEM MAIS POSTOS-88</v>
      </c>
      <c r="D45" s="502"/>
      <c r="E45" s="512"/>
      <c r="F45" s="510"/>
      <c r="G45" s="504"/>
      <c r="H45" s="505"/>
    </row>
    <row r="46" spans="1:8" ht="15.75" hidden="1" customHeight="1">
      <c r="A46" s="881" t="s">
        <v>674</v>
      </c>
      <c r="B46" s="500" t="str">
        <f t="shared" si="10"/>
        <v>JAGUARI</v>
      </c>
      <c r="C46" s="500" t="str">
        <f t="shared" si="7"/>
        <v>A NÃO TEM MAIS POSTOS-99</v>
      </c>
      <c r="D46" s="502"/>
      <c r="E46" s="512"/>
      <c r="F46" s="510"/>
      <c r="G46" s="504"/>
      <c r="H46" s="505"/>
    </row>
    <row r="47" spans="1:8" ht="15.75" customHeight="1">
      <c r="A47" s="881" t="s">
        <v>674</v>
      </c>
      <c r="B47" s="513" t="str">
        <f t="shared" si="10"/>
        <v>JAGUARI</v>
      </c>
      <c r="C47" s="513" t="s">
        <v>341</v>
      </c>
      <c r="D47" s="892">
        <f>SUBTOTAL(9,D35:D36)</f>
        <v>3</v>
      </c>
      <c r="E47" s="893">
        <v>4665.43</v>
      </c>
      <c r="F47" s="516"/>
      <c r="G47" s="516"/>
      <c r="H47" s="516">
        <f>SUBTOTAL(9,H35:H36)</f>
        <v>16328.970000000001</v>
      </c>
    </row>
    <row r="48" spans="1:8" ht="15.75" hidden="1" customHeight="1">
      <c r="A48" s="894" t="s">
        <v>674</v>
      </c>
      <c r="B48" s="894" t="s">
        <v>674</v>
      </c>
      <c r="C48" s="894" t="s">
        <v>674</v>
      </c>
      <c r="D48" s="894" t="s">
        <v>674</v>
      </c>
      <c r="E48" s="894" t="s">
        <v>674</v>
      </c>
      <c r="F48" s="894" t="s">
        <v>674</v>
      </c>
      <c r="G48" s="894" t="s">
        <v>674</v>
      </c>
      <c r="H48" s="894" t="s">
        <v>674</v>
      </c>
    </row>
    <row r="49" spans="1:8" ht="15.75" customHeight="1">
      <c r="A49" s="881" t="s">
        <v>674</v>
      </c>
      <c r="B49" s="500" t="str">
        <f>CAMPUS.CONTRATANTE!D13</f>
        <v xml:space="preserve">JULIO-DE-CASTILHOS </v>
      </c>
      <c r="C49" s="500" t="str">
        <f t="shared" ref="C49:C60" si="11">C35</f>
        <v>2614-25_INTERP.LIBRAS_30hs</v>
      </c>
      <c r="D49" s="502">
        <v>2</v>
      </c>
      <c r="E49" s="895">
        <v>1</v>
      </c>
      <c r="F49" s="896">
        <v>7078.78</v>
      </c>
      <c r="G49" s="504">
        <f t="shared" ref="G49:G50" si="12">F49</f>
        <v>7078.78</v>
      </c>
      <c r="H49" s="505">
        <f t="shared" ref="H49:H50" si="13">G49*D49</f>
        <v>14157.56</v>
      </c>
    </row>
    <row r="50" spans="1:8" ht="15.75" customHeight="1">
      <c r="A50" s="881" t="s">
        <v>674</v>
      </c>
      <c r="B50" s="500" t="str">
        <f t="shared" ref="B50:B61" si="14">B49</f>
        <v xml:space="preserve">JULIO-DE-CASTILHOS </v>
      </c>
      <c r="C50" s="500" t="str">
        <f t="shared" si="11"/>
        <v>2614-25_INTERP.LIBRAS_20hs</v>
      </c>
      <c r="D50" s="890">
        <v>2</v>
      </c>
      <c r="E50" s="897">
        <v>1</v>
      </c>
      <c r="F50" s="898">
        <v>4719.22</v>
      </c>
      <c r="G50" s="504">
        <f t="shared" si="12"/>
        <v>4719.22</v>
      </c>
      <c r="H50" s="505">
        <f t="shared" si="13"/>
        <v>9438.44</v>
      </c>
    </row>
    <row r="51" spans="1:8" ht="15.75" hidden="1" customHeight="1">
      <c r="A51" s="881" t="s">
        <v>674</v>
      </c>
      <c r="B51" s="500" t="str">
        <f t="shared" si="14"/>
        <v xml:space="preserve">JULIO-DE-CASTILHOS </v>
      </c>
      <c r="C51" s="500" t="str">
        <f t="shared" si="11"/>
        <v>A NÃO TEM MAIS POSTOS-00</v>
      </c>
      <c r="D51" s="502"/>
      <c r="E51" s="512"/>
      <c r="F51" s="510"/>
      <c r="G51" s="504"/>
      <c r="H51" s="505"/>
    </row>
    <row r="52" spans="1:8" ht="15.75" hidden="1" customHeight="1">
      <c r="A52" s="881" t="s">
        <v>674</v>
      </c>
      <c r="B52" s="500" t="str">
        <f t="shared" si="14"/>
        <v xml:space="preserve">JULIO-DE-CASTILHOS </v>
      </c>
      <c r="C52" s="500" t="str">
        <f t="shared" si="11"/>
        <v>A NÃO TEM MAIS POSTOS-11</v>
      </c>
      <c r="D52" s="502"/>
      <c r="E52" s="512"/>
      <c r="F52" s="510"/>
      <c r="G52" s="504"/>
      <c r="H52" s="505"/>
    </row>
    <row r="53" spans="1:8" ht="15.75" hidden="1" customHeight="1">
      <c r="A53" s="881" t="s">
        <v>674</v>
      </c>
      <c r="B53" s="500" t="str">
        <f t="shared" si="14"/>
        <v xml:space="preserve">JULIO-DE-CASTILHOS </v>
      </c>
      <c r="C53" s="500" t="str">
        <f t="shared" si="11"/>
        <v>A NÃO TEM MAIS POSTOS-22</v>
      </c>
      <c r="D53" s="502"/>
      <c r="E53" s="512"/>
      <c r="F53" s="510"/>
      <c r="G53" s="504"/>
      <c r="H53" s="505"/>
    </row>
    <row r="54" spans="1:8" ht="15.75" hidden="1" customHeight="1">
      <c r="A54" s="881" t="s">
        <v>674</v>
      </c>
      <c r="B54" s="500" t="str">
        <f t="shared" si="14"/>
        <v xml:space="preserve">JULIO-DE-CASTILHOS </v>
      </c>
      <c r="C54" s="500" t="str">
        <f t="shared" si="11"/>
        <v>A NÃO TEM MAIS POSTOS-33</v>
      </c>
      <c r="D54" s="502"/>
      <c r="E54" s="512"/>
      <c r="F54" s="510"/>
      <c r="G54" s="504"/>
      <c r="H54" s="505"/>
    </row>
    <row r="55" spans="1:8" ht="15.75" hidden="1" customHeight="1">
      <c r="A55" s="881" t="s">
        <v>674</v>
      </c>
      <c r="B55" s="500" t="str">
        <f t="shared" si="14"/>
        <v xml:space="preserve">JULIO-DE-CASTILHOS </v>
      </c>
      <c r="C55" s="500" t="str">
        <f t="shared" si="11"/>
        <v>A NÃO TEM MAIS POSTOS-44</v>
      </c>
      <c r="D55" s="502"/>
      <c r="E55" s="512"/>
      <c r="F55" s="510"/>
      <c r="G55" s="504"/>
      <c r="H55" s="505"/>
    </row>
    <row r="56" spans="1:8" ht="15.75" hidden="1" customHeight="1">
      <c r="A56" s="881" t="s">
        <v>674</v>
      </c>
      <c r="B56" s="500" t="str">
        <f t="shared" si="14"/>
        <v xml:space="preserve">JULIO-DE-CASTILHOS </v>
      </c>
      <c r="C56" s="500" t="str">
        <f t="shared" si="11"/>
        <v>A NÃO TEM MAIS POSTOS-55</v>
      </c>
      <c r="D56" s="502"/>
      <c r="E56" s="512"/>
      <c r="F56" s="510"/>
      <c r="G56" s="504"/>
      <c r="H56" s="505"/>
    </row>
    <row r="57" spans="1:8" ht="15.75" hidden="1" customHeight="1">
      <c r="A57" s="881" t="s">
        <v>674</v>
      </c>
      <c r="B57" s="500" t="str">
        <f t="shared" si="14"/>
        <v xml:space="preserve">JULIO-DE-CASTILHOS </v>
      </c>
      <c r="C57" s="500" t="str">
        <f t="shared" si="11"/>
        <v>A NÃO TEM MAIS POSTOS-66</v>
      </c>
      <c r="D57" s="502"/>
      <c r="E57" s="512"/>
      <c r="F57" s="510"/>
      <c r="G57" s="504"/>
      <c r="H57" s="505"/>
    </row>
    <row r="58" spans="1:8" ht="15.75" hidden="1" customHeight="1">
      <c r="A58" s="881" t="s">
        <v>674</v>
      </c>
      <c r="B58" s="500" t="str">
        <f t="shared" si="14"/>
        <v xml:space="preserve">JULIO-DE-CASTILHOS </v>
      </c>
      <c r="C58" s="500" t="str">
        <f t="shared" si="11"/>
        <v>A NÃO TEM MAIS POSTOS-77</v>
      </c>
      <c r="D58" s="502"/>
      <c r="E58" s="512"/>
      <c r="F58" s="510"/>
      <c r="G58" s="504"/>
      <c r="H58" s="505"/>
    </row>
    <row r="59" spans="1:8" ht="15.75" hidden="1" customHeight="1">
      <c r="A59" s="881" t="s">
        <v>674</v>
      </c>
      <c r="B59" s="500" t="str">
        <f t="shared" si="14"/>
        <v xml:space="preserve">JULIO-DE-CASTILHOS </v>
      </c>
      <c r="C59" s="500" t="str">
        <f t="shared" si="11"/>
        <v>A NÃO TEM MAIS POSTOS-88</v>
      </c>
      <c r="D59" s="502"/>
      <c r="E59" s="512"/>
      <c r="F59" s="510"/>
      <c r="G59" s="504"/>
      <c r="H59" s="505"/>
    </row>
    <row r="60" spans="1:8" ht="15.75" hidden="1" customHeight="1">
      <c r="A60" s="881" t="s">
        <v>674</v>
      </c>
      <c r="B60" s="500" t="str">
        <f t="shared" si="14"/>
        <v xml:space="preserve">JULIO-DE-CASTILHOS </v>
      </c>
      <c r="C60" s="500" t="str">
        <f t="shared" si="11"/>
        <v>A NÃO TEM MAIS POSTOS-99</v>
      </c>
      <c r="D60" s="502"/>
      <c r="E60" s="512"/>
      <c r="F60" s="510"/>
      <c r="G60" s="504"/>
      <c r="H60" s="505"/>
    </row>
    <row r="61" spans="1:8" ht="15.75" customHeight="1">
      <c r="A61" s="881" t="s">
        <v>674</v>
      </c>
      <c r="B61" s="513" t="str">
        <f t="shared" si="14"/>
        <v xml:space="preserve">JULIO-DE-CASTILHOS </v>
      </c>
      <c r="C61" s="513" t="s">
        <v>341</v>
      </c>
      <c r="D61" s="892">
        <f>SUBTOTAL(9,D49:D50)</f>
        <v>4</v>
      </c>
      <c r="E61" s="893">
        <v>4665.43</v>
      </c>
      <c r="F61" s="516"/>
      <c r="G61" s="516"/>
      <c r="H61" s="516">
        <f>SUBTOTAL(9,H49:H50)</f>
        <v>23596</v>
      </c>
    </row>
    <row r="62" spans="1:8" ht="15.75" hidden="1" customHeight="1">
      <c r="A62" s="894" t="s">
        <v>674</v>
      </c>
      <c r="B62" s="894" t="s">
        <v>674</v>
      </c>
      <c r="C62" s="894" t="s">
        <v>674</v>
      </c>
      <c r="D62" s="894" t="s">
        <v>674</v>
      </c>
      <c r="E62" s="894" t="s">
        <v>674</v>
      </c>
      <c r="F62" s="894" t="s">
        <v>674</v>
      </c>
      <c r="G62" s="894" t="s">
        <v>674</v>
      </c>
      <c r="H62" s="894" t="s">
        <v>674</v>
      </c>
    </row>
    <row r="63" spans="1:8" ht="15.75" customHeight="1">
      <c r="A63" s="881" t="s">
        <v>674</v>
      </c>
      <c r="B63" s="500" t="str">
        <f>CAMPUS.CONTRATANTE!D14</f>
        <v xml:space="preserve">PANAMBI </v>
      </c>
      <c r="C63" s="500" t="str">
        <f t="shared" ref="C63:C74" si="15">C49</f>
        <v>2614-25_INTERP.LIBRAS_30hs</v>
      </c>
      <c r="D63" s="502">
        <v>1</v>
      </c>
      <c r="E63" s="895">
        <v>1</v>
      </c>
      <c r="F63" s="896">
        <v>6919.26</v>
      </c>
      <c r="G63" s="504">
        <f t="shared" ref="G63:G64" si="16">F63</f>
        <v>6919.26</v>
      </c>
      <c r="H63" s="505">
        <f t="shared" ref="H63:H64" si="17">G63*D63</f>
        <v>6919.26</v>
      </c>
    </row>
    <row r="64" spans="1:8" ht="15.75" customHeight="1">
      <c r="A64" s="881" t="s">
        <v>674</v>
      </c>
      <c r="B64" s="500" t="str">
        <f t="shared" ref="B64:B75" si="18">B63</f>
        <v xml:space="preserve">PANAMBI </v>
      </c>
      <c r="C64" s="500" t="str">
        <f t="shared" si="15"/>
        <v>2614-25_INTERP.LIBRAS_20hs</v>
      </c>
      <c r="D64" s="890">
        <v>2</v>
      </c>
      <c r="E64" s="897">
        <v>1</v>
      </c>
      <c r="F64" s="898">
        <v>4612.87</v>
      </c>
      <c r="G64" s="504">
        <f t="shared" si="16"/>
        <v>4612.87</v>
      </c>
      <c r="H64" s="505">
        <f t="shared" si="17"/>
        <v>9225.74</v>
      </c>
    </row>
    <row r="65" spans="1:8" ht="15.75" hidden="1" customHeight="1">
      <c r="A65" s="881" t="s">
        <v>674</v>
      </c>
      <c r="B65" s="500" t="str">
        <f t="shared" si="18"/>
        <v xml:space="preserve">PANAMBI </v>
      </c>
      <c r="C65" s="500" t="str">
        <f t="shared" si="15"/>
        <v>A NÃO TEM MAIS POSTOS-00</v>
      </c>
      <c r="D65" s="502"/>
      <c r="E65" s="512"/>
      <c r="F65" s="510"/>
      <c r="G65" s="504"/>
      <c r="H65" s="505"/>
    </row>
    <row r="66" spans="1:8" ht="15.75" hidden="1" customHeight="1">
      <c r="A66" s="881" t="s">
        <v>674</v>
      </c>
      <c r="B66" s="500" t="str">
        <f t="shared" si="18"/>
        <v xml:space="preserve">PANAMBI </v>
      </c>
      <c r="C66" s="500" t="str">
        <f t="shared" si="15"/>
        <v>A NÃO TEM MAIS POSTOS-11</v>
      </c>
      <c r="D66" s="502"/>
      <c r="E66" s="512"/>
      <c r="F66" s="510"/>
      <c r="G66" s="504"/>
      <c r="H66" s="505"/>
    </row>
    <row r="67" spans="1:8" ht="15.75" hidden="1" customHeight="1">
      <c r="A67" s="881" t="s">
        <v>674</v>
      </c>
      <c r="B67" s="500" t="str">
        <f t="shared" si="18"/>
        <v xml:space="preserve">PANAMBI </v>
      </c>
      <c r="C67" s="500" t="str">
        <f t="shared" si="15"/>
        <v>A NÃO TEM MAIS POSTOS-22</v>
      </c>
      <c r="D67" s="502"/>
      <c r="E67" s="512"/>
      <c r="F67" s="510"/>
      <c r="G67" s="504"/>
      <c r="H67" s="505"/>
    </row>
    <row r="68" spans="1:8" ht="15.75" hidden="1" customHeight="1">
      <c r="A68" s="881" t="s">
        <v>674</v>
      </c>
      <c r="B68" s="500" t="str">
        <f t="shared" si="18"/>
        <v xml:space="preserve">PANAMBI </v>
      </c>
      <c r="C68" s="500" t="str">
        <f t="shared" si="15"/>
        <v>A NÃO TEM MAIS POSTOS-33</v>
      </c>
      <c r="D68" s="502"/>
      <c r="E68" s="512"/>
      <c r="F68" s="510"/>
      <c r="G68" s="504"/>
      <c r="H68" s="505"/>
    </row>
    <row r="69" spans="1:8" ht="15.75" hidden="1" customHeight="1">
      <c r="A69" s="881" t="s">
        <v>674</v>
      </c>
      <c r="B69" s="500" t="str">
        <f t="shared" si="18"/>
        <v xml:space="preserve">PANAMBI </v>
      </c>
      <c r="C69" s="500" t="str">
        <f t="shared" si="15"/>
        <v>A NÃO TEM MAIS POSTOS-44</v>
      </c>
      <c r="D69" s="502"/>
      <c r="E69" s="512"/>
      <c r="F69" s="510"/>
      <c r="G69" s="504"/>
      <c r="H69" s="505"/>
    </row>
    <row r="70" spans="1:8" ht="15.75" hidden="1" customHeight="1">
      <c r="A70" s="881" t="s">
        <v>674</v>
      </c>
      <c r="B70" s="500" t="str">
        <f t="shared" si="18"/>
        <v xml:space="preserve">PANAMBI </v>
      </c>
      <c r="C70" s="500" t="str">
        <f t="shared" si="15"/>
        <v>A NÃO TEM MAIS POSTOS-55</v>
      </c>
      <c r="D70" s="502"/>
      <c r="E70" s="512"/>
      <c r="F70" s="510"/>
      <c r="G70" s="504"/>
      <c r="H70" s="505"/>
    </row>
    <row r="71" spans="1:8" ht="15.75" hidden="1" customHeight="1">
      <c r="A71" s="881" t="s">
        <v>674</v>
      </c>
      <c r="B71" s="500" t="str">
        <f t="shared" si="18"/>
        <v xml:space="preserve">PANAMBI </v>
      </c>
      <c r="C71" s="500" t="str">
        <f t="shared" si="15"/>
        <v>A NÃO TEM MAIS POSTOS-66</v>
      </c>
      <c r="D71" s="502"/>
      <c r="E71" s="512"/>
      <c r="F71" s="510"/>
      <c r="G71" s="504"/>
      <c r="H71" s="505"/>
    </row>
    <row r="72" spans="1:8" ht="15.75" hidden="1" customHeight="1">
      <c r="A72" s="881" t="s">
        <v>674</v>
      </c>
      <c r="B72" s="500" t="str">
        <f t="shared" si="18"/>
        <v xml:space="preserve">PANAMBI </v>
      </c>
      <c r="C72" s="500" t="str">
        <f t="shared" si="15"/>
        <v>A NÃO TEM MAIS POSTOS-77</v>
      </c>
      <c r="D72" s="502"/>
      <c r="E72" s="512"/>
      <c r="F72" s="510"/>
      <c r="G72" s="504"/>
      <c r="H72" s="505"/>
    </row>
    <row r="73" spans="1:8" ht="15.75" hidden="1" customHeight="1">
      <c r="A73" s="881" t="s">
        <v>674</v>
      </c>
      <c r="B73" s="500" t="str">
        <f t="shared" si="18"/>
        <v xml:space="preserve">PANAMBI </v>
      </c>
      <c r="C73" s="500" t="str">
        <f t="shared" si="15"/>
        <v>A NÃO TEM MAIS POSTOS-88</v>
      </c>
      <c r="D73" s="502"/>
      <c r="E73" s="512"/>
      <c r="F73" s="510"/>
      <c r="G73" s="504"/>
      <c r="H73" s="505"/>
    </row>
    <row r="74" spans="1:8" ht="15.75" hidden="1" customHeight="1">
      <c r="A74" s="881" t="s">
        <v>674</v>
      </c>
      <c r="B74" s="500" t="str">
        <f t="shared" si="18"/>
        <v xml:space="preserve">PANAMBI </v>
      </c>
      <c r="C74" s="500" t="str">
        <f t="shared" si="15"/>
        <v>A NÃO TEM MAIS POSTOS-99</v>
      </c>
      <c r="D74" s="502"/>
      <c r="E74" s="512"/>
      <c r="F74" s="510"/>
      <c r="G74" s="504"/>
      <c r="H74" s="505"/>
    </row>
    <row r="75" spans="1:8" ht="15.75" customHeight="1">
      <c r="A75" s="881" t="s">
        <v>674</v>
      </c>
      <c r="B75" s="513" t="str">
        <f t="shared" si="18"/>
        <v xml:space="preserve">PANAMBI </v>
      </c>
      <c r="C75" s="513" t="s">
        <v>341</v>
      </c>
      <c r="D75" s="892">
        <f>SUBTOTAL(9,D63:D64)</f>
        <v>3</v>
      </c>
      <c r="E75" s="893">
        <v>4665.43</v>
      </c>
      <c r="F75" s="516"/>
      <c r="G75" s="516"/>
      <c r="H75" s="516">
        <f>SUBTOTAL(9,H63:H64)</f>
        <v>16145</v>
      </c>
    </row>
    <row r="76" spans="1:8" ht="15.75" hidden="1" customHeight="1">
      <c r="A76" s="894" t="s">
        <v>674</v>
      </c>
      <c r="B76" s="894" t="s">
        <v>674</v>
      </c>
      <c r="C76" s="894" t="s">
        <v>674</v>
      </c>
      <c r="D76" s="894" t="s">
        <v>674</v>
      </c>
      <c r="E76" s="894" t="s">
        <v>674</v>
      </c>
      <c r="F76" s="894" t="s">
        <v>674</v>
      </c>
      <c r="G76" s="894" t="s">
        <v>674</v>
      </c>
      <c r="H76" s="894" t="s">
        <v>674</v>
      </c>
    </row>
    <row r="77" spans="1:8" ht="15.75" customHeight="1">
      <c r="A77" s="881" t="s">
        <v>674</v>
      </c>
      <c r="B77" s="500" t="str">
        <f>CAMPUS.CONTRATANTE!D15</f>
        <v>SANTA-MARIA</v>
      </c>
      <c r="C77" s="500" t="str">
        <f t="shared" ref="C77:C88" si="19">C63</f>
        <v>2614-25_INTERP.LIBRAS_30hs</v>
      </c>
      <c r="D77" s="502">
        <v>1</v>
      </c>
      <c r="E77" s="502">
        <v>1</v>
      </c>
      <c r="F77" s="503">
        <v>7078.78</v>
      </c>
      <c r="G77" s="504">
        <f t="shared" ref="G77:G78" si="20">F77</f>
        <v>7078.78</v>
      </c>
      <c r="H77" s="505">
        <f t="shared" ref="H77:H78" si="21">G77*D77</f>
        <v>7078.78</v>
      </c>
    </row>
    <row r="78" spans="1:8" ht="15.75" customHeight="1">
      <c r="A78" s="881" t="s">
        <v>674</v>
      </c>
      <c r="B78" s="500" t="str">
        <f t="shared" ref="B78:B89" si="22">B77</f>
        <v>SANTA-MARIA</v>
      </c>
      <c r="C78" s="500" t="str">
        <f t="shared" si="19"/>
        <v>2614-25_INTERP.LIBRAS_20hs</v>
      </c>
      <c r="D78" s="502">
        <v>1</v>
      </c>
      <c r="E78" s="895">
        <v>1</v>
      </c>
      <c r="F78" s="896">
        <v>4719.22</v>
      </c>
      <c r="G78" s="504">
        <f t="shared" si="20"/>
        <v>4719.22</v>
      </c>
      <c r="H78" s="505">
        <f t="shared" si="21"/>
        <v>4719.22</v>
      </c>
    </row>
    <row r="79" spans="1:8" ht="15.75" hidden="1" customHeight="1">
      <c r="A79" s="881" t="s">
        <v>674</v>
      </c>
      <c r="B79" s="500" t="str">
        <f t="shared" si="22"/>
        <v>SANTA-MARIA</v>
      </c>
      <c r="C79" s="500" t="str">
        <f t="shared" si="19"/>
        <v>A NÃO TEM MAIS POSTOS-00</v>
      </c>
      <c r="D79" s="502"/>
      <c r="E79" s="512"/>
      <c r="F79" s="510"/>
      <c r="G79" s="504"/>
      <c r="H79" s="505"/>
    </row>
    <row r="80" spans="1:8" ht="15.75" hidden="1" customHeight="1">
      <c r="A80" s="881" t="s">
        <v>674</v>
      </c>
      <c r="B80" s="500" t="str">
        <f t="shared" si="22"/>
        <v>SANTA-MARIA</v>
      </c>
      <c r="C80" s="500" t="str">
        <f t="shared" si="19"/>
        <v>A NÃO TEM MAIS POSTOS-11</v>
      </c>
      <c r="D80" s="502"/>
      <c r="E80" s="512"/>
      <c r="F80" s="510"/>
      <c r="G80" s="504"/>
      <c r="H80" s="505"/>
    </row>
    <row r="81" spans="1:8" ht="15.75" hidden="1" customHeight="1">
      <c r="A81" s="881" t="s">
        <v>674</v>
      </c>
      <c r="B81" s="500" t="str">
        <f t="shared" si="22"/>
        <v>SANTA-MARIA</v>
      </c>
      <c r="C81" s="500" t="str">
        <f t="shared" si="19"/>
        <v>A NÃO TEM MAIS POSTOS-22</v>
      </c>
      <c r="D81" s="502"/>
      <c r="E81" s="512"/>
      <c r="F81" s="510"/>
      <c r="G81" s="504"/>
      <c r="H81" s="505"/>
    </row>
    <row r="82" spans="1:8" ht="15.75" hidden="1" customHeight="1">
      <c r="A82" s="881" t="s">
        <v>674</v>
      </c>
      <c r="B82" s="500" t="str">
        <f t="shared" si="22"/>
        <v>SANTA-MARIA</v>
      </c>
      <c r="C82" s="500" t="str">
        <f t="shared" si="19"/>
        <v>A NÃO TEM MAIS POSTOS-33</v>
      </c>
      <c r="D82" s="502"/>
      <c r="E82" s="512"/>
      <c r="F82" s="510"/>
      <c r="G82" s="504"/>
      <c r="H82" s="505"/>
    </row>
    <row r="83" spans="1:8" ht="15.75" hidden="1" customHeight="1">
      <c r="A83" s="881" t="s">
        <v>674</v>
      </c>
      <c r="B83" s="500" t="str">
        <f t="shared" si="22"/>
        <v>SANTA-MARIA</v>
      </c>
      <c r="C83" s="500" t="str">
        <f t="shared" si="19"/>
        <v>A NÃO TEM MAIS POSTOS-44</v>
      </c>
      <c r="D83" s="502"/>
      <c r="E83" s="512"/>
      <c r="F83" s="510"/>
      <c r="G83" s="504"/>
      <c r="H83" s="505"/>
    </row>
    <row r="84" spans="1:8" ht="15.75" hidden="1" customHeight="1">
      <c r="A84" s="881" t="s">
        <v>674</v>
      </c>
      <c r="B84" s="500" t="str">
        <f t="shared" si="22"/>
        <v>SANTA-MARIA</v>
      </c>
      <c r="C84" s="500" t="str">
        <f t="shared" si="19"/>
        <v>A NÃO TEM MAIS POSTOS-55</v>
      </c>
      <c r="D84" s="502"/>
      <c r="E84" s="512"/>
      <c r="F84" s="510"/>
      <c r="G84" s="504"/>
      <c r="H84" s="505"/>
    </row>
    <row r="85" spans="1:8" ht="15.75" hidden="1" customHeight="1">
      <c r="A85" s="881" t="s">
        <v>674</v>
      </c>
      <c r="B85" s="500" t="str">
        <f t="shared" si="22"/>
        <v>SANTA-MARIA</v>
      </c>
      <c r="C85" s="500" t="str">
        <f t="shared" si="19"/>
        <v>A NÃO TEM MAIS POSTOS-66</v>
      </c>
      <c r="D85" s="502"/>
      <c r="E85" s="512"/>
      <c r="F85" s="510"/>
      <c r="G85" s="504"/>
      <c r="H85" s="505"/>
    </row>
    <row r="86" spans="1:8" ht="15.75" hidden="1" customHeight="1">
      <c r="A86" s="881" t="s">
        <v>674</v>
      </c>
      <c r="B86" s="500" t="str">
        <f t="shared" si="22"/>
        <v>SANTA-MARIA</v>
      </c>
      <c r="C86" s="500" t="str">
        <f t="shared" si="19"/>
        <v>A NÃO TEM MAIS POSTOS-77</v>
      </c>
      <c r="D86" s="502"/>
      <c r="E86" s="512"/>
      <c r="F86" s="510"/>
      <c r="G86" s="504"/>
      <c r="H86" s="505"/>
    </row>
    <row r="87" spans="1:8" ht="15.75" hidden="1" customHeight="1">
      <c r="A87" s="881" t="s">
        <v>674</v>
      </c>
      <c r="B87" s="500" t="str">
        <f t="shared" si="22"/>
        <v>SANTA-MARIA</v>
      </c>
      <c r="C87" s="500" t="str">
        <f t="shared" si="19"/>
        <v>A NÃO TEM MAIS POSTOS-88</v>
      </c>
      <c r="D87" s="502"/>
      <c r="E87" s="512"/>
      <c r="F87" s="510"/>
      <c r="G87" s="504"/>
      <c r="H87" s="505"/>
    </row>
    <row r="88" spans="1:8" ht="15.75" hidden="1" customHeight="1">
      <c r="A88" s="881" t="s">
        <v>674</v>
      </c>
      <c r="B88" s="500" t="str">
        <f t="shared" si="22"/>
        <v>SANTA-MARIA</v>
      </c>
      <c r="C88" s="500" t="str">
        <f t="shared" si="19"/>
        <v>A NÃO TEM MAIS POSTOS-99</v>
      </c>
      <c r="D88" s="502"/>
      <c r="E88" s="512"/>
      <c r="F88" s="510"/>
      <c r="G88" s="504"/>
      <c r="H88" s="505"/>
    </row>
    <row r="89" spans="1:8" ht="15.75" customHeight="1">
      <c r="A89" s="881" t="s">
        <v>674</v>
      </c>
      <c r="B89" s="513" t="str">
        <f t="shared" si="22"/>
        <v>SANTA-MARIA</v>
      </c>
      <c r="C89" s="513" t="s">
        <v>341</v>
      </c>
      <c r="D89" s="892">
        <f>SUBTOTAL(9,D77:D78)</f>
        <v>2</v>
      </c>
      <c r="E89" s="893">
        <v>4665.43</v>
      </c>
      <c r="F89" s="516"/>
      <c r="G89" s="516"/>
      <c r="H89" s="516">
        <f>SUBTOTAL(9,H77:H78)</f>
        <v>11798</v>
      </c>
    </row>
    <row r="90" spans="1:8" ht="15.75" hidden="1" customHeight="1">
      <c r="A90" s="894" t="s">
        <v>674</v>
      </c>
      <c r="B90" s="894" t="s">
        <v>674</v>
      </c>
      <c r="C90" s="894" t="s">
        <v>674</v>
      </c>
      <c r="D90" s="894" t="s">
        <v>674</v>
      </c>
      <c r="E90" s="894" t="s">
        <v>674</v>
      </c>
      <c r="F90" s="894" t="s">
        <v>674</v>
      </c>
      <c r="G90" s="894" t="s">
        <v>674</v>
      </c>
      <c r="H90" s="894" t="s">
        <v>674</v>
      </c>
    </row>
    <row r="91" spans="1:8" ht="15.75" customHeight="1">
      <c r="A91" s="881" t="s">
        <v>674</v>
      </c>
      <c r="B91" s="500" t="str">
        <f>CAMPUS.CONTRATANTE!D16</f>
        <v xml:space="preserve">SANTA-ROSA </v>
      </c>
      <c r="C91" s="500" t="str">
        <f t="shared" ref="C91:C102" si="23">C77</f>
        <v>2614-25_INTERP.LIBRAS_30hs</v>
      </c>
      <c r="D91" s="890">
        <v>0</v>
      </c>
      <c r="E91" s="895">
        <v>1</v>
      </c>
      <c r="F91" s="896">
        <v>6998.1100000000006</v>
      </c>
      <c r="G91" s="504">
        <f t="shared" ref="G91:G92" si="24">F91</f>
        <v>6998.1100000000006</v>
      </c>
      <c r="H91" s="505">
        <f t="shared" ref="H91:H92" si="25">G91*D91</f>
        <v>0</v>
      </c>
    </row>
    <row r="92" spans="1:8" ht="15.75" customHeight="1">
      <c r="A92" s="881" t="s">
        <v>674</v>
      </c>
      <c r="B92" s="500" t="str">
        <f t="shared" ref="B92:B103" si="26">B91</f>
        <v xml:space="preserve">SANTA-ROSA </v>
      </c>
      <c r="C92" s="500" t="str">
        <f t="shared" si="23"/>
        <v>2614-25_INTERP.LIBRAS_20hs</v>
      </c>
      <c r="D92" s="890">
        <v>10</v>
      </c>
      <c r="E92" s="897">
        <v>1</v>
      </c>
      <c r="F92" s="898">
        <v>4665.43</v>
      </c>
      <c r="G92" s="504">
        <f t="shared" si="24"/>
        <v>4665.43</v>
      </c>
      <c r="H92" s="505">
        <f t="shared" si="25"/>
        <v>46654.3</v>
      </c>
    </row>
    <row r="93" spans="1:8" ht="15.75" hidden="1" customHeight="1">
      <c r="A93" s="881" t="s">
        <v>674</v>
      </c>
      <c r="B93" s="500" t="str">
        <f t="shared" si="26"/>
        <v xml:space="preserve">SANTA-ROSA </v>
      </c>
      <c r="C93" s="500" t="str">
        <f t="shared" si="23"/>
        <v>A NÃO TEM MAIS POSTOS-00</v>
      </c>
      <c r="D93" s="502"/>
      <c r="E93" s="512"/>
      <c r="F93" s="510"/>
      <c r="G93" s="504"/>
      <c r="H93" s="505"/>
    </row>
    <row r="94" spans="1:8" ht="15.75" hidden="1" customHeight="1">
      <c r="A94" s="881" t="s">
        <v>674</v>
      </c>
      <c r="B94" s="500" t="str">
        <f t="shared" si="26"/>
        <v xml:space="preserve">SANTA-ROSA </v>
      </c>
      <c r="C94" s="500" t="str">
        <f t="shared" si="23"/>
        <v>A NÃO TEM MAIS POSTOS-11</v>
      </c>
      <c r="D94" s="502"/>
      <c r="E94" s="512"/>
      <c r="F94" s="510"/>
      <c r="G94" s="504"/>
      <c r="H94" s="505"/>
    </row>
    <row r="95" spans="1:8" ht="15.75" hidden="1" customHeight="1">
      <c r="A95" s="881" t="s">
        <v>674</v>
      </c>
      <c r="B95" s="500" t="str">
        <f t="shared" si="26"/>
        <v xml:space="preserve">SANTA-ROSA </v>
      </c>
      <c r="C95" s="500" t="str">
        <f t="shared" si="23"/>
        <v>A NÃO TEM MAIS POSTOS-22</v>
      </c>
      <c r="D95" s="502"/>
      <c r="E95" s="512"/>
      <c r="F95" s="510"/>
      <c r="G95" s="504"/>
      <c r="H95" s="505"/>
    </row>
    <row r="96" spans="1:8" ht="15.75" hidden="1" customHeight="1">
      <c r="A96" s="881" t="s">
        <v>674</v>
      </c>
      <c r="B96" s="500" t="str">
        <f t="shared" si="26"/>
        <v xml:space="preserve">SANTA-ROSA </v>
      </c>
      <c r="C96" s="500" t="str">
        <f t="shared" si="23"/>
        <v>A NÃO TEM MAIS POSTOS-33</v>
      </c>
      <c r="D96" s="502"/>
      <c r="E96" s="512"/>
      <c r="F96" s="510"/>
      <c r="G96" s="504"/>
      <c r="H96" s="505"/>
    </row>
    <row r="97" spans="1:8" ht="15.75" hidden="1" customHeight="1">
      <c r="A97" s="881" t="s">
        <v>674</v>
      </c>
      <c r="B97" s="500" t="str">
        <f t="shared" si="26"/>
        <v xml:space="preserve">SANTA-ROSA </v>
      </c>
      <c r="C97" s="500" t="str">
        <f t="shared" si="23"/>
        <v>A NÃO TEM MAIS POSTOS-44</v>
      </c>
      <c r="D97" s="502"/>
      <c r="E97" s="512"/>
      <c r="F97" s="510"/>
      <c r="G97" s="504"/>
      <c r="H97" s="505"/>
    </row>
    <row r="98" spans="1:8" ht="15.75" hidden="1" customHeight="1">
      <c r="A98" s="881" t="s">
        <v>674</v>
      </c>
      <c r="B98" s="500" t="str">
        <f t="shared" si="26"/>
        <v xml:space="preserve">SANTA-ROSA </v>
      </c>
      <c r="C98" s="500" t="str">
        <f t="shared" si="23"/>
        <v>A NÃO TEM MAIS POSTOS-55</v>
      </c>
      <c r="D98" s="502"/>
      <c r="E98" s="512"/>
      <c r="F98" s="510"/>
      <c r="G98" s="504"/>
      <c r="H98" s="505"/>
    </row>
    <row r="99" spans="1:8" ht="15.75" hidden="1" customHeight="1">
      <c r="A99" s="881" t="s">
        <v>674</v>
      </c>
      <c r="B99" s="500" t="str">
        <f t="shared" si="26"/>
        <v xml:space="preserve">SANTA-ROSA </v>
      </c>
      <c r="C99" s="500" t="str">
        <f t="shared" si="23"/>
        <v>A NÃO TEM MAIS POSTOS-66</v>
      </c>
      <c r="D99" s="502"/>
      <c r="E99" s="512"/>
      <c r="F99" s="510"/>
      <c r="G99" s="504"/>
      <c r="H99" s="505"/>
    </row>
    <row r="100" spans="1:8" ht="15.75" hidden="1" customHeight="1">
      <c r="A100" s="881" t="s">
        <v>674</v>
      </c>
      <c r="B100" s="500" t="str">
        <f t="shared" si="26"/>
        <v xml:space="preserve">SANTA-ROSA </v>
      </c>
      <c r="C100" s="500" t="str">
        <f t="shared" si="23"/>
        <v>A NÃO TEM MAIS POSTOS-77</v>
      </c>
      <c r="D100" s="502"/>
      <c r="E100" s="512"/>
      <c r="F100" s="510"/>
      <c r="G100" s="504"/>
      <c r="H100" s="505"/>
    </row>
    <row r="101" spans="1:8" ht="15.75" hidden="1" customHeight="1">
      <c r="A101" s="881" t="s">
        <v>674</v>
      </c>
      <c r="B101" s="500" t="str">
        <f t="shared" si="26"/>
        <v xml:space="preserve">SANTA-ROSA </v>
      </c>
      <c r="C101" s="500" t="str">
        <f t="shared" si="23"/>
        <v>A NÃO TEM MAIS POSTOS-88</v>
      </c>
      <c r="D101" s="502"/>
      <c r="E101" s="512"/>
      <c r="F101" s="510"/>
      <c r="G101" s="504"/>
      <c r="H101" s="505"/>
    </row>
    <row r="102" spans="1:8" ht="15.75" hidden="1" customHeight="1">
      <c r="A102" s="881" t="s">
        <v>674</v>
      </c>
      <c r="B102" s="500" t="str">
        <f t="shared" si="26"/>
        <v xml:space="preserve">SANTA-ROSA </v>
      </c>
      <c r="C102" s="500" t="str">
        <f t="shared" si="23"/>
        <v>A NÃO TEM MAIS POSTOS-99</v>
      </c>
      <c r="D102" s="502"/>
      <c r="E102" s="512"/>
      <c r="F102" s="510"/>
      <c r="G102" s="504"/>
      <c r="H102" s="505"/>
    </row>
    <row r="103" spans="1:8" ht="15.75" customHeight="1">
      <c r="A103" s="881" t="s">
        <v>674</v>
      </c>
      <c r="B103" s="513" t="str">
        <f t="shared" si="26"/>
        <v xml:space="preserve">SANTA-ROSA </v>
      </c>
      <c r="C103" s="513" t="s">
        <v>341</v>
      </c>
      <c r="D103" s="892">
        <f>SUBTOTAL(9,D91:D92)</f>
        <v>10</v>
      </c>
      <c r="E103" s="893">
        <v>4665.43</v>
      </c>
      <c r="F103" s="516"/>
      <c r="G103" s="516"/>
      <c r="H103" s="516">
        <f>SUBTOTAL(9,H91:H92)</f>
        <v>46654.3</v>
      </c>
    </row>
    <row r="104" spans="1:8" ht="15.75" hidden="1" customHeight="1">
      <c r="A104" s="894" t="s">
        <v>674</v>
      </c>
      <c r="B104" s="894" t="s">
        <v>674</v>
      </c>
      <c r="C104" s="894" t="s">
        <v>674</v>
      </c>
      <c r="D104" s="894" t="s">
        <v>674</v>
      </c>
      <c r="E104" s="894" t="s">
        <v>674</v>
      </c>
      <c r="F104" s="894" t="s">
        <v>674</v>
      </c>
      <c r="G104" s="894" t="s">
        <v>674</v>
      </c>
      <c r="H104" s="894" t="s">
        <v>674</v>
      </c>
    </row>
    <row r="105" spans="1:8" ht="15.75" customHeight="1">
      <c r="A105" s="881" t="s">
        <v>674</v>
      </c>
      <c r="B105" s="500" t="str">
        <f>CAMPUS.CONTRATANTE!D17</f>
        <v xml:space="preserve">SANTO-ANGELO </v>
      </c>
      <c r="C105" s="500" t="str">
        <f t="shared" ref="C105:C116" si="27">C91</f>
        <v>2614-25_INTERP.LIBRAS_30hs</v>
      </c>
      <c r="D105" s="890">
        <v>2</v>
      </c>
      <c r="E105" s="895">
        <v>1</v>
      </c>
      <c r="F105" s="896">
        <v>6998.1100000000006</v>
      </c>
      <c r="G105" s="504">
        <f t="shared" ref="G105:G106" si="28">F105</f>
        <v>6998.1100000000006</v>
      </c>
      <c r="H105" s="505">
        <f t="shared" ref="H105:H106" si="29">G105*D105</f>
        <v>13996.220000000001</v>
      </c>
    </row>
    <row r="106" spans="1:8" ht="15.75" customHeight="1">
      <c r="A106" s="881" t="s">
        <v>674</v>
      </c>
      <c r="B106" s="500" t="str">
        <f t="shared" ref="B106:B117" si="30">B105</f>
        <v xml:space="preserve">SANTO-ANGELO </v>
      </c>
      <c r="C106" s="500" t="str">
        <f t="shared" si="27"/>
        <v>2614-25_INTERP.LIBRAS_20hs</v>
      </c>
      <c r="D106" s="890">
        <v>3</v>
      </c>
      <c r="E106" s="897">
        <v>1</v>
      </c>
      <c r="F106" s="898">
        <v>4665.43</v>
      </c>
      <c r="G106" s="504">
        <f t="shared" si="28"/>
        <v>4665.43</v>
      </c>
      <c r="H106" s="505">
        <f t="shared" si="29"/>
        <v>13996.29</v>
      </c>
    </row>
    <row r="107" spans="1:8" ht="15.75" hidden="1" customHeight="1">
      <c r="A107" s="881" t="s">
        <v>674</v>
      </c>
      <c r="B107" s="500" t="str">
        <f t="shared" si="30"/>
        <v xml:space="preserve">SANTO-ANGELO </v>
      </c>
      <c r="C107" s="500" t="str">
        <f t="shared" si="27"/>
        <v>A NÃO TEM MAIS POSTOS-00</v>
      </c>
      <c r="D107" s="502"/>
      <c r="E107" s="512"/>
      <c r="F107" s="510"/>
      <c r="G107" s="504"/>
      <c r="H107" s="505"/>
    </row>
    <row r="108" spans="1:8" ht="15.75" hidden="1" customHeight="1">
      <c r="A108" s="881" t="s">
        <v>674</v>
      </c>
      <c r="B108" s="500" t="str">
        <f t="shared" si="30"/>
        <v xml:space="preserve">SANTO-ANGELO </v>
      </c>
      <c r="C108" s="500" t="str">
        <f t="shared" si="27"/>
        <v>A NÃO TEM MAIS POSTOS-11</v>
      </c>
      <c r="D108" s="502"/>
      <c r="E108" s="512"/>
      <c r="F108" s="510"/>
      <c r="G108" s="504"/>
      <c r="H108" s="505"/>
    </row>
    <row r="109" spans="1:8" ht="15.75" hidden="1" customHeight="1">
      <c r="A109" s="881" t="s">
        <v>674</v>
      </c>
      <c r="B109" s="500" t="str">
        <f t="shared" si="30"/>
        <v xml:space="preserve">SANTO-ANGELO </v>
      </c>
      <c r="C109" s="500" t="str">
        <f t="shared" si="27"/>
        <v>A NÃO TEM MAIS POSTOS-22</v>
      </c>
      <c r="D109" s="502"/>
      <c r="E109" s="512"/>
      <c r="F109" s="510"/>
      <c r="G109" s="504"/>
      <c r="H109" s="505"/>
    </row>
    <row r="110" spans="1:8" ht="15.75" hidden="1" customHeight="1">
      <c r="A110" s="881" t="s">
        <v>674</v>
      </c>
      <c r="B110" s="500" t="str">
        <f t="shared" si="30"/>
        <v xml:space="preserve">SANTO-ANGELO </v>
      </c>
      <c r="C110" s="500" t="str">
        <f t="shared" si="27"/>
        <v>A NÃO TEM MAIS POSTOS-33</v>
      </c>
      <c r="D110" s="502"/>
      <c r="E110" s="512"/>
      <c r="F110" s="510"/>
      <c r="G110" s="504"/>
      <c r="H110" s="505"/>
    </row>
    <row r="111" spans="1:8" ht="15.75" hidden="1" customHeight="1">
      <c r="A111" s="881" t="s">
        <v>674</v>
      </c>
      <c r="B111" s="500" t="str">
        <f t="shared" si="30"/>
        <v xml:space="preserve">SANTO-ANGELO </v>
      </c>
      <c r="C111" s="500" t="str">
        <f t="shared" si="27"/>
        <v>A NÃO TEM MAIS POSTOS-44</v>
      </c>
      <c r="D111" s="502"/>
      <c r="E111" s="512"/>
      <c r="F111" s="510"/>
      <c r="G111" s="504"/>
      <c r="H111" s="505"/>
    </row>
    <row r="112" spans="1:8" ht="15.75" hidden="1" customHeight="1">
      <c r="A112" s="881" t="s">
        <v>674</v>
      </c>
      <c r="B112" s="500" t="str">
        <f t="shared" si="30"/>
        <v xml:space="preserve">SANTO-ANGELO </v>
      </c>
      <c r="C112" s="500" t="str">
        <f t="shared" si="27"/>
        <v>A NÃO TEM MAIS POSTOS-55</v>
      </c>
      <c r="D112" s="502"/>
      <c r="E112" s="512"/>
      <c r="F112" s="510"/>
      <c r="G112" s="504"/>
      <c r="H112" s="505"/>
    </row>
    <row r="113" spans="1:8" ht="15.75" hidden="1" customHeight="1">
      <c r="A113" s="881" t="s">
        <v>674</v>
      </c>
      <c r="B113" s="500" t="str">
        <f t="shared" si="30"/>
        <v xml:space="preserve">SANTO-ANGELO </v>
      </c>
      <c r="C113" s="500" t="str">
        <f t="shared" si="27"/>
        <v>A NÃO TEM MAIS POSTOS-66</v>
      </c>
      <c r="D113" s="502"/>
      <c r="E113" s="512"/>
      <c r="F113" s="510"/>
      <c r="G113" s="504"/>
      <c r="H113" s="505"/>
    </row>
    <row r="114" spans="1:8" ht="15.75" hidden="1" customHeight="1">
      <c r="A114" s="881" t="s">
        <v>674</v>
      </c>
      <c r="B114" s="500" t="str">
        <f t="shared" si="30"/>
        <v xml:space="preserve">SANTO-ANGELO </v>
      </c>
      <c r="C114" s="500" t="str">
        <f t="shared" si="27"/>
        <v>A NÃO TEM MAIS POSTOS-77</v>
      </c>
      <c r="D114" s="502"/>
      <c r="E114" s="512"/>
      <c r="F114" s="510"/>
      <c r="G114" s="504"/>
      <c r="H114" s="505"/>
    </row>
    <row r="115" spans="1:8" ht="15.75" hidden="1" customHeight="1">
      <c r="A115" s="881" t="s">
        <v>674</v>
      </c>
      <c r="B115" s="500" t="str">
        <f t="shared" si="30"/>
        <v xml:space="preserve">SANTO-ANGELO </v>
      </c>
      <c r="C115" s="500" t="str">
        <f t="shared" si="27"/>
        <v>A NÃO TEM MAIS POSTOS-88</v>
      </c>
      <c r="D115" s="502"/>
      <c r="E115" s="512"/>
      <c r="F115" s="510"/>
      <c r="G115" s="504"/>
      <c r="H115" s="505"/>
    </row>
    <row r="116" spans="1:8" ht="15.75" hidden="1" customHeight="1">
      <c r="A116" s="881" t="s">
        <v>674</v>
      </c>
      <c r="B116" s="500" t="str">
        <f t="shared" si="30"/>
        <v xml:space="preserve">SANTO-ANGELO </v>
      </c>
      <c r="C116" s="500" t="str">
        <f t="shared" si="27"/>
        <v>A NÃO TEM MAIS POSTOS-99</v>
      </c>
      <c r="D116" s="502"/>
      <c r="E116" s="512"/>
      <c r="F116" s="510"/>
      <c r="G116" s="504"/>
      <c r="H116" s="505"/>
    </row>
    <row r="117" spans="1:8" ht="15.75" customHeight="1">
      <c r="A117" s="881" t="s">
        <v>674</v>
      </c>
      <c r="B117" s="513" t="str">
        <f t="shared" si="30"/>
        <v xml:space="preserve">SANTO-ANGELO </v>
      </c>
      <c r="C117" s="513" t="s">
        <v>341</v>
      </c>
      <c r="D117" s="892">
        <f>SUBTOTAL(9,D105:D106)</f>
        <v>5</v>
      </c>
      <c r="E117" s="893">
        <v>4665.43</v>
      </c>
      <c r="F117" s="516"/>
      <c r="G117" s="516"/>
      <c r="H117" s="516">
        <f>SUBTOTAL(9,H105:H106)</f>
        <v>27992.510000000002</v>
      </c>
    </row>
    <row r="118" spans="1:8" ht="15.75" hidden="1" customHeight="1">
      <c r="A118" s="894" t="s">
        <v>674</v>
      </c>
      <c r="B118" s="894" t="s">
        <v>674</v>
      </c>
      <c r="C118" s="894" t="s">
        <v>674</v>
      </c>
      <c r="D118" s="894" t="s">
        <v>674</v>
      </c>
      <c r="E118" s="894" t="s">
        <v>674</v>
      </c>
      <c r="F118" s="894" t="s">
        <v>674</v>
      </c>
      <c r="G118" s="894" t="s">
        <v>674</v>
      </c>
      <c r="H118" s="894" t="s">
        <v>674</v>
      </c>
    </row>
    <row r="119" spans="1:8" ht="15.75" customHeight="1">
      <c r="A119" s="881" t="s">
        <v>674</v>
      </c>
      <c r="B119" s="500" t="str">
        <f>CAMPUS.CONTRATANTE!D18</f>
        <v xml:space="preserve">SANTO-AUGUSTO </v>
      </c>
      <c r="C119" s="500" t="str">
        <f t="shared" ref="C119:C130" si="31">C105</f>
        <v>2614-25_INTERP.LIBRAS_30hs</v>
      </c>
      <c r="D119" s="890">
        <v>2</v>
      </c>
      <c r="E119" s="895">
        <v>1</v>
      </c>
      <c r="F119" s="896">
        <v>6998.1100000000006</v>
      </c>
      <c r="G119" s="504">
        <f t="shared" ref="G119:G120" si="32">F119</f>
        <v>6998.1100000000006</v>
      </c>
      <c r="H119" s="505">
        <f t="shared" ref="H119:H120" si="33">G119*D119</f>
        <v>13996.220000000001</v>
      </c>
    </row>
    <row r="120" spans="1:8" ht="15.75" customHeight="1">
      <c r="A120" s="881" t="s">
        <v>674</v>
      </c>
      <c r="B120" s="500" t="str">
        <f t="shared" ref="B120:B131" si="34">B119</f>
        <v xml:space="preserve">SANTO-AUGUSTO </v>
      </c>
      <c r="C120" s="500" t="str">
        <f t="shared" si="31"/>
        <v>2614-25_INTERP.LIBRAS_20hs</v>
      </c>
      <c r="D120" s="890">
        <v>0</v>
      </c>
      <c r="E120" s="897">
        <v>1</v>
      </c>
      <c r="F120" s="898">
        <v>4665.43</v>
      </c>
      <c r="G120" s="504">
        <f t="shared" si="32"/>
        <v>4665.43</v>
      </c>
      <c r="H120" s="505">
        <f t="shared" si="33"/>
        <v>0</v>
      </c>
    </row>
    <row r="121" spans="1:8" ht="15.75" hidden="1" customHeight="1">
      <c r="A121" s="881" t="s">
        <v>674</v>
      </c>
      <c r="B121" s="500" t="str">
        <f t="shared" si="34"/>
        <v xml:space="preserve">SANTO-AUGUSTO </v>
      </c>
      <c r="C121" s="500" t="str">
        <f t="shared" si="31"/>
        <v>A NÃO TEM MAIS POSTOS-00</v>
      </c>
      <c r="D121" s="502"/>
      <c r="E121" s="512"/>
      <c r="F121" s="510"/>
      <c r="G121" s="504"/>
      <c r="H121" s="505"/>
    </row>
    <row r="122" spans="1:8" ht="15.75" hidden="1" customHeight="1">
      <c r="A122" s="881" t="s">
        <v>674</v>
      </c>
      <c r="B122" s="500" t="str">
        <f t="shared" si="34"/>
        <v xml:space="preserve">SANTO-AUGUSTO </v>
      </c>
      <c r="C122" s="500" t="str">
        <f t="shared" si="31"/>
        <v>A NÃO TEM MAIS POSTOS-11</v>
      </c>
      <c r="D122" s="502"/>
      <c r="E122" s="512"/>
      <c r="F122" s="510"/>
      <c r="G122" s="504"/>
      <c r="H122" s="505"/>
    </row>
    <row r="123" spans="1:8" ht="15.75" hidden="1" customHeight="1">
      <c r="A123" s="881" t="s">
        <v>674</v>
      </c>
      <c r="B123" s="500" t="str">
        <f t="shared" si="34"/>
        <v xml:space="preserve">SANTO-AUGUSTO </v>
      </c>
      <c r="C123" s="500" t="str">
        <f t="shared" si="31"/>
        <v>A NÃO TEM MAIS POSTOS-22</v>
      </c>
      <c r="D123" s="502"/>
      <c r="E123" s="512"/>
      <c r="F123" s="510"/>
      <c r="G123" s="504"/>
      <c r="H123" s="505"/>
    </row>
    <row r="124" spans="1:8" ht="15.75" hidden="1" customHeight="1">
      <c r="A124" s="881" t="s">
        <v>674</v>
      </c>
      <c r="B124" s="500" t="str">
        <f t="shared" si="34"/>
        <v xml:space="preserve">SANTO-AUGUSTO </v>
      </c>
      <c r="C124" s="500" t="str">
        <f t="shared" si="31"/>
        <v>A NÃO TEM MAIS POSTOS-33</v>
      </c>
      <c r="D124" s="502"/>
      <c r="E124" s="512"/>
      <c r="F124" s="510"/>
      <c r="G124" s="504"/>
      <c r="H124" s="505"/>
    </row>
    <row r="125" spans="1:8" ht="15.75" hidden="1" customHeight="1">
      <c r="A125" s="881" t="s">
        <v>674</v>
      </c>
      <c r="B125" s="500" t="str">
        <f t="shared" si="34"/>
        <v xml:space="preserve">SANTO-AUGUSTO </v>
      </c>
      <c r="C125" s="500" t="str">
        <f t="shared" si="31"/>
        <v>A NÃO TEM MAIS POSTOS-44</v>
      </c>
      <c r="D125" s="502"/>
      <c r="E125" s="512"/>
      <c r="F125" s="510"/>
      <c r="G125" s="504"/>
      <c r="H125" s="505"/>
    </row>
    <row r="126" spans="1:8" ht="15.75" hidden="1" customHeight="1">
      <c r="A126" s="881" t="s">
        <v>674</v>
      </c>
      <c r="B126" s="500" t="str">
        <f t="shared" si="34"/>
        <v xml:space="preserve">SANTO-AUGUSTO </v>
      </c>
      <c r="C126" s="500" t="str">
        <f t="shared" si="31"/>
        <v>A NÃO TEM MAIS POSTOS-55</v>
      </c>
      <c r="D126" s="502"/>
      <c r="E126" s="512"/>
      <c r="F126" s="510"/>
      <c r="G126" s="504"/>
      <c r="H126" s="505"/>
    </row>
    <row r="127" spans="1:8" ht="15.75" hidden="1" customHeight="1">
      <c r="A127" s="881" t="s">
        <v>674</v>
      </c>
      <c r="B127" s="500" t="str">
        <f t="shared" si="34"/>
        <v xml:space="preserve">SANTO-AUGUSTO </v>
      </c>
      <c r="C127" s="500" t="str">
        <f t="shared" si="31"/>
        <v>A NÃO TEM MAIS POSTOS-66</v>
      </c>
      <c r="D127" s="502"/>
      <c r="E127" s="512"/>
      <c r="F127" s="510"/>
      <c r="G127" s="504"/>
      <c r="H127" s="505"/>
    </row>
    <row r="128" spans="1:8" ht="15.75" hidden="1" customHeight="1">
      <c r="A128" s="881" t="s">
        <v>674</v>
      </c>
      <c r="B128" s="500" t="str">
        <f t="shared" si="34"/>
        <v xml:space="preserve">SANTO-AUGUSTO </v>
      </c>
      <c r="C128" s="500" t="str">
        <f t="shared" si="31"/>
        <v>A NÃO TEM MAIS POSTOS-77</v>
      </c>
      <c r="D128" s="502"/>
      <c r="E128" s="512"/>
      <c r="F128" s="510"/>
      <c r="G128" s="504"/>
      <c r="H128" s="505"/>
    </row>
    <row r="129" spans="1:8" ht="15.75" hidden="1" customHeight="1">
      <c r="A129" s="881" t="s">
        <v>674</v>
      </c>
      <c r="B129" s="500" t="str">
        <f t="shared" si="34"/>
        <v xml:space="preserve">SANTO-AUGUSTO </v>
      </c>
      <c r="C129" s="500" t="str">
        <f t="shared" si="31"/>
        <v>A NÃO TEM MAIS POSTOS-88</v>
      </c>
      <c r="D129" s="502"/>
      <c r="E129" s="512"/>
      <c r="F129" s="510"/>
      <c r="G129" s="504"/>
      <c r="H129" s="505"/>
    </row>
    <row r="130" spans="1:8" ht="15.75" hidden="1" customHeight="1">
      <c r="A130" s="881" t="s">
        <v>674</v>
      </c>
      <c r="B130" s="500" t="str">
        <f t="shared" si="34"/>
        <v xml:space="preserve">SANTO-AUGUSTO </v>
      </c>
      <c r="C130" s="500" t="str">
        <f t="shared" si="31"/>
        <v>A NÃO TEM MAIS POSTOS-99</v>
      </c>
      <c r="D130" s="502"/>
      <c r="E130" s="512"/>
      <c r="F130" s="510"/>
      <c r="G130" s="504"/>
      <c r="H130" s="505"/>
    </row>
    <row r="131" spans="1:8" ht="15.75" customHeight="1">
      <c r="A131" s="881" t="s">
        <v>674</v>
      </c>
      <c r="B131" s="513" t="str">
        <f t="shared" si="34"/>
        <v xml:space="preserve">SANTO-AUGUSTO </v>
      </c>
      <c r="C131" s="513" t="s">
        <v>341</v>
      </c>
      <c r="D131" s="892">
        <f>SUBTOTAL(9,D119:D120)</f>
        <v>2</v>
      </c>
      <c r="E131" s="893">
        <v>4665.43</v>
      </c>
      <c r="F131" s="516"/>
      <c r="G131" s="516"/>
      <c r="H131" s="516">
        <f>SUBTOTAL(9,H119:H120)</f>
        <v>13996.220000000001</v>
      </c>
    </row>
    <row r="132" spans="1:8" ht="15.75" hidden="1" customHeight="1">
      <c r="A132" s="894" t="s">
        <v>674</v>
      </c>
      <c r="B132" s="894" t="s">
        <v>674</v>
      </c>
      <c r="C132" s="894" t="s">
        <v>674</v>
      </c>
      <c r="D132" s="894" t="s">
        <v>674</v>
      </c>
      <c r="E132" s="894" t="s">
        <v>674</v>
      </c>
      <c r="F132" s="894" t="s">
        <v>674</v>
      </c>
      <c r="G132" s="894" t="s">
        <v>674</v>
      </c>
      <c r="H132" s="894" t="s">
        <v>674</v>
      </c>
    </row>
    <row r="133" spans="1:8" ht="15.75" customHeight="1">
      <c r="A133" s="881" t="s">
        <v>674</v>
      </c>
      <c r="B133" s="500" t="str">
        <f>CAMPUS.CONTRATANTE!D19</f>
        <v xml:space="preserve">SAO-BORJA </v>
      </c>
      <c r="C133" s="500" t="str">
        <f t="shared" ref="C133:C144" si="35">C119</f>
        <v>2614-25_INTERP.LIBRAS_30hs</v>
      </c>
      <c r="D133" s="890">
        <v>6</v>
      </c>
      <c r="E133" s="895">
        <v>1</v>
      </c>
      <c r="F133" s="896">
        <v>6998.1100000000006</v>
      </c>
      <c r="G133" s="504">
        <f t="shared" ref="G133:G134" si="36">F133</f>
        <v>6998.1100000000006</v>
      </c>
      <c r="H133" s="505">
        <f t="shared" ref="H133:H134" si="37">G133*D133</f>
        <v>41988.66</v>
      </c>
    </row>
    <row r="134" spans="1:8" ht="15.75" customHeight="1">
      <c r="A134" s="881" t="s">
        <v>674</v>
      </c>
      <c r="B134" s="500" t="str">
        <f t="shared" ref="B134:B145" si="38">B133</f>
        <v xml:space="preserve">SAO-BORJA </v>
      </c>
      <c r="C134" s="500" t="str">
        <f t="shared" si="35"/>
        <v>2614-25_INTERP.LIBRAS_20hs</v>
      </c>
      <c r="D134" s="890">
        <v>2</v>
      </c>
      <c r="E134" s="897">
        <v>1</v>
      </c>
      <c r="F134" s="898">
        <v>4665.43</v>
      </c>
      <c r="G134" s="504">
        <f t="shared" si="36"/>
        <v>4665.43</v>
      </c>
      <c r="H134" s="505">
        <f t="shared" si="37"/>
        <v>9330.86</v>
      </c>
    </row>
    <row r="135" spans="1:8" ht="15.75" hidden="1" customHeight="1">
      <c r="A135" s="881" t="s">
        <v>674</v>
      </c>
      <c r="B135" s="500" t="str">
        <f t="shared" si="38"/>
        <v xml:space="preserve">SAO-BORJA </v>
      </c>
      <c r="C135" s="500" t="str">
        <f t="shared" si="35"/>
        <v>A NÃO TEM MAIS POSTOS-00</v>
      </c>
      <c r="D135" s="502"/>
      <c r="E135" s="512"/>
      <c r="F135" s="510"/>
      <c r="G135" s="504"/>
      <c r="H135" s="505"/>
    </row>
    <row r="136" spans="1:8" ht="15.75" hidden="1" customHeight="1">
      <c r="A136" s="881" t="s">
        <v>674</v>
      </c>
      <c r="B136" s="500" t="str">
        <f t="shared" si="38"/>
        <v xml:space="preserve">SAO-BORJA </v>
      </c>
      <c r="C136" s="500" t="str">
        <f t="shared" si="35"/>
        <v>A NÃO TEM MAIS POSTOS-11</v>
      </c>
      <c r="D136" s="502"/>
      <c r="E136" s="512"/>
      <c r="F136" s="510"/>
      <c r="G136" s="504"/>
      <c r="H136" s="505"/>
    </row>
    <row r="137" spans="1:8" ht="15.75" hidden="1" customHeight="1">
      <c r="A137" s="881" t="s">
        <v>674</v>
      </c>
      <c r="B137" s="500" t="str">
        <f t="shared" si="38"/>
        <v xml:space="preserve">SAO-BORJA </v>
      </c>
      <c r="C137" s="500" t="str">
        <f t="shared" si="35"/>
        <v>A NÃO TEM MAIS POSTOS-22</v>
      </c>
      <c r="D137" s="502"/>
      <c r="E137" s="512"/>
      <c r="F137" s="510"/>
      <c r="G137" s="504"/>
      <c r="H137" s="505"/>
    </row>
    <row r="138" spans="1:8" ht="15.75" hidden="1" customHeight="1">
      <c r="A138" s="881" t="s">
        <v>674</v>
      </c>
      <c r="B138" s="500" t="str">
        <f t="shared" si="38"/>
        <v xml:space="preserve">SAO-BORJA </v>
      </c>
      <c r="C138" s="500" t="str">
        <f t="shared" si="35"/>
        <v>A NÃO TEM MAIS POSTOS-33</v>
      </c>
      <c r="D138" s="502"/>
      <c r="E138" s="512"/>
      <c r="F138" s="510"/>
      <c r="G138" s="504"/>
      <c r="H138" s="505"/>
    </row>
    <row r="139" spans="1:8" ht="15.75" hidden="1" customHeight="1">
      <c r="A139" s="881" t="s">
        <v>674</v>
      </c>
      <c r="B139" s="500" t="str">
        <f t="shared" si="38"/>
        <v xml:space="preserve">SAO-BORJA </v>
      </c>
      <c r="C139" s="500" t="str">
        <f t="shared" si="35"/>
        <v>A NÃO TEM MAIS POSTOS-44</v>
      </c>
      <c r="D139" s="502"/>
      <c r="E139" s="512"/>
      <c r="F139" s="510"/>
      <c r="G139" s="504"/>
      <c r="H139" s="505"/>
    </row>
    <row r="140" spans="1:8" ht="15.75" hidden="1" customHeight="1">
      <c r="A140" s="881" t="s">
        <v>674</v>
      </c>
      <c r="B140" s="500" t="str">
        <f t="shared" si="38"/>
        <v xml:space="preserve">SAO-BORJA </v>
      </c>
      <c r="C140" s="500" t="str">
        <f t="shared" si="35"/>
        <v>A NÃO TEM MAIS POSTOS-55</v>
      </c>
      <c r="D140" s="502"/>
      <c r="E140" s="512"/>
      <c r="F140" s="510"/>
      <c r="G140" s="504"/>
      <c r="H140" s="505"/>
    </row>
    <row r="141" spans="1:8" ht="15.75" hidden="1" customHeight="1">
      <c r="A141" s="881" t="s">
        <v>674</v>
      </c>
      <c r="B141" s="500" t="str">
        <f t="shared" si="38"/>
        <v xml:space="preserve">SAO-BORJA </v>
      </c>
      <c r="C141" s="500" t="str">
        <f t="shared" si="35"/>
        <v>A NÃO TEM MAIS POSTOS-66</v>
      </c>
      <c r="D141" s="502"/>
      <c r="E141" s="512"/>
      <c r="F141" s="510"/>
      <c r="G141" s="504"/>
      <c r="H141" s="505"/>
    </row>
    <row r="142" spans="1:8" ht="15.75" hidden="1" customHeight="1">
      <c r="A142" s="881" t="s">
        <v>674</v>
      </c>
      <c r="B142" s="500" t="str">
        <f t="shared" si="38"/>
        <v xml:space="preserve">SAO-BORJA </v>
      </c>
      <c r="C142" s="500" t="str">
        <f t="shared" si="35"/>
        <v>A NÃO TEM MAIS POSTOS-77</v>
      </c>
      <c r="D142" s="502"/>
      <c r="E142" s="512"/>
      <c r="F142" s="510"/>
      <c r="G142" s="504"/>
      <c r="H142" s="505"/>
    </row>
    <row r="143" spans="1:8" ht="15.75" hidden="1" customHeight="1">
      <c r="A143" s="881" t="s">
        <v>674</v>
      </c>
      <c r="B143" s="500" t="str">
        <f t="shared" si="38"/>
        <v xml:space="preserve">SAO-BORJA </v>
      </c>
      <c r="C143" s="500" t="str">
        <f t="shared" si="35"/>
        <v>A NÃO TEM MAIS POSTOS-88</v>
      </c>
      <c r="D143" s="502"/>
      <c r="E143" s="512"/>
      <c r="F143" s="510"/>
      <c r="G143" s="504"/>
      <c r="H143" s="505"/>
    </row>
    <row r="144" spans="1:8" ht="15.75" hidden="1" customHeight="1">
      <c r="A144" s="881" t="s">
        <v>674</v>
      </c>
      <c r="B144" s="500" t="str">
        <f t="shared" si="38"/>
        <v xml:space="preserve">SAO-BORJA </v>
      </c>
      <c r="C144" s="500" t="str">
        <f t="shared" si="35"/>
        <v>A NÃO TEM MAIS POSTOS-99</v>
      </c>
      <c r="D144" s="502"/>
      <c r="E144" s="512"/>
      <c r="F144" s="510"/>
      <c r="G144" s="504"/>
      <c r="H144" s="505"/>
    </row>
    <row r="145" spans="1:8" ht="15.75" customHeight="1">
      <c r="A145" s="881" t="s">
        <v>674</v>
      </c>
      <c r="B145" s="513" t="str">
        <f t="shared" si="38"/>
        <v xml:space="preserve">SAO-BORJA </v>
      </c>
      <c r="C145" s="513" t="s">
        <v>341</v>
      </c>
      <c r="D145" s="892">
        <f>SUBTOTAL(9,D133:D134)</f>
        <v>8</v>
      </c>
      <c r="E145" s="893">
        <v>4665.43</v>
      </c>
      <c r="F145" s="516"/>
      <c r="G145" s="516"/>
      <c r="H145" s="516">
        <f>SUBTOTAL(9,H133:H134)</f>
        <v>51319.520000000004</v>
      </c>
    </row>
    <row r="146" spans="1:8" ht="15.75" hidden="1" customHeight="1">
      <c r="A146" s="894" t="s">
        <v>674</v>
      </c>
      <c r="B146" s="894" t="s">
        <v>674</v>
      </c>
      <c r="C146" s="894" t="s">
        <v>674</v>
      </c>
      <c r="D146" s="894" t="s">
        <v>674</v>
      </c>
      <c r="E146" s="894" t="s">
        <v>674</v>
      </c>
      <c r="F146" s="894" t="s">
        <v>674</v>
      </c>
      <c r="G146" s="894" t="s">
        <v>674</v>
      </c>
      <c r="H146" s="894" t="s">
        <v>674</v>
      </c>
    </row>
    <row r="147" spans="1:8" ht="15.75" customHeight="1">
      <c r="A147" s="881" t="s">
        <v>674</v>
      </c>
      <c r="B147" s="500" t="str">
        <f>CAMPUS.CONTRATANTE!D20</f>
        <v>SAO-VICENTE-DO-SUL</v>
      </c>
      <c r="C147" s="500" t="str">
        <f t="shared" ref="C147:C158" si="39">C133</f>
        <v>2614-25_INTERP.LIBRAS_30hs</v>
      </c>
      <c r="D147" s="890">
        <v>2</v>
      </c>
      <c r="E147" s="895">
        <v>1</v>
      </c>
      <c r="F147" s="896">
        <v>7161.33</v>
      </c>
      <c r="G147" s="504">
        <f t="shared" ref="G147:G148" si="40">F147</f>
        <v>7161.33</v>
      </c>
      <c r="H147" s="505">
        <f t="shared" ref="H147:H148" si="41">G147*D147</f>
        <v>14322.66</v>
      </c>
    </row>
    <row r="148" spans="1:8" ht="15.75" customHeight="1">
      <c r="A148" s="881" t="s">
        <v>674</v>
      </c>
      <c r="B148" s="500" t="str">
        <f t="shared" ref="B148:B159" si="42">B147</f>
        <v>SAO-VICENTE-DO-SUL</v>
      </c>
      <c r="C148" s="500" t="str">
        <f t="shared" si="39"/>
        <v>2614-25_INTERP.LIBRAS_20hs</v>
      </c>
      <c r="D148" s="890">
        <v>2</v>
      </c>
      <c r="E148" s="897">
        <v>1</v>
      </c>
      <c r="F148" s="898">
        <v>4774.25</v>
      </c>
      <c r="G148" s="504">
        <f t="shared" si="40"/>
        <v>4774.25</v>
      </c>
      <c r="H148" s="505">
        <f t="shared" si="41"/>
        <v>9548.5</v>
      </c>
    </row>
    <row r="149" spans="1:8" ht="15.75" hidden="1" customHeight="1">
      <c r="A149" s="881" t="s">
        <v>674</v>
      </c>
      <c r="B149" s="500" t="str">
        <f t="shared" si="42"/>
        <v>SAO-VICENTE-DO-SUL</v>
      </c>
      <c r="C149" s="500" t="str">
        <f t="shared" si="39"/>
        <v>A NÃO TEM MAIS POSTOS-00</v>
      </c>
      <c r="D149" s="502"/>
      <c r="E149" s="512"/>
      <c r="F149" s="510"/>
      <c r="G149" s="504"/>
      <c r="H149" s="505"/>
    </row>
    <row r="150" spans="1:8" ht="15.75" hidden="1" customHeight="1">
      <c r="A150" s="881" t="s">
        <v>674</v>
      </c>
      <c r="B150" s="500" t="str">
        <f t="shared" si="42"/>
        <v>SAO-VICENTE-DO-SUL</v>
      </c>
      <c r="C150" s="500" t="str">
        <f t="shared" si="39"/>
        <v>A NÃO TEM MAIS POSTOS-11</v>
      </c>
      <c r="D150" s="502"/>
      <c r="E150" s="512"/>
      <c r="F150" s="510"/>
      <c r="G150" s="504"/>
      <c r="H150" s="505"/>
    </row>
    <row r="151" spans="1:8" ht="15.75" hidden="1" customHeight="1">
      <c r="A151" s="881" t="s">
        <v>674</v>
      </c>
      <c r="B151" s="500" t="str">
        <f t="shared" si="42"/>
        <v>SAO-VICENTE-DO-SUL</v>
      </c>
      <c r="C151" s="500" t="str">
        <f t="shared" si="39"/>
        <v>A NÃO TEM MAIS POSTOS-22</v>
      </c>
      <c r="D151" s="502"/>
      <c r="E151" s="512"/>
      <c r="F151" s="510"/>
      <c r="G151" s="504"/>
      <c r="H151" s="505"/>
    </row>
    <row r="152" spans="1:8" ht="15.75" hidden="1" customHeight="1">
      <c r="A152" s="881" t="s">
        <v>674</v>
      </c>
      <c r="B152" s="500" t="str">
        <f t="shared" si="42"/>
        <v>SAO-VICENTE-DO-SUL</v>
      </c>
      <c r="C152" s="500" t="str">
        <f t="shared" si="39"/>
        <v>A NÃO TEM MAIS POSTOS-33</v>
      </c>
      <c r="D152" s="502"/>
      <c r="E152" s="512"/>
      <c r="F152" s="510"/>
      <c r="G152" s="504"/>
      <c r="H152" s="505"/>
    </row>
    <row r="153" spans="1:8" ht="15.75" hidden="1" customHeight="1">
      <c r="A153" s="881" t="s">
        <v>674</v>
      </c>
      <c r="B153" s="500" t="str">
        <f t="shared" si="42"/>
        <v>SAO-VICENTE-DO-SUL</v>
      </c>
      <c r="C153" s="500" t="str">
        <f t="shared" si="39"/>
        <v>A NÃO TEM MAIS POSTOS-44</v>
      </c>
      <c r="D153" s="502"/>
      <c r="E153" s="512"/>
      <c r="F153" s="510"/>
      <c r="G153" s="504"/>
      <c r="H153" s="505"/>
    </row>
    <row r="154" spans="1:8" ht="15.75" hidden="1" customHeight="1">
      <c r="A154" s="881" t="s">
        <v>674</v>
      </c>
      <c r="B154" s="500" t="str">
        <f t="shared" si="42"/>
        <v>SAO-VICENTE-DO-SUL</v>
      </c>
      <c r="C154" s="500" t="str">
        <f t="shared" si="39"/>
        <v>A NÃO TEM MAIS POSTOS-55</v>
      </c>
      <c r="D154" s="502"/>
      <c r="E154" s="512"/>
      <c r="F154" s="510"/>
      <c r="G154" s="504"/>
      <c r="H154" s="505"/>
    </row>
    <row r="155" spans="1:8" ht="15.75" hidden="1" customHeight="1">
      <c r="A155" s="881" t="s">
        <v>674</v>
      </c>
      <c r="B155" s="500" t="str">
        <f t="shared" si="42"/>
        <v>SAO-VICENTE-DO-SUL</v>
      </c>
      <c r="C155" s="500" t="str">
        <f t="shared" si="39"/>
        <v>A NÃO TEM MAIS POSTOS-66</v>
      </c>
      <c r="D155" s="502"/>
      <c r="E155" s="512"/>
      <c r="F155" s="510"/>
      <c r="G155" s="504"/>
      <c r="H155" s="505"/>
    </row>
    <row r="156" spans="1:8" ht="15.75" hidden="1" customHeight="1">
      <c r="A156" s="881" t="s">
        <v>674</v>
      </c>
      <c r="B156" s="500" t="str">
        <f t="shared" si="42"/>
        <v>SAO-VICENTE-DO-SUL</v>
      </c>
      <c r="C156" s="500" t="str">
        <f t="shared" si="39"/>
        <v>A NÃO TEM MAIS POSTOS-77</v>
      </c>
      <c r="D156" s="502"/>
      <c r="E156" s="512"/>
      <c r="F156" s="510"/>
      <c r="G156" s="504"/>
      <c r="H156" s="505"/>
    </row>
    <row r="157" spans="1:8" ht="15.75" hidden="1" customHeight="1">
      <c r="A157" s="881" t="s">
        <v>674</v>
      </c>
      <c r="B157" s="500" t="str">
        <f t="shared" si="42"/>
        <v>SAO-VICENTE-DO-SUL</v>
      </c>
      <c r="C157" s="500" t="str">
        <f t="shared" si="39"/>
        <v>A NÃO TEM MAIS POSTOS-88</v>
      </c>
      <c r="D157" s="502"/>
      <c r="E157" s="512"/>
      <c r="F157" s="510"/>
      <c r="G157" s="504"/>
      <c r="H157" s="505"/>
    </row>
    <row r="158" spans="1:8" ht="15.75" hidden="1" customHeight="1">
      <c r="A158" s="881" t="s">
        <v>674</v>
      </c>
      <c r="B158" s="500" t="str">
        <f t="shared" si="42"/>
        <v>SAO-VICENTE-DO-SUL</v>
      </c>
      <c r="C158" s="500" t="str">
        <f t="shared" si="39"/>
        <v>A NÃO TEM MAIS POSTOS-99</v>
      </c>
      <c r="D158" s="502"/>
      <c r="E158" s="512"/>
      <c r="F158" s="510"/>
      <c r="G158" s="504"/>
      <c r="H158" s="505"/>
    </row>
    <row r="159" spans="1:8" ht="15.75" customHeight="1">
      <c r="A159" s="881" t="s">
        <v>674</v>
      </c>
      <c r="B159" s="513" t="str">
        <f t="shared" si="42"/>
        <v>SAO-VICENTE-DO-SUL</v>
      </c>
      <c r="C159" s="513" t="s">
        <v>341</v>
      </c>
      <c r="D159" s="892">
        <f>SUBTOTAL(9,D147:D148)</f>
        <v>4</v>
      </c>
      <c r="E159" s="893">
        <v>4665.43</v>
      </c>
      <c r="F159" s="516"/>
      <c r="G159" s="516"/>
      <c r="H159" s="516">
        <f>SUBTOTAL(9,H147:H148)</f>
        <v>23871.16</v>
      </c>
    </row>
    <row r="160" spans="1:8" ht="15.75" hidden="1" customHeight="1">
      <c r="A160" s="894" t="s">
        <v>674</v>
      </c>
      <c r="B160" s="894" t="s">
        <v>674</v>
      </c>
      <c r="C160" s="894" t="s">
        <v>674</v>
      </c>
      <c r="D160" s="894" t="s">
        <v>674</v>
      </c>
      <c r="E160" s="894" t="s">
        <v>674</v>
      </c>
      <c r="F160" s="894" t="s">
        <v>674</v>
      </c>
      <c r="G160" s="894" t="s">
        <v>674</v>
      </c>
      <c r="H160" s="894" t="s">
        <v>674</v>
      </c>
    </row>
    <row r="161" spans="1:8" ht="15.75" customHeight="1">
      <c r="A161" s="881" t="s">
        <v>674</v>
      </c>
      <c r="B161" s="500" t="str">
        <f>CAMPUS.CONTRATANTE!D21</f>
        <v>URUGUAIANA</v>
      </c>
      <c r="C161" s="500" t="str">
        <f t="shared" ref="C161:C172" si="43">C147</f>
        <v>2614-25_INTERP.LIBRAS_30hs</v>
      </c>
      <c r="D161" s="502">
        <v>1</v>
      </c>
      <c r="E161" s="895">
        <v>1</v>
      </c>
      <c r="F161" s="896">
        <v>6998.1100000000006</v>
      </c>
      <c r="G161" s="504">
        <f t="shared" ref="G161:G162" si="44">F161</f>
        <v>6998.1100000000006</v>
      </c>
      <c r="H161" s="505">
        <f t="shared" ref="H161:H162" si="45">G161*D161</f>
        <v>6998.1100000000006</v>
      </c>
    </row>
    <row r="162" spans="1:8" ht="15.75" customHeight="1">
      <c r="A162" s="881" t="s">
        <v>674</v>
      </c>
      <c r="B162" s="500" t="str">
        <f t="shared" ref="B162:B173" si="46">B161</f>
        <v>URUGUAIANA</v>
      </c>
      <c r="C162" s="500" t="str">
        <f t="shared" si="43"/>
        <v>2614-25_INTERP.LIBRAS_20hs</v>
      </c>
      <c r="D162" s="890">
        <v>2</v>
      </c>
      <c r="E162" s="897">
        <v>1</v>
      </c>
      <c r="F162" s="898">
        <v>4665.43</v>
      </c>
      <c r="G162" s="504">
        <f t="shared" si="44"/>
        <v>4665.43</v>
      </c>
      <c r="H162" s="505">
        <f t="shared" si="45"/>
        <v>9330.86</v>
      </c>
    </row>
    <row r="163" spans="1:8" ht="15.75" hidden="1" customHeight="1">
      <c r="A163" s="881" t="s">
        <v>674</v>
      </c>
      <c r="B163" s="500" t="str">
        <f t="shared" si="46"/>
        <v>URUGUAIANA</v>
      </c>
      <c r="C163" s="500" t="str">
        <f t="shared" si="43"/>
        <v>A NÃO TEM MAIS POSTOS-00</v>
      </c>
      <c r="D163" s="502"/>
      <c r="E163" s="512"/>
      <c r="F163" s="510"/>
      <c r="G163" s="504"/>
      <c r="H163" s="505"/>
    </row>
    <row r="164" spans="1:8" ht="15.75" hidden="1" customHeight="1">
      <c r="A164" s="881" t="s">
        <v>674</v>
      </c>
      <c r="B164" s="500" t="str">
        <f t="shared" si="46"/>
        <v>URUGUAIANA</v>
      </c>
      <c r="C164" s="500" t="str">
        <f t="shared" si="43"/>
        <v>A NÃO TEM MAIS POSTOS-11</v>
      </c>
      <c r="D164" s="502"/>
      <c r="E164" s="512"/>
      <c r="F164" s="510"/>
      <c r="G164" s="504"/>
      <c r="H164" s="505"/>
    </row>
    <row r="165" spans="1:8" ht="15.75" hidden="1" customHeight="1">
      <c r="A165" s="881" t="s">
        <v>674</v>
      </c>
      <c r="B165" s="500" t="str">
        <f t="shared" si="46"/>
        <v>URUGUAIANA</v>
      </c>
      <c r="C165" s="500" t="str">
        <f t="shared" si="43"/>
        <v>A NÃO TEM MAIS POSTOS-22</v>
      </c>
      <c r="D165" s="502"/>
      <c r="E165" s="512"/>
      <c r="F165" s="510"/>
      <c r="G165" s="504"/>
      <c r="H165" s="505"/>
    </row>
    <row r="166" spans="1:8" ht="15.75" hidden="1" customHeight="1">
      <c r="A166" s="881" t="s">
        <v>674</v>
      </c>
      <c r="B166" s="500" t="str">
        <f t="shared" si="46"/>
        <v>URUGUAIANA</v>
      </c>
      <c r="C166" s="500" t="str">
        <f t="shared" si="43"/>
        <v>A NÃO TEM MAIS POSTOS-33</v>
      </c>
      <c r="D166" s="502"/>
      <c r="E166" s="512"/>
      <c r="F166" s="510"/>
      <c r="G166" s="504"/>
      <c r="H166" s="505"/>
    </row>
    <row r="167" spans="1:8" ht="15.75" hidden="1" customHeight="1">
      <c r="A167" s="881" t="s">
        <v>674</v>
      </c>
      <c r="B167" s="500" t="str">
        <f t="shared" si="46"/>
        <v>URUGUAIANA</v>
      </c>
      <c r="C167" s="500" t="str">
        <f t="shared" si="43"/>
        <v>A NÃO TEM MAIS POSTOS-44</v>
      </c>
      <c r="D167" s="502"/>
      <c r="E167" s="512"/>
      <c r="F167" s="510"/>
      <c r="G167" s="504"/>
      <c r="H167" s="505"/>
    </row>
    <row r="168" spans="1:8" ht="15.75" hidden="1" customHeight="1">
      <c r="A168" s="881" t="s">
        <v>674</v>
      </c>
      <c r="B168" s="500" t="str">
        <f t="shared" si="46"/>
        <v>URUGUAIANA</v>
      </c>
      <c r="C168" s="500" t="str">
        <f t="shared" si="43"/>
        <v>A NÃO TEM MAIS POSTOS-55</v>
      </c>
      <c r="D168" s="502"/>
      <c r="E168" s="512"/>
      <c r="F168" s="510"/>
      <c r="G168" s="504"/>
      <c r="H168" s="505"/>
    </row>
    <row r="169" spans="1:8" ht="15.75" hidden="1" customHeight="1">
      <c r="A169" s="881" t="s">
        <v>674</v>
      </c>
      <c r="B169" s="500" t="str">
        <f t="shared" si="46"/>
        <v>URUGUAIANA</v>
      </c>
      <c r="C169" s="500" t="str">
        <f t="shared" si="43"/>
        <v>A NÃO TEM MAIS POSTOS-66</v>
      </c>
      <c r="D169" s="502"/>
      <c r="E169" s="512"/>
      <c r="F169" s="510"/>
      <c r="G169" s="504"/>
      <c r="H169" s="505"/>
    </row>
    <row r="170" spans="1:8" ht="15.75" hidden="1" customHeight="1">
      <c r="A170" s="881" t="s">
        <v>674</v>
      </c>
      <c r="B170" s="500" t="str">
        <f t="shared" si="46"/>
        <v>URUGUAIANA</v>
      </c>
      <c r="C170" s="500" t="str">
        <f t="shared" si="43"/>
        <v>A NÃO TEM MAIS POSTOS-77</v>
      </c>
      <c r="D170" s="502"/>
      <c r="E170" s="512"/>
      <c r="F170" s="510"/>
      <c r="G170" s="504"/>
      <c r="H170" s="505"/>
    </row>
    <row r="171" spans="1:8" ht="15.75" hidden="1" customHeight="1">
      <c r="A171" s="881" t="s">
        <v>674</v>
      </c>
      <c r="B171" s="500" t="str">
        <f t="shared" si="46"/>
        <v>URUGUAIANA</v>
      </c>
      <c r="C171" s="500" t="str">
        <f t="shared" si="43"/>
        <v>A NÃO TEM MAIS POSTOS-88</v>
      </c>
      <c r="D171" s="502"/>
      <c r="E171" s="512"/>
      <c r="F171" s="510"/>
      <c r="G171" s="504"/>
      <c r="H171" s="505"/>
    </row>
    <row r="172" spans="1:8" ht="15.75" hidden="1" customHeight="1">
      <c r="A172" s="881" t="s">
        <v>674</v>
      </c>
      <c r="B172" s="500" t="str">
        <f t="shared" si="46"/>
        <v>URUGUAIANA</v>
      </c>
      <c r="C172" s="500" t="str">
        <f t="shared" si="43"/>
        <v>A NÃO TEM MAIS POSTOS-99</v>
      </c>
      <c r="D172" s="502"/>
      <c r="E172" s="512"/>
      <c r="F172" s="510"/>
      <c r="G172" s="504"/>
      <c r="H172" s="505"/>
    </row>
    <row r="173" spans="1:8" ht="15.75" customHeight="1">
      <c r="A173" s="881" t="s">
        <v>674</v>
      </c>
      <c r="B173" s="513" t="str">
        <f t="shared" si="46"/>
        <v>URUGUAIANA</v>
      </c>
      <c r="C173" s="513" t="s">
        <v>341</v>
      </c>
      <c r="D173" s="892">
        <f>SUBTOTAL(9,D161:D162)</f>
        <v>3</v>
      </c>
      <c r="E173" s="893">
        <v>4665.43</v>
      </c>
      <c r="F173" s="516"/>
      <c r="G173" s="516"/>
      <c r="H173" s="516">
        <f>SUBTOTAL(9,H161:H162)</f>
        <v>16328.970000000001</v>
      </c>
    </row>
    <row r="174" spans="1:8" ht="15.75" hidden="1" customHeight="1">
      <c r="A174" s="894" t="s">
        <v>674</v>
      </c>
      <c r="B174" s="894" t="s">
        <v>674</v>
      </c>
      <c r="C174" s="894" t="s">
        <v>674</v>
      </c>
      <c r="D174" s="894" t="s">
        <v>674</v>
      </c>
      <c r="E174" s="894" t="s">
        <v>674</v>
      </c>
      <c r="F174" s="894" t="s">
        <v>674</v>
      </c>
      <c r="G174" s="894" t="s">
        <v>674</v>
      </c>
      <c r="H174" s="894" t="s">
        <v>674</v>
      </c>
    </row>
    <row r="175" spans="1:8" ht="15.75" customHeight="1">
      <c r="A175" s="881" t="s">
        <v>674</v>
      </c>
      <c r="B175" s="899"/>
      <c r="C175" s="900" t="s">
        <v>676</v>
      </c>
      <c r="D175" s="901">
        <f>SUM(D19+D33+D47+D61+D75+D89+D103+D117+D131+D145+D159+D173)</f>
        <v>50</v>
      </c>
      <c r="E175" s="902"/>
      <c r="F175" s="902"/>
      <c r="G175" s="902"/>
      <c r="H175" s="903">
        <f>H173+H159+H145+H131+H117+H103+H89+H75+H61+H47+H33+H19</f>
        <v>280688.59000000003</v>
      </c>
    </row>
    <row r="176" spans="1:8" ht="15.75" hidden="1" customHeight="1">
      <c r="E176" s="877"/>
      <c r="F176" s="878"/>
    </row>
    <row r="177" spans="5:8" ht="15.75" hidden="1" customHeight="1">
      <c r="E177" s="877"/>
      <c r="F177" s="878"/>
    </row>
    <row r="178" spans="5:8" ht="15.75" hidden="1" customHeight="1">
      <c r="E178" s="877"/>
      <c r="F178" s="878"/>
    </row>
    <row r="179" spans="5:8" ht="15.75" hidden="1" customHeight="1">
      <c r="E179" s="877"/>
      <c r="F179" s="878"/>
    </row>
    <row r="180" spans="5:8" ht="15.75" hidden="1" customHeight="1">
      <c r="E180" s="877"/>
      <c r="F180" s="878"/>
    </row>
    <row r="181" spans="5:8" ht="15.75" hidden="1" customHeight="1">
      <c r="E181" s="877"/>
      <c r="F181" s="878"/>
    </row>
    <row r="182" spans="5:8" ht="15.75" hidden="1" customHeight="1">
      <c r="E182" s="877"/>
      <c r="F182" s="878"/>
    </row>
    <row r="183" spans="5:8" ht="15.75" hidden="1" customHeight="1">
      <c r="E183" s="877"/>
      <c r="F183" s="878"/>
    </row>
    <row r="184" spans="5:8" ht="15.75" hidden="1" customHeight="1">
      <c r="E184" s="877"/>
      <c r="F184" s="878"/>
    </row>
    <row r="185" spans="5:8" ht="15.75" hidden="1" customHeight="1">
      <c r="E185" s="877"/>
      <c r="F185" s="878"/>
    </row>
    <row r="186" spans="5:8" ht="15.75" customHeight="1">
      <c r="E186" s="877"/>
      <c r="F186" s="878"/>
      <c r="H186" s="903">
        <f>H175*30</f>
        <v>8420657.7000000011</v>
      </c>
    </row>
    <row r="187" spans="5:8" ht="15.75" customHeight="1">
      <c r="E187" s="877"/>
      <c r="F187" s="878"/>
    </row>
    <row r="188" spans="5:8" ht="15.75" customHeight="1">
      <c r="E188" s="877"/>
      <c r="F188" s="878"/>
    </row>
    <row r="189" spans="5:8" ht="15.75" customHeight="1">
      <c r="E189" s="877"/>
      <c r="F189" s="878"/>
    </row>
    <row r="190" spans="5:8" ht="15.75" customHeight="1">
      <c r="E190" s="877"/>
      <c r="F190" s="878"/>
    </row>
    <row r="191" spans="5:8" ht="15.75" customHeight="1">
      <c r="E191" s="877"/>
      <c r="F191" s="878"/>
    </row>
    <row r="192" spans="5:8" ht="15.75" customHeight="1">
      <c r="E192" s="877"/>
      <c r="F192" s="878"/>
    </row>
    <row r="193" spans="5:6" ht="15.75" customHeight="1">
      <c r="E193" s="877"/>
      <c r="F193" s="878"/>
    </row>
    <row r="194" spans="5:6" ht="15.75" customHeight="1">
      <c r="E194" s="877"/>
      <c r="F194" s="878"/>
    </row>
    <row r="195" spans="5:6" ht="15.75" customHeight="1">
      <c r="E195" s="877"/>
      <c r="F195" s="878"/>
    </row>
    <row r="196" spans="5:6" ht="15.75" customHeight="1">
      <c r="E196" s="877"/>
      <c r="F196" s="878"/>
    </row>
    <row r="197" spans="5:6" ht="15.75" customHeight="1">
      <c r="E197" s="877"/>
      <c r="F197" s="878"/>
    </row>
    <row r="198" spans="5:6" ht="15.75" customHeight="1">
      <c r="E198" s="877"/>
      <c r="F198" s="878"/>
    </row>
    <row r="199" spans="5:6" ht="15.75" customHeight="1">
      <c r="E199" s="877"/>
      <c r="F199" s="878"/>
    </row>
    <row r="200" spans="5:6" ht="15.75" customHeight="1">
      <c r="E200" s="877"/>
      <c r="F200" s="878"/>
    </row>
    <row r="201" spans="5:6" ht="15.75" customHeight="1">
      <c r="E201" s="877"/>
      <c r="F201" s="878"/>
    </row>
    <row r="202" spans="5:6" ht="15.75" customHeight="1">
      <c r="E202" s="877"/>
      <c r="F202" s="878"/>
    </row>
    <row r="203" spans="5:6" ht="15.75" customHeight="1">
      <c r="E203" s="877"/>
      <c r="F203" s="878"/>
    </row>
    <row r="204" spans="5:6" ht="15.75" customHeight="1">
      <c r="E204" s="877"/>
      <c r="F204" s="878"/>
    </row>
    <row r="205" spans="5:6" ht="15.75" customHeight="1">
      <c r="E205" s="877"/>
      <c r="F205" s="878"/>
    </row>
    <row r="206" spans="5:6" ht="15.75" customHeight="1">
      <c r="E206" s="877"/>
      <c r="F206" s="878"/>
    </row>
    <row r="207" spans="5:6" ht="15.75" customHeight="1">
      <c r="E207" s="877"/>
      <c r="F207" s="878"/>
    </row>
    <row r="208" spans="5:6" ht="15.75" customHeight="1">
      <c r="E208" s="877"/>
      <c r="F208" s="878"/>
    </row>
    <row r="209" spans="5:6" ht="15.75" customHeight="1">
      <c r="E209" s="877"/>
      <c r="F209" s="878"/>
    </row>
    <row r="210" spans="5:6" ht="15.75" customHeight="1">
      <c r="E210" s="877"/>
      <c r="F210" s="878"/>
    </row>
    <row r="211" spans="5:6" ht="15.75" customHeight="1">
      <c r="E211" s="877"/>
      <c r="F211" s="878"/>
    </row>
    <row r="212" spans="5:6" ht="15.75" customHeight="1">
      <c r="E212" s="877"/>
      <c r="F212" s="878"/>
    </row>
    <row r="213" spans="5:6" ht="15.75" customHeight="1">
      <c r="E213" s="877"/>
      <c r="F213" s="878"/>
    </row>
    <row r="214" spans="5:6" ht="15.75" customHeight="1">
      <c r="E214" s="877"/>
      <c r="F214" s="878"/>
    </row>
    <row r="215" spans="5:6" ht="15.75" customHeight="1">
      <c r="E215" s="877"/>
      <c r="F215" s="878"/>
    </row>
    <row r="216" spans="5:6" ht="15.75" customHeight="1">
      <c r="E216" s="877"/>
      <c r="F216" s="878"/>
    </row>
    <row r="217" spans="5:6" ht="15.75" customHeight="1">
      <c r="E217" s="877"/>
      <c r="F217" s="878"/>
    </row>
    <row r="218" spans="5:6" ht="15.75" customHeight="1">
      <c r="E218" s="877"/>
      <c r="F218" s="878"/>
    </row>
    <row r="219" spans="5:6" ht="15.75" customHeight="1">
      <c r="E219" s="877"/>
      <c r="F219" s="878"/>
    </row>
    <row r="220" spans="5:6" ht="15.75" customHeight="1">
      <c r="E220" s="877"/>
      <c r="F220" s="878"/>
    </row>
    <row r="221" spans="5:6" ht="15.75" customHeight="1">
      <c r="E221" s="877"/>
      <c r="F221" s="878"/>
    </row>
    <row r="222" spans="5:6" ht="15.75" customHeight="1">
      <c r="E222" s="877"/>
      <c r="F222" s="878"/>
    </row>
    <row r="223" spans="5:6" ht="15.75" customHeight="1">
      <c r="E223" s="877"/>
      <c r="F223" s="878"/>
    </row>
    <row r="224" spans="5:6" ht="15.75" customHeight="1">
      <c r="E224" s="877"/>
      <c r="F224" s="878"/>
    </row>
    <row r="225" spans="5:6" ht="15.75" customHeight="1">
      <c r="E225" s="877"/>
      <c r="F225" s="878"/>
    </row>
    <row r="226" spans="5:6" ht="15.75" customHeight="1">
      <c r="E226" s="877"/>
      <c r="F226" s="878"/>
    </row>
    <row r="227" spans="5:6" ht="15.75" customHeight="1">
      <c r="E227" s="877"/>
      <c r="F227" s="878"/>
    </row>
    <row r="228" spans="5:6" ht="15.75" customHeight="1">
      <c r="E228" s="877"/>
      <c r="F228" s="878"/>
    </row>
    <row r="229" spans="5:6" ht="15.75" customHeight="1">
      <c r="E229" s="877"/>
      <c r="F229" s="878"/>
    </row>
    <row r="230" spans="5:6" ht="15.75" customHeight="1">
      <c r="E230" s="877"/>
      <c r="F230" s="878"/>
    </row>
    <row r="231" spans="5:6" ht="15.75" customHeight="1">
      <c r="E231" s="877"/>
      <c r="F231" s="878"/>
    </row>
    <row r="232" spans="5:6" ht="15.75" customHeight="1">
      <c r="E232" s="877"/>
      <c r="F232" s="878"/>
    </row>
    <row r="233" spans="5:6" ht="15.75" customHeight="1">
      <c r="E233" s="877"/>
      <c r="F233" s="878"/>
    </row>
    <row r="234" spans="5:6" ht="15.75" customHeight="1">
      <c r="E234" s="877"/>
      <c r="F234" s="878"/>
    </row>
    <row r="235" spans="5:6" ht="15.75" customHeight="1">
      <c r="E235" s="877"/>
      <c r="F235" s="878"/>
    </row>
    <row r="236" spans="5:6" ht="15.75" customHeight="1">
      <c r="E236" s="877"/>
      <c r="F236" s="878"/>
    </row>
    <row r="237" spans="5:6" ht="15.75" customHeight="1">
      <c r="E237" s="877"/>
      <c r="F237" s="878"/>
    </row>
    <row r="238" spans="5:6" ht="15.75" customHeight="1">
      <c r="E238" s="877"/>
      <c r="F238" s="878"/>
    </row>
    <row r="239" spans="5:6" ht="15.75" customHeight="1">
      <c r="E239" s="877"/>
      <c r="F239" s="878"/>
    </row>
    <row r="240" spans="5:6" ht="15.75" customHeight="1">
      <c r="E240" s="877"/>
      <c r="F240" s="878"/>
    </row>
    <row r="241" spans="5:6" ht="15.75" customHeight="1">
      <c r="E241" s="877"/>
      <c r="F241" s="878"/>
    </row>
    <row r="242" spans="5:6" ht="15.75" customHeight="1">
      <c r="E242" s="877"/>
      <c r="F242" s="878"/>
    </row>
    <row r="243" spans="5:6" ht="15.75" customHeight="1">
      <c r="E243" s="877"/>
      <c r="F243" s="878"/>
    </row>
    <row r="244" spans="5:6" ht="15.75" customHeight="1">
      <c r="E244" s="877"/>
      <c r="F244" s="878"/>
    </row>
    <row r="245" spans="5:6" ht="15.75" customHeight="1">
      <c r="E245" s="877"/>
      <c r="F245" s="878"/>
    </row>
    <row r="246" spans="5:6" ht="15.75" customHeight="1">
      <c r="E246" s="877"/>
      <c r="F246" s="878"/>
    </row>
    <row r="247" spans="5:6" ht="15.75" customHeight="1">
      <c r="E247" s="877"/>
      <c r="F247" s="878"/>
    </row>
    <row r="248" spans="5:6" ht="15.75" customHeight="1">
      <c r="E248" s="877"/>
      <c r="F248" s="878"/>
    </row>
    <row r="249" spans="5:6" ht="15.75" customHeight="1">
      <c r="E249" s="877"/>
      <c r="F249" s="878"/>
    </row>
    <row r="250" spans="5:6" ht="15.75" customHeight="1">
      <c r="E250" s="877"/>
      <c r="F250" s="878"/>
    </row>
    <row r="251" spans="5:6" ht="15.75" customHeight="1">
      <c r="E251" s="877"/>
      <c r="F251" s="878"/>
    </row>
    <row r="252" spans="5:6" ht="15.75" customHeight="1">
      <c r="E252" s="877"/>
      <c r="F252" s="878"/>
    </row>
    <row r="253" spans="5:6" ht="15.75" customHeight="1">
      <c r="E253" s="877"/>
      <c r="F253" s="878"/>
    </row>
    <row r="254" spans="5:6" ht="15.75" customHeight="1">
      <c r="E254" s="877"/>
      <c r="F254" s="878"/>
    </row>
    <row r="255" spans="5:6" ht="15.75" customHeight="1">
      <c r="E255" s="877"/>
      <c r="F255" s="878"/>
    </row>
    <row r="256" spans="5:6" ht="15.75" customHeight="1">
      <c r="E256" s="877"/>
      <c r="F256" s="878"/>
    </row>
    <row r="257" spans="5:6" ht="15.75" customHeight="1">
      <c r="E257" s="877"/>
      <c r="F257" s="878"/>
    </row>
    <row r="258" spans="5:6" ht="15.75" customHeight="1">
      <c r="E258" s="877"/>
      <c r="F258" s="878"/>
    </row>
    <row r="259" spans="5:6" ht="15.75" customHeight="1">
      <c r="E259" s="877"/>
      <c r="F259" s="878"/>
    </row>
    <row r="260" spans="5:6" ht="15.75" customHeight="1">
      <c r="E260" s="877"/>
      <c r="F260" s="878"/>
    </row>
    <row r="261" spans="5:6" ht="15.75" customHeight="1">
      <c r="E261" s="877"/>
      <c r="F261" s="878"/>
    </row>
    <row r="262" spans="5:6" ht="15.75" customHeight="1">
      <c r="E262" s="877"/>
      <c r="F262" s="878"/>
    </row>
    <row r="263" spans="5:6" ht="15.75" customHeight="1">
      <c r="E263" s="877"/>
      <c r="F263" s="878"/>
    </row>
    <row r="264" spans="5:6" ht="15.75" customHeight="1">
      <c r="E264" s="877"/>
      <c r="F264" s="878"/>
    </row>
    <row r="265" spans="5:6" ht="15.75" customHeight="1">
      <c r="E265" s="877"/>
      <c r="F265" s="878"/>
    </row>
    <row r="266" spans="5:6" ht="15.75" customHeight="1">
      <c r="E266" s="877"/>
      <c r="F266" s="878"/>
    </row>
    <row r="267" spans="5:6" ht="15.75" customHeight="1">
      <c r="E267" s="877"/>
      <c r="F267" s="878"/>
    </row>
    <row r="268" spans="5:6" ht="15.75" customHeight="1">
      <c r="E268" s="877"/>
      <c r="F268" s="878"/>
    </row>
    <row r="269" spans="5:6" ht="15.75" customHeight="1">
      <c r="E269" s="877"/>
      <c r="F269" s="878"/>
    </row>
    <row r="270" spans="5:6" ht="15.75" customHeight="1">
      <c r="E270" s="877"/>
      <c r="F270" s="878"/>
    </row>
    <row r="271" spans="5:6" ht="15.75" customHeight="1">
      <c r="E271" s="877"/>
      <c r="F271" s="878"/>
    </row>
    <row r="272" spans="5:6" ht="15.75" customHeight="1">
      <c r="E272" s="877"/>
      <c r="F272" s="878"/>
    </row>
    <row r="273" spans="5:6" ht="15.75" customHeight="1">
      <c r="E273" s="877"/>
      <c r="F273" s="878"/>
    </row>
    <row r="274" spans="5:6" ht="15.75" customHeight="1">
      <c r="E274" s="877"/>
      <c r="F274" s="878"/>
    </row>
    <row r="275" spans="5:6" ht="15.75" customHeight="1">
      <c r="E275" s="877"/>
      <c r="F275" s="878"/>
    </row>
    <row r="276" spans="5:6" ht="15.75" customHeight="1">
      <c r="E276" s="877"/>
      <c r="F276" s="878"/>
    </row>
    <row r="277" spans="5:6" ht="15.75" customHeight="1">
      <c r="E277" s="877"/>
      <c r="F277" s="878"/>
    </row>
    <row r="278" spans="5:6" ht="15.75" customHeight="1">
      <c r="E278" s="877"/>
      <c r="F278" s="878"/>
    </row>
    <row r="279" spans="5:6" ht="15.75" customHeight="1">
      <c r="E279" s="877"/>
      <c r="F279" s="878"/>
    </row>
    <row r="280" spans="5:6" ht="15.75" customHeight="1">
      <c r="E280" s="877"/>
      <c r="F280" s="878"/>
    </row>
    <row r="281" spans="5:6" ht="15.75" customHeight="1">
      <c r="E281" s="877"/>
      <c r="F281" s="878"/>
    </row>
    <row r="282" spans="5:6" ht="15.75" customHeight="1">
      <c r="E282" s="877"/>
      <c r="F282" s="878"/>
    </row>
    <row r="283" spans="5:6" ht="15.75" customHeight="1">
      <c r="E283" s="877"/>
      <c r="F283" s="878"/>
    </row>
    <row r="284" spans="5:6" ht="15.75" customHeight="1">
      <c r="E284" s="877"/>
      <c r="F284" s="878"/>
    </row>
    <row r="285" spans="5:6" ht="15.75" customHeight="1">
      <c r="E285" s="877"/>
      <c r="F285" s="878"/>
    </row>
    <row r="286" spans="5:6" ht="15.75" customHeight="1">
      <c r="E286" s="877"/>
      <c r="F286" s="878"/>
    </row>
    <row r="287" spans="5:6" ht="15.75" customHeight="1">
      <c r="E287" s="877"/>
      <c r="F287" s="878"/>
    </row>
    <row r="288" spans="5:6" ht="15.75" customHeight="1">
      <c r="E288" s="877"/>
      <c r="F288" s="878"/>
    </row>
    <row r="289" spans="5:6" ht="15.75" customHeight="1">
      <c r="E289" s="877"/>
      <c r="F289" s="878"/>
    </row>
    <row r="290" spans="5:6" ht="15.75" customHeight="1">
      <c r="E290" s="877"/>
      <c r="F290" s="878"/>
    </row>
    <row r="291" spans="5:6" ht="15.75" customHeight="1">
      <c r="E291" s="877"/>
      <c r="F291" s="878"/>
    </row>
    <row r="292" spans="5:6" ht="15.75" customHeight="1">
      <c r="E292" s="877"/>
      <c r="F292" s="878"/>
    </row>
    <row r="293" spans="5:6" ht="15.75" customHeight="1">
      <c r="E293" s="877"/>
      <c r="F293" s="878"/>
    </row>
    <row r="294" spans="5:6" ht="15.75" customHeight="1">
      <c r="E294" s="877"/>
      <c r="F294" s="878"/>
    </row>
    <row r="295" spans="5:6" ht="15.75" customHeight="1">
      <c r="E295" s="877"/>
      <c r="F295" s="878"/>
    </row>
    <row r="296" spans="5:6" ht="15.75" customHeight="1">
      <c r="E296" s="877"/>
      <c r="F296" s="878"/>
    </row>
    <row r="297" spans="5:6" ht="15.75" customHeight="1">
      <c r="E297" s="877"/>
      <c r="F297" s="878"/>
    </row>
    <row r="298" spans="5:6" ht="15.75" customHeight="1">
      <c r="E298" s="877"/>
      <c r="F298" s="878"/>
    </row>
    <row r="299" spans="5:6" ht="15.75" customHeight="1">
      <c r="E299" s="877"/>
      <c r="F299" s="878"/>
    </row>
    <row r="300" spans="5:6" ht="15.75" customHeight="1">
      <c r="E300" s="877"/>
      <c r="F300" s="878"/>
    </row>
    <row r="301" spans="5:6" ht="15.75" customHeight="1">
      <c r="E301" s="877"/>
      <c r="F301" s="878"/>
    </row>
    <row r="302" spans="5:6" ht="15.75" customHeight="1">
      <c r="E302" s="877"/>
      <c r="F302" s="878"/>
    </row>
    <row r="303" spans="5:6" ht="15.75" customHeight="1">
      <c r="E303" s="877"/>
      <c r="F303" s="878"/>
    </row>
    <row r="304" spans="5:6" ht="15.75" customHeight="1">
      <c r="E304" s="877"/>
      <c r="F304" s="878"/>
    </row>
    <row r="305" spans="5:6" ht="15.75" customHeight="1">
      <c r="E305" s="877"/>
      <c r="F305" s="878"/>
    </row>
    <row r="306" spans="5:6" ht="15.75" customHeight="1">
      <c r="E306" s="877"/>
      <c r="F306" s="878"/>
    </row>
    <row r="307" spans="5:6" ht="15.75" customHeight="1">
      <c r="E307" s="877"/>
      <c r="F307" s="878"/>
    </row>
    <row r="308" spans="5:6" ht="15.75" customHeight="1">
      <c r="E308" s="877"/>
      <c r="F308" s="878"/>
    </row>
    <row r="309" spans="5:6" ht="15.75" customHeight="1">
      <c r="E309" s="877"/>
      <c r="F309" s="878"/>
    </row>
    <row r="310" spans="5:6" ht="15.75" customHeight="1">
      <c r="E310" s="877"/>
      <c r="F310" s="878"/>
    </row>
    <row r="311" spans="5:6" ht="15.75" customHeight="1">
      <c r="E311" s="877"/>
      <c r="F311" s="878"/>
    </row>
    <row r="312" spans="5:6" ht="15.75" customHeight="1">
      <c r="E312" s="877"/>
      <c r="F312" s="878"/>
    </row>
    <row r="313" spans="5:6" ht="15.75" customHeight="1">
      <c r="E313" s="877"/>
      <c r="F313" s="878"/>
    </row>
    <row r="314" spans="5:6" ht="15.75" customHeight="1">
      <c r="E314" s="877"/>
      <c r="F314" s="878"/>
    </row>
    <row r="315" spans="5:6" ht="15.75" customHeight="1">
      <c r="E315" s="877"/>
      <c r="F315" s="878"/>
    </row>
    <row r="316" spans="5:6" ht="15.75" customHeight="1">
      <c r="E316" s="877"/>
      <c r="F316" s="878"/>
    </row>
    <row r="317" spans="5:6" ht="15.75" customHeight="1">
      <c r="E317" s="877"/>
      <c r="F317" s="878"/>
    </row>
    <row r="318" spans="5:6" ht="15.75" customHeight="1">
      <c r="E318" s="877"/>
      <c r="F318" s="878"/>
    </row>
    <row r="319" spans="5:6" ht="15.75" customHeight="1">
      <c r="E319" s="877"/>
      <c r="F319" s="878"/>
    </row>
    <row r="320" spans="5:6" ht="15.75" customHeight="1">
      <c r="E320" s="877"/>
      <c r="F320" s="878"/>
    </row>
    <row r="321" spans="5:6" ht="15.75" customHeight="1">
      <c r="E321" s="877"/>
      <c r="F321" s="878"/>
    </row>
    <row r="322" spans="5:6" ht="15.75" customHeight="1">
      <c r="E322" s="877"/>
      <c r="F322" s="878"/>
    </row>
    <row r="323" spans="5:6" ht="15.75" customHeight="1">
      <c r="E323" s="877"/>
      <c r="F323" s="878"/>
    </row>
    <row r="324" spans="5:6" ht="15.75" customHeight="1">
      <c r="E324" s="877"/>
      <c r="F324" s="878"/>
    </row>
    <row r="325" spans="5:6" ht="15.75" customHeight="1">
      <c r="E325" s="877"/>
      <c r="F325" s="878"/>
    </row>
    <row r="326" spans="5:6" ht="15.75" customHeight="1">
      <c r="E326" s="877"/>
      <c r="F326" s="878"/>
    </row>
    <row r="327" spans="5:6" ht="15.75" customHeight="1">
      <c r="E327" s="877"/>
      <c r="F327" s="878"/>
    </row>
    <row r="328" spans="5:6" ht="15.75" customHeight="1">
      <c r="E328" s="877"/>
      <c r="F328" s="878"/>
    </row>
    <row r="329" spans="5:6" ht="15.75" customHeight="1">
      <c r="E329" s="877"/>
      <c r="F329" s="878"/>
    </row>
    <row r="330" spans="5:6" ht="15.75" customHeight="1">
      <c r="E330" s="877"/>
      <c r="F330" s="878"/>
    </row>
    <row r="331" spans="5:6" ht="15.75" customHeight="1">
      <c r="E331" s="877"/>
      <c r="F331" s="878"/>
    </row>
    <row r="332" spans="5:6" ht="15.75" customHeight="1">
      <c r="E332" s="877"/>
      <c r="F332" s="878"/>
    </row>
    <row r="333" spans="5:6" ht="15.75" customHeight="1">
      <c r="E333" s="877"/>
      <c r="F333" s="878"/>
    </row>
    <row r="334" spans="5:6" ht="15.75" customHeight="1">
      <c r="E334" s="877"/>
      <c r="F334" s="878"/>
    </row>
    <row r="335" spans="5:6" ht="15.75" customHeight="1">
      <c r="E335" s="877"/>
      <c r="F335" s="878"/>
    </row>
    <row r="336" spans="5:6" ht="15.75" customHeight="1">
      <c r="E336" s="877"/>
      <c r="F336" s="878"/>
    </row>
    <row r="337" spans="5:6" ht="15.75" customHeight="1">
      <c r="E337" s="877"/>
      <c r="F337" s="878"/>
    </row>
    <row r="338" spans="5:6" ht="15.75" customHeight="1">
      <c r="E338" s="877"/>
      <c r="F338" s="878"/>
    </row>
    <row r="339" spans="5:6" ht="15.75" customHeight="1">
      <c r="E339" s="877"/>
      <c r="F339" s="878"/>
    </row>
    <row r="340" spans="5:6" ht="15.75" customHeight="1">
      <c r="E340" s="877"/>
      <c r="F340" s="878"/>
    </row>
    <row r="341" spans="5:6" ht="15.75" customHeight="1">
      <c r="E341" s="877"/>
      <c r="F341" s="878"/>
    </row>
    <row r="342" spans="5:6" ht="15.75" customHeight="1">
      <c r="E342" s="877"/>
      <c r="F342" s="878"/>
    </row>
    <row r="343" spans="5:6" ht="15.75" customHeight="1">
      <c r="E343" s="877"/>
      <c r="F343" s="878"/>
    </row>
    <row r="344" spans="5:6" ht="15.75" customHeight="1">
      <c r="E344" s="877"/>
      <c r="F344" s="878"/>
    </row>
    <row r="345" spans="5:6" ht="15.75" customHeight="1">
      <c r="E345" s="877"/>
      <c r="F345" s="878"/>
    </row>
    <row r="346" spans="5:6" ht="15.75" customHeight="1">
      <c r="E346" s="877"/>
      <c r="F346" s="878"/>
    </row>
    <row r="347" spans="5:6" ht="15.75" customHeight="1">
      <c r="E347" s="877"/>
      <c r="F347" s="878"/>
    </row>
    <row r="348" spans="5:6" ht="15.75" customHeight="1">
      <c r="E348" s="877"/>
      <c r="F348" s="878"/>
    </row>
    <row r="349" spans="5:6" ht="15.75" customHeight="1">
      <c r="E349" s="877"/>
      <c r="F349" s="878"/>
    </row>
    <row r="350" spans="5:6" ht="15.75" customHeight="1">
      <c r="E350" s="877"/>
      <c r="F350" s="878"/>
    </row>
    <row r="351" spans="5:6" ht="15.75" customHeight="1">
      <c r="E351" s="877"/>
      <c r="F351" s="878"/>
    </row>
    <row r="352" spans="5:6" ht="15.75" customHeight="1">
      <c r="E352" s="877"/>
      <c r="F352" s="878"/>
    </row>
    <row r="353" spans="5:6" ht="15.75" customHeight="1">
      <c r="E353" s="877"/>
      <c r="F353" s="878"/>
    </row>
    <row r="354" spans="5:6" ht="15.75" customHeight="1">
      <c r="E354" s="877"/>
      <c r="F354" s="878"/>
    </row>
    <row r="355" spans="5:6" ht="15.75" customHeight="1">
      <c r="E355" s="877"/>
      <c r="F355" s="878"/>
    </row>
    <row r="356" spans="5:6" ht="15.75" customHeight="1">
      <c r="E356" s="877"/>
      <c r="F356" s="878"/>
    </row>
    <row r="357" spans="5:6" ht="15.75" customHeight="1">
      <c r="E357" s="877"/>
      <c r="F357" s="878"/>
    </row>
    <row r="358" spans="5:6" ht="15.75" customHeight="1">
      <c r="E358" s="877"/>
      <c r="F358" s="878"/>
    </row>
    <row r="359" spans="5:6" ht="15.75" customHeight="1">
      <c r="E359" s="877"/>
      <c r="F359" s="878"/>
    </row>
    <row r="360" spans="5:6" ht="15.75" customHeight="1">
      <c r="E360" s="877"/>
      <c r="F360" s="878"/>
    </row>
    <row r="361" spans="5:6" ht="15.75" customHeight="1">
      <c r="E361" s="877"/>
      <c r="F361" s="878"/>
    </row>
    <row r="362" spans="5:6" ht="15.75" customHeight="1">
      <c r="E362" s="877"/>
      <c r="F362" s="878"/>
    </row>
    <row r="363" spans="5:6" ht="15.75" customHeight="1">
      <c r="E363" s="877"/>
      <c r="F363" s="878"/>
    </row>
    <row r="364" spans="5:6" ht="15.75" customHeight="1">
      <c r="E364" s="877"/>
      <c r="F364" s="878"/>
    </row>
    <row r="365" spans="5:6" ht="15.75" customHeight="1">
      <c r="E365" s="877"/>
      <c r="F365" s="878"/>
    </row>
    <row r="366" spans="5:6" ht="15.75" customHeight="1">
      <c r="E366" s="877"/>
      <c r="F366" s="878"/>
    </row>
    <row r="367" spans="5:6" ht="15.75" customHeight="1">
      <c r="E367" s="877"/>
      <c r="F367" s="878"/>
    </row>
    <row r="368" spans="5:6" ht="15.75" customHeight="1">
      <c r="E368" s="877"/>
      <c r="F368" s="878"/>
    </row>
    <row r="369" spans="5:6" ht="15.75" customHeight="1">
      <c r="E369" s="877"/>
      <c r="F369" s="878"/>
    </row>
    <row r="370" spans="5:6" ht="15.75" customHeight="1">
      <c r="E370" s="877"/>
      <c r="F370" s="878"/>
    </row>
    <row r="371" spans="5:6" ht="15.75" customHeight="1">
      <c r="E371" s="877"/>
      <c r="F371" s="878"/>
    </row>
    <row r="372" spans="5:6" ht="15.75" customHeight="1">
      <c r="E372" s="877"/>
      <c r="F372" s="878"/>
    </row>
    <row r="373" spans="5:6" ht="15.75" customHeight="1">
      <c r="E373" s="877"/>
      <c r="F373" s="878"/>
    </row>
    <row r="374" spans="5:6" ht="15.75" customHeight="1">
      <c r="E374" s="877"/>
      <c r="F374" s="878"/>
    </row>
    <row r="375" spans="5:6" ht="15.75" customHeight="1">
      <c r="E375" s="877"/>
      <c r="F375" s="878"/>
    </row>
    <row r="376" spans="5:6" ht="15.75" customHeight="1"/>
    <row r="377" spans="5:6" ht="15.75" customHeight="1"/>
    <row r="378" spans="5:6" ht="15.75" customHeight="1"/>
    <row r="379" spans="5:6" ht="15.75" customHeight="1"/>
    <row r="380" spans="5:6" ht="15.75" customHeight="1"/>
    <row r="381" spans="5:6" ht="15.75" customHeight="1"/>
    <row r="382" spans="5:6" ht="15.75" customHeight="1"/>
    <row r="383" spans="5:6" ht="15.75" customHeight="1"/>
    <row r="384" spans="5:6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6:Z186">
    <filterColumn colId="2">
      <filters>
        <filter val="2614-25_INTERP.LIBRAS_20hs"/>
        <filter val="2614-25_INTERP.LIBRAS_30hs"/>
        <filter val="TOTAL CONTRATO (INICIAL)"/>
        <filter val="TOTAL GERAL"/>
      </filters>
    </filterColumn>
  </autoFilter>
  <mergeCells count="2">
    <mergeCell ref="B2:E2"/>
    <mergeCell ref="B5:E5"/>
  </mergeCells>
  <conditionalFormatting sqref="G7 G21:G32 G35:G46 G49 G51:G60 G63 G65:G74 G77:G78 G80:G88 G91:G102 G105 G107:G116 G119:G130 G133:G144 G147:G149 G154:G158 G161 G163:G172">
    <cfRule type="expression" dxfId="115" priority="1">
      <formula>$K$14&gt;0</formula>
    </cfRule>
  </conditionalFormatting>
  <conditionalFormatting sqref="G8:G18 G21:G32 G35:G46 G49:G60 G63:G74 G77:G88 G91:G102 G105:G116 G119:G130 G133:G144 G147:G158 G161:G172">
    <cfRule type="expression" dxfId="114" priority="2">
      <formula>$K$15&gt;0</formula>
    </cfRule>
  </conditionalFormatting>
  <conditionalFormatting sqref="G9 G23 G36:G37 G50:G51 G65 G79 G93 G107 G121 G135 G149 G163">
    <cfRule type="expression" dxfId="113" priority="3">
      <formula>$K$16&gt;0</formula>
    </cfRule>
  </conditionalFormatting>
  <conditionalFormatting sqref="G10:G11 G24:G25 G38:G39 G52:G53 G66:G67 G80:G81 G94:G95 G108:G109 G122:G123 G136:G137 G148 G150:G151 G164:G165">
    <cfRule type="expression" dxfId="112" priority="4">
      <formula>$K$17&gt;0</formula>
    </cfRule>
  </conditionalFormatting>
  <conditionalFormatting sqref="G11 G25 G39 G52:G53 G67 G81 G95 G109 G123 G137 G148 G151 G165">
    <cfRule type="expression" dxfId="111" priority="5">
      <formula>$K$18&gt;0</formula>
    </cfRule>
  </conditionalFormatting>
  <conditionalFormatting sqref="G11 G25 G39 G53 G67 G81 G95 G109 G123 G137 G151 G165">
    <cfRule type="expression" dxfId="110" priority="6">
      <formula>$K$17&gt;0</formula>
    </cfRule>
  </conditionalFormatting>
  <conditionalFormatting sqref="G12 G26 G40 G53:G54 G68 G82 G96 G110 G124 G138 G149 G152 G166">
    <cfRule type="expression" dxfId="109" priority="7">
      <formula>$K$19&gt;0</formula>
    </cfRule>
  </conditionalFormatting>
  <conditionalFormatting sqref="G13 G27 G41 G54:G55 G69 G83 G97 G111 G125 G139 G150 G153 G167">
    <cfRule type="expression" dxfId="108" priority="8">
      <formula>$K$20&gt;0</formula>
    </cfRule>
  </conditionalFormatting>
  <conditionalFormatting sqref="G14 G28 G42 G55:G56 G70 G84 G98 G112 G126 G140 G151 G154 G168">
    <cfRule type="expression" dxfId="107" priority="9">
      <formula>$K$21&gt;0</formula>
    </cfRule>
  </conditionalFormatting>
  <conditionalFormatting sqref="G15 G29 G43 G56:G57 G71 G85 G99 G113 G127 G141 G152 G155 G169">
    <cfRule type="expression" dxfId="106" priority="10">
      <formula>$K$22&gt;0</formula>
    </cfRule>
  </conditionalFormatting>
  <conditionalFormatting sqref="G16 G30 G44 G57:G58 G72 G86 G100 G114 G128 G142 G153 G156 G170">
    <cfRule type="expression" dxfId="105" priority="11">
      <formula>$K$23&gt;0</formula>
    </cfRule>
  </conditionalFormatting>
  <conditionalFormatting sqref="G17 G31 G45 G58:G59 G73 G87 G101 G115 G129 G143 G154 G157 G171">
    <cfRule type="expression" dxfId="104" priority="12">
      <formula>$K$24&gt;0</formula>
    </cfRule>
  </conditionalFormatting>
  <conditionalFormatting sqref="G18 G32 G46 G59:G60 G74 G88 G102 G116 G130 G144 G155 G158 G172">
    <cfRule type="expression" dxfId="103" priority="13">
      <formula>$K$25&gt;0</formula>
    </cfRule>
  </conditionalFormatting>
  <conditionalFormatting sqref="H18 H32 H46 H59:H60 H74 H88 H102 H116 H130 H144 H155 H158 H172">
    <cfRule type="cellIs" dxfId="102" priority="14" operator="greaterThan">
      <formula>0</formula>
    </cfRule>
  </conditionalFormatting>
  <conditionalFormatting sqref="B7:C7 B21 B35 C21:C32">
    <cfRule type="expression" dxfId="101" priority="15">
      <formula>$E$7&gt;0</formula>
    </cfRule>
  </conditionalFormatting>
  <conditionalFormatting sqref="B9:C9 B23:C23 B37">
    <cfRule type="expression" dxfId="100" priority="16">
      <formula>$E$9&gt;0</formula>
    </cfRule>
  </conditionalFormatting>
  <conditionalFormatting sqref="B10:C10 B24:C24 B38">
    <cfRule type="expression" dxfId="99" priority="17">
      <formula>$E$10&gt;0</formula>
    </cfRule>
  </conditionalFormatting>
  <conditionalFormatting sqref="B11:C11 B25:C25 B39">
    <cfRule type="expression" dxfId="98" priority="18">
      <formula>$E$11&gt;0</formula>
    </cfRule>
  </conditionalFormatting>
  <conditionalFormatting sqref="B12:C12 B26:C26 B40">
    <cfRule type="expression" dxfId="97" priority="19">
      <formula>$E$12&gt;0</formula>
    </cfRule>
  </conditionalFormatting>
  <conditionalFormatting sqref="B13 B27:C27 B41 C13:C15">
    <cfRule type="expression" dxfId="96" priority="20">
      <formula>$E$13&gt;0</formula>
    </cfRule>
  </conditionalFormatting>
  <conditionalFormatting sqref="B14:C14 B28:C28 B42">
    <cfRule type="expression" dxfId="95" priority="21">
      <formula>$E$14&gt;0</formula>
    </cfRule>
  </conditionalFormatting>
  <conditionalFormatting sqref="B15:C15 B29:C29 B43">
    <cfRule type="expression" dxfId="94" priority="22">
      <formula>$E$15&gt;0</formula>
    </cfRule>
  </conditionalFormatting>
  <conditionalFormatting sqref="B16:C16 B30:C30 B44">
    <cfRule type="expression" dxfId="93" priority="23">
      <formula>$E$16&gt;0</formula>
    </cfRule>
  </conditionalFormatting>
  <conditionalFormatting sqref="B17:C17 B31:C31 B45">
    <cfRule type="expression" dxfId="92" priority="24">
      <formula>$E$17&gt;0</formula>
    </cfRule>
  </conditionalFormatting>
  <conditionalFormatting sqref="B18:C18 B32:C32 B46">
    <cfRule type="expression" dxfId="91" priority="25">
      <formula>$E$18&gt;0</formula>
    </cfRule>
  </conditionalFormatting>
  <conditionalFormatting sqref="B8:B18 C8 B21:B32 C22 B35:B46">
    <cfRule type="expression" dxfId="90" priority="26">
      <formula>$E$8&gt;0</formula>
    </cfRule>
  </conditionalFormatting>
  <conditionalFormatting sqref="E77">
    <cfRule type="expression" dxfId="89" priority="27">
      <formula>#REF!&gt;0</formula>
    </cfRule>
  </conditionalFormatting>
  <conditionalFormatting sqref="E78">
    <cfRule type="expression" dxfId="88" priority="28">
      <formula>#REF!&gt;0</formula>
    </cfRule>
  </conditionalFormatting>
  <conditionalFormatting sqref="E79">
    <cfRule type="expression" dxfId="87" priority="29">
      <formula>#REF!&gt;0</formula>
    </cfRule>
  </conditionalFormatting>
  <conditionalFormatting sqref="E80">
    <cfRule type="expression" dxfId="86" priority="30">
      <formula>#REF!&gt;0</formula>
    </cfRule>
  </conditionalFormatting>
  <conditionalFormatting sqref="E81">
    <cfRule type="expression" dxfId="85" priority="31">
      <formula>#REF!&gt;0</formula>
    </cfRule>
  </conditionalFormatting>
  <conditionalFormatting sqref="E81">
    <cfRule type="expression" dxfId="84" priority="32">
      <formula>#REF!&gt;0</formula>
    </cfRule>
  </conditionalFormatting>
  <conditionalFormatting sqref="E77 E82">
    <cfRule type="expression" dxfId="83" priority="33">
      <formula>#REF!&gt;0</formula>
    </cfRule>
  </conditionalFormatting>
  <conditionalFormatting sqref="E83">
    <cfRule type="expression" dxfId="82" priority="34">
      <formula>#REF!&gt;0</formula>
    </cfRule>
  </conditionalFormatting>
  <conditionalFormatting sqref="E84">
    <cfRule type="expression" dxfId="81" priority="35">
      <formula>#REF!&gt;0</formula>
    </cfRule>
  </conditionalFormatting>
  <conditionalFormatting sqref="E85">
    <cfRule type="expression" dxfId="80" priority="36">
      <formula>#REF!&gt;0</formula>
    </cfRule>
  </conditionalFormatting>
  <conditionalFormatting sqref="E86">
    <cfRule type="expression" dxfId="79" priority="37">
      <formula>#REF!&gt;0</formula>
    </cfRule>
  </conditionalFormatting>
  <conditionalFormatting sqref="E87">
    <cfRule type="expression" dxfId="78" priority="38">
      <formula>#REF!&gt;0</formula>
    </cfRule>
  </conditionalFormatting>
  <conditionalFormatting sqref="E88">
    <cfRule type="expression" dxfId="77" priority="39">
      <formula>#REF!&gt;0</formula>
    </cfRule>
  </conditionalFormatting>
  <conditionalFormatting sqref="E7:F7 E21:F32 E35:F46 E49:F49 E51:F60 E63:F63 E65:F74 E77:F78 E80:F88 E91:F102 E105:F105 E107:F116 E119:F130 E133:F144 E147:F149 E154:F158 E161:F161 E163:F172">
    <cfRule type="expression" dxfId="76" priority="40">
      <formula>#REF!&gt;0</formula>
    </cfRule>
  </conditionalFormatting>
  <conditionalFormatting sqref="E8:F18 E21:F32 E35:F46 E49:F60 E63:F74 E77:F88 E91:F102 E105:F116 E119:F130 E133:F144 E147:F158 E161:F172">
    <cfRule type="expression" dxfId="75" priority="41">
      <formula>#REF!&gt;0</formula>
    </cfRule>
  </conditionalFormatting>
  <conditionalFormatting sqref="E9:F9 E23:F23 E37:F37 E51:F51 E65:F65 E79:F79 E93:F93 E107:F107 E121:F121 E135:F135 E149:F149 E163:F163">
    <cfRule type="expression" dxfId="74" priority="42">
      <formula>#REF!&gt;0</formula>
    </cfRule>
  </conditionalFormatting>
  <conditionalFormatting sqref="E10:F11 E24:F25 E38:F39 E52:F53 E66:F67 E80:F81 E94:F95 E108:F109 E122:F123 E136:F137 E150:F151 E164:F165">
    <cfRule type="expression" dxfId="73" priority="43">
      <formula>#REF!&gt;0</formula>
    </cfRule>
  </conditionalFormatting>
  <conditionalFormatting sqref="E11:F11 E25:F25 E39:F39 E53:F53 E67:F67 E81:F81 E95:F95 E109:F109 E123:F123 E137:F137 E151:F151 E165:F165">
    <cfRule type="expression" dxfId="72" priority="44">
      <formula>#REF!&gt;0</formula>
    </cfRule>
  </conditionalFormatting>
  <conditionalFormatting sqref="E11:F11 E25:F25 E39:F39 E53:F53 E67:F67 E81:F81 E95:F95 E109:F109 E123:F123 E137:F137 E151:F151 E165:F165">
    <cfRule type="expression" dxfId="71" priority="45">
      <formula>#REF!&gt;0</formula>
    </cfRule>
  </conditionalFormatting>
  <conditionalFormatting sqref="E12:F12 E26:F26 E40:F40 E54:F54 E68:F68 E82:F82 E96:F96 E110:F110 E124:F124 E138:F138 E152:F152 E166:F166">
    <cfRule type="expression" dxfId="70" priority="46">
      <formula>#REF!&gt;0</formula>
    </cfRule>
  </conditionalFormatting>
  <conditionalFormatting sqref="E13:F13 E27:F27 E41:F41 E55:F55 E69:F69 E83:F83 E97:F97 E111:F111 E125:F125 E139:F139 E153:F153 E167:F167">
    <cfRule type="expression" dxfId="69" priority="47">
      <formula>#REF!&gt;0</formula>
    </cfRule>
  </conditionalFormatting>
  <conditionalFormatting sqref="E14:F14 E28:F28 E42:F42 E56:F56 E70:F70 E84:F84 E98:F98 E112:F112 E126:F126 E140:F140 E154:F154 E168:F168">
    <cfRule type="expression" dxfId="68" priority="48">
      <formula>#REF!&gt;0</formula>
    </cfRule>
  </conditionalFormatting>
  <conditionalFormatting sqref="E15:F15 E29:F29 E43:F43 E57:F57 E71:F71 E85:F85 E99:F99 E113:F113 E127:F127 E141:F141 E155:F155 E169:F169">
    <cfRule type="expression" dxfId="67" priority="49">
      <formula>#REF!&gt;0</formula>
    </cfRule>
  </conditionalFormatting>
  <conditionalFormatting sqref="E16:F16 E30:F30 E44:F44 E58:F58 E72:F72 E86:F86 E100:F100 E114:F114 E128:F128 E142:F142 E156:F156 E170:F170">
    <cfRule type="expression" dxfId="66" priority="50">
      <formula>#REF!&gt;0</formula>
    </cfRule>
  </conditionalFormatting>
  <conditionalFormatting sqref="E17:F17 E31:F31 E45:F45 E59:F59 E73:F73 E87:F87 E101:F101 E115:F115 E129:F129 E143:F143 E157:F157 E171:F171">
    <cfRule type="expression" dxfId="65" priority="51">
      <formula>#REF!&gt;0</formula>
    </cfRule>
  </conditionalFormatting>
  <conditionalFormatting sqref="E18:F18 E32:F32 E46:F46 E60:F60 E74:F74 E88:F88 E102:F102 E116:F116 E130:F130 E144:F144 E158:F158 E172:F172">
    <cfRule type="expression" dxfId="64" priority="52">
      <formula>#REF!&gt;0</formula>
    </cfRule>
  </conditionalFormatting>
  <conditionalFormatting sqref="E7:F7 E21:F32 E35:F46 E49:F49 E51:F60 E63:F63 E65:F74 E77:F78 E80:F88 E91:F102 E105:F105 E107:F116 E119:F130 E133:F144 E147:F149 E154:F158 E161:F161 E163:F172">
    <cfRule type="expression" dxfId="63" priority="53">
      <formula>#REF!&gt;0</formula>
    </cfRule>
  </conditionalFormatting>
  <conditionalFormatting sqref="E8:F18 E21:F32 E35:F46 E49:F60 E63:F74 E77:F88 E91:F102 E105:F116 E119:F130 E133:F144 E147:F158 E161:F172">
    <cfRule type="expression" dxfId="62" priority="54">
      <formula>#REF!&gt;0</formula>
    </cfRule>
  </conditionalFormatting>
  <conditionalFormatting sqref="E9:F9 E23:F23 E37:F37 E51:F51 E65:F65 E79:F79 E93:F93 E107:F107 E121:F121 E135:E144 F135 E149:F149 E163:F163">
    <cfRule type="expression" dxfId="61" priority="55">
      <formula>#REF!&gt;0</formula>
    </cfRule>
  </conditionalFormatting>
  <conditionalFormatting sqref="E10:F10 E24:F24 E38:F38 E52:F52 E66:F66 E80:F80 E94:F94 E108:F108 E122:E130 F122 E136:E144 F136 E150:F150 E164:F164">
    <cfRule type="expression" dxfId="60" priority="56">
      <formula>#REF!&gt;0</formula>
    </cfRule>
  </conditionalFormatting>
  <conditionalFormatting sqref="E11:F11 E25:F25 E39:F39 E53:F53 E67:F67 E81:F81 E95:F95 E109:F109 E123:E130 F123 E137:E144 F137 E151:F151 E165:F165">
    <cfRule type="expression" dxfId="59" priority="57">
      <formula>#REF!&gt;0</formula>
    </cfRule>
  </conditionalFormatting>
  <conditionalFormatting sqref="E11:F11 E25:F25 E39:F39 E53:F53 E67:F67 E81:F81 E95:F95 E109:F109 E123:E130 F123 E137:E144 F137 E151:F151 E165:F165">
    <cfRule type="expression" dxfId="58" priority="58">
      <formula>#REF!&gt;0</formula>
    </cfRule>
  </conditionalFormatting>
  <conditionalFormatting sqref="E12:F12 E26:F26 E40:F40 E54:F54 E68:F68 E77 E82:F82 E96:F96 E110:F110 E124:E130 F124 E138:E144 F138 E152:F152 E166:F166">
    <cfRule type="expression" dxfId="57" priority="59">
      <formula>#REF!&gt;0</formula>
    </cfRule>
  </conditionalFormatting>
  <conditionalFormatting sqref="E13:F13 E27:F27 E41:F41 E55:F55 E69:F69 E83:F83 E97:F97 E111:F111 E125:E130 F125 E139:E144 F139 E153:F153 E167:F167">
    <cfRule type="expression" dxfId="56" priority="60">
      <formula>#REF!&gt;0</formula>
    </cfRule>
  </conditionalFormatting>
  <conditionalFormatting sqref="E14:F14 E28:F28 E42:F42 E56:F56 E70:F70 E84:F84 E98:F98 E112:F112 E126:E130 F126 E140:E144 F140 E154:F154 E168:F168">
    <cfRule type="expression" dxfId="55" priority="61">
      <formula>#REF!&gt;0</formula>
    </cfRule>
  </conditionalFormatting>
  <conditionalFormatting sqref="E15:F15 E29:F29 E43:F43 E57:F57 E71:F71 E85:F85 E99:F99 E113:F113 E127:E130 F127 E141:E144 F141 E155:F155 E169:F169">
    <cfRule type="expression" dxfId="54" priority="62">
      <formula>#REF!&gt;0</formula>
    </cfRule>
  </conditionalFormatting>
  <conditionalFormatting sqref="E16:F16 E30:F30 E44:F44 E58:F58 E72:F72 E86:F86 E100:F100 E114:F114 E128:E130 F128 E142:E144 F142 E156:F156 E170:F170">
    <cfRule type="expression" dxfId="53" priority="63">
      <formula>#REF!&gt;0</formula>
    </cfRule>
  </conditionalFormatting>
  <conditionalFormatting sqref="E17:F17 E31:F31 E45:F45 E59:F59 E73:F73 E87:F87 E101:F101 E115:F115 E129:E130 F129 E143:E144 F143 E157:F157 E171:F171">
    <cfRule type="expression" dxfId="52" priority="64">
      <formula>#REF!&gt;0</formula>
    </cfRule>
  </conditionalFormatting>
  <conditionalFormatting sqref="E18:F18 E32:F32 E46:F46 E60:F60 E74:F74 E88:F88 E102:F102 E116:F116 E130:F130 E144:F144 E158:F158 E172:F172">
    <cfRule type="expression" dxfId="51" priority="65">
      <formula>#REF!&gt;0</formula>
    </cfRule>
  </conditionalFormatting>
  <conditionalFormatting sqref="F5:F7 D7:D18 D21:D32 F21:F32 D35:D46 F35:F46 D49:D60 F49 F51:F60 D63:D74 F63 F65:F74 D77:D88 E77:E86 F77:F78 F80:F88 D91:D102 F91:F102 D105:D116 F105 E107:F116 D119:D130 F119:F130 E121:E130 D133:D144 F133:F144 E135:E144 D147:D158 F147:F149 F154:F158 D161:D172 F161 F163:F172">
    <cfRule type="cellIs" dxfId="50" priority="66" operator="greaterThan">
      <formula>0</formula>
    </cfRule>
  </conditionalFormatting>
  <conditionalFormatting sqref="D7:D18 D21:D32 D35:D46 D49:D60 D63:D74 D77:D88 D91:D102 D105:D116 D119:D130 D133:D144 D147:D158 D161:D172">
    <cfRule type="cellIs" dxfId="49" priority="67" operator="greaterThan">
      <formula>0</formula>
    </cfRule>
  </conditionalFormatting>
  <conditionalFormatting sqref="D8:D18 D21:D32 D35:D46 D49:D60 D63:D74 D77:D88 D91:D102 D105:D116 D119:D130 D133:D144 D147:D158 D161:D172">
    <cfRule type="cellIs" dxfId="48" priority="68" operator="greaterThan">
      <formula>0</formula>
    </cfRule>
  </conditionalFormatting>
  <conditionalFormatting sqref="D8:D18 D21:D32 D35:D46 D49:D60 D63:D74 D77:D88 D91:D102 D105:D116 D119:D130 D133:D144 D147:D158 D161:D172">
    <cfRule type="cellIs" dxfId="47" priority="69" operator="greaterThan">
      <formula>0</formula>
    </cfRule>
  </conditionalFormatting>
  <conditionalFormatting sqref="D9:D18 D23:D32 D37:D46 D51:D60 D65:D74 D79:D88 D93:D102 D107:D116 D121:D130 D135:D144 D149:D158 D163:D172">
    <cfRule type="cellIs" dxfId="46" priority="70" operator="greaterThan">
      <formula>0</formula>
    </cfRule>
  </conditionalFormatting>
  <conditionalFormatting sqref="D9:D18 D23:D32 D37:D46 D51:D60 D65:D74 D79:D88 D93:D102 D107:D116 D121:D130 D135:D144 D149:D158 D163:D172">
    <cfRule type="cellIs" dxfId="45" priority="71" operator="greaterThan">
      <formula>0</formula>
    </cfRule>
  </conditionalFormatting>
  <conditionalFormatting sqref="B7:C7 B21 B35 B49 B63 B77 B91 B105 B119 B133 B147 B161 C21:C32 C35:C46 C49:C60 C63:C74 C77:C88 C91:C102 C105:C116 C119:C130 C133:C144 C147:C158 C161:C172">
    <cfRule type="expression" dxfId="44" priority="72">
      <formula>$D$7&gt;0</formula>
    </cfRule>
  </conditionalFormatting>
  <conditionalFormatting sqref="B7:C7 B21 B35 B49 B63 B77 B91 B105 B119 B133 B147 B161 C21:C32 C35:C46 C49:C60 C63:C74 C77:C88 C91:C102 C105:C116 C119:C130 C133:C144 C147:C158 C161:C172">
    <cfRule type="expression" dxfId="43" priority="73">
      <formula>$C$7&gt;0</formula>
    </cfRule>
  </conditionalFormatting>
  <conditionalFormatting sqref="B9:C9 B23:C23 B37:C37 B51:C51 B65:C65 B79:C79 B93:C93 B107:C107 B121:C121 B135:C135 B149:C149 B163:C163">
    <cfRule type="expression" dxfId="42" priority="74">
      <formula>$D$9&gt;0</formula>
    </cfRule>
  </conditionalFormatting>
  <conditionalFormatting sqref="B10:C10 B24:C24 B38:C38 B52:C52 B66:C66 B80:C80 B94:C94 B108:C108 B122:C122 B136:C136 B150:C150 B164:C164">
    <cfRule type="expression" dxfId="41" priority="75">
      <formula>$D$10&gt;0</formula>
    </cfRule>
  </conditionalFormatting>
  <conditionalFormatting sqref="B11:C11 B25:C25 B39:C39 B53:C53 B67:C67 B81:C81 B95:C95 B109:C109 B123:C123 B137:C137 B151:C151 B165:C165">
    <cfRule type="expression" dxfId="40" priority="76">
      <formula>$D$11&gt;0</formula>
    </cfRule>
  </conditionalFormatting>
  <conditionalFormatting sqref="B12:C12 B26:C26 B40:C40 B54:C54 B68:C68 B82:C82 B96:C96 B110:C110 B124:C124 B138:C138 B152:C152 B166:C166">
    <cfRule type="expression" dxfId="39" priority="77">
      <formula>$D$12&gt;0</formula>
    </cfRule>
  </conditionalFormatting>
  <conditionalFormatting sqref="B13 B27:C27 B41:C41 B55:C55 B69:C69 B83:C83 B97:C97 B111:C111 B125:C125 B139:C139 B153:C153 B167:C167 C13:C15">
    <cfRule type="expression" dxfId="38" priority="78">
      <formula>$D$13&gt;0</formula>
    </cfRule>
  </conditionalFormatting>
  <conditionalFormatting sqref="B14:C14 B28:C28 B42:C42 B56:C56 B70:C70 B84:C84 B98:C98 B112:C112 B126:C126 B140:C140 B154:C154 B168:C168">
    <cfRule type="expression" dxfId="37" priority="79">
      <formula>$D$14&gt;0</formula>
    </cfRule>
  </conditionalFormatting>
  <conditionalFormatting sqref="B15:C15 B29:C29 B43:C43 B57:C57 B71:C71 B85:C85 B99:C99 B113:C113 B127:C127 B141:C141 B155:C155 B169:C169">
    <cfRule type="expression" dxfId="36" priority="80">
      <formula>$D$15&gt;0</formula>
    </cfRule>
  </conditionalFormatting>
  <conditionalFormatting sqref="B16:C16 B30:C30 B44:C44 B58:C58 B72:C72 B86:C86 B100:C100 B114:C114 B128:C128 B142:C142 B156:C156 B170:C170">
    <cfRule type="expression" dxfId="35" priority="81">
      <formula>$D$16&gt;0</formula>
    </cfRule>
  </conditionalFormatting>
  <conditionalFormatting sqref="B17:C17 B31:C31 B45:C45 B59:C59 B73:C73 B87:C87 B101:C101 B115:C115 B129:C129 B143:C143 B157:C157 B171:C171">
    <cfRule type="expression" dxfId="34" priority="82">
      <formula>$D$17&gt;0</formula>
    </cfRule>
  </conditionalFormatting>
  <conditionalFormatting sqref="B18:C18 B32:C32 B46:C46 B60:C60 B74:C74 B88:C88 B102:C102 B116:C116 B130:C130 B144:C144 B158:C158 B172:C172">
    <cfRule type="expression" dxfId="33" priority="83">
      <formula>$D$18&gt;0</formula>
    </cfRule>
  </conditionalFormatting>
  <conditionalFormatting sqref="C7:C18 B8:B18 B21:C32 B35:B46 C36 B50:B60 C50 B64:B74 C64 B78:B88 C78 B92:B102 C92 B106:B116 C106 B120:B130 C120 B134:B144 C134 B148:B158 C148 B162:B172 C162">
    <cfRule type="expression" dxfId="32" priority="84">
      <formula>$D$8&gt;0</formula>
    </cfRule>
  </conditionalFormatting>
  <conditionalFormatting sqref="F6 D8:D18 D21:D32 D35:D46 D49:D60 D63:D74 D77:D88 E85 D91:D102 D105:D116 E115 D119:D130 D133:D144 D147:D158 D161:D172">
    <cfRule type="cellIs" dxfId="31" priority="85" operator="greaterThan">
      <formula>0</formula>
    </cfRule>
  </conditionalFormatting>
  <conditionalFormatting sqref="D7:D18 D21:D32 D35:D46 D49:D60 D63:D74 D77:D88 D91:D102 D105:D116 D119:D130 D133:D144 D147:D158 D161:D172">
    <cfRule type="cellIs" dxfId="30" priority="86" operator="greaterThan">
      <formula>0</formula>
    </cfRule>
  </conditionalFormatting>
  <conditionalFormatting sqref="D9 D23 D37 D51 D65 E77 D79 D93 D107:E107 D121:E121 D135 E135:E144 D149 D163">
    <cfRule type="cellIs" dxfId="29" priority="87" operator="greaterThan">
      <formula>0</formula>
    </cfRule>
  </conditionalFormatting>
  <conditionalFormatting sqref="D10 D24 D38 D52:D60 D66 D80 D94 D108 D122 D136 D150 D164">
    <cfRule type="cellIs" dxfId="28" priority="88" operator="greaterThan">
      <formula>0</formula>
    </cfRule>
  </conditionalFormatting>
  <conditionalFormatting sqref="D11 D25 D39:D46 D53 D67 D81 D95 D109 D123 D137 D151 D165">
    <cfRule type="cellIs" dxfId="27" priority="89" operator="greaterThan">
      <formula>0</formula>
    </cfRule>
  </conditionalFormatting>
  <conditionalFormatting sqref="D12 D26 D40 D54 D68 D82 D96 D110 D124 D138 D152:D153 D166">
    <cfRule type="cellIs" dxfId="26" priority="90" operator="greaterThan">
      <formula>0</formula>
    </cfRule>
  </conditionalFormatting>
  <conditionalFormatting sqref="F7 D13 D18 F21:F32 D27 D32 F35:F46 D41 D46 F49 F51:F60 D55 D60 F63 F65:F74 D69 D74 F77:F78 F80:F88 D83 E86 D88 F91:F102 D97 D102 F105 F107:F116 D111 D116:E116 F119:F130 D125 D130:E130 F133:F144 D139 D144:E144 F147:F149 D153 F154:F158 D158 F161 F163:F172 D167 D172">
    <cfRule type="cellIs" dxfId="25" priority="91" operator="lessThan">
      <formula>0</formula>
    </cfRule>
  </conditionalFormatting>
  <conditionalFormatting sqref="D14 H17 D28 H31 D42 H45 D56 H58:H59 D70 H73 E77 E82 D84 H87 D98 H101 D112:E112 H115 D126 E126:E130 H129 D140 E140:E144 H143 H150 D154 H154 H157 D168 H171">
    <cfRule type="cellIs" dxfId="24" priority="92" operator="greaterThan">
      <formula>0</formula>
    </cfRule>
  </conditionalFormatting>
  <conditionalFormatting sqref="H7:H8 D15 H16 H21:H22 D29 H30 H35:H36 D43 H44 H49:H50 D57 H57:H58 H63:H64 D71 H72 H77:H79 D85 H86 H91:H92 D99 H100 H105:H106 D113 H114 H119:H120 D127 H128 H133:H134 D141 H142 H147:H149 H151:H153 D155 H156 H161:H162 D169 H170">
    <cfRule type="cellIs" dxfId="23" priority="93" operator="greaterThan">
      <formula>0</formula>
    </cfRule>
  </conditionalFormatting>
  <conditionalFormatting sqref="D16 D30 D44 D58 D72 D86 D100 D114 D128 D142 D156 D170">
    <cfRule type="cellIs" dxfId="22" priority="94" operator="greaterThan">
      <formula>0</formula>
    </cfRule>
  </conditionalFormatting>
  <conditionalFormatting sqref="D17 D31 D45 D59 D73 D87 D101 D115 D129 D143 D157 D171">
    <cfRule type="cellIs" dxfId="21" priority="95" operator="greaterThan">
      <formula>0</formula>
    </cfRule>
  </conditionalFormatting>
  <conditionalFormatting sqref="D18 D32 D46 D60 D74 D88 D102 D116 D130 D144 D158 D172">
    <cfRule type="cellIs" dxfId="20" priority="96" operator="greaterThan">
      <formula>0</formula>
    </cfRule>
  </conditionalFormatting>
  <printOptions horizontalCentered="1" gridLines="1"/>
  <pageMargins left="0.7" right="0.7" top="0.75" bottom="0.75" header="0" footer="0"/>
  <pageSetup paperSize="9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19</vt:i4>
      </vt:variant>
    </vt:vector>
  </HeadingPairs>
  <TitlesOfParts>
    <vt:vector size="19" baseType="lpstr">
      <vt:lpstr>DADOS-CADASTRAIS</vt:lpstr>
      <vt:lpstr>CAMPUS.CONTRATANTE</vt:lpstr>
      <vt:lpstr>1-ABA-DE-CARREGAMENTO</vt:lpstr>
      <vt:lpstr>PROPOSTA DO SERVIÇO</vt:lpstr>
      <vt:lpstr>Uniformes - EPIs_TODOS</vt:lpstr>
      <vt:lpstr>Insumos_Base</vt:lpstr>
      <vt:lpstr>2614-25_INTERP.LIBRAS_30hs</vt:lpstr>
      <vt:lpstr>2614-25_INTERP.LIBRAS_20hs</vt:lpstr>
      <vt:lpstr>TOTALIZADORES_IFFar</vt:lpstr>
      <vt:lpstr>A NÃO TEM MAIS POSTOS-00</vt:lpstr>
      <vt:lpstr>A NÃO TEM MAIS POSTOS-11</vt:lpstr>
      <vt:lpstr>A NÃO TEM MAIS POSTOS-22</vt:lpstr>
      <vt:lpstr>A NÃO TEM MAIS POSTOS-33</vt:lpstr>
      <vt:lpstr>A NÃO TEM MAIS POSTOS-44</vt:lpstr>
      <vt:lpstr>A NAO TEM MAIS POSTO 55</vt:lpstr>
      <vt:lpstr>A NAO TEM MAIS POSTO 66</vt:lpstr>
      <vt:lpstr>A NAO TEM MAIS POSTO 77</vt:lpstr>
      <vt:lpstr>A NÃO TEM MAIS POSTOS-88</vt:lpstr>
      <vt:lpstr>A NÃO TEM MAIS POSTOS-99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Thomé</dc:creator>
  <cp:lastModifiedBy>Luiz Ariel de Oliveira Tibola</cp:lastModifiedBy>
  <cp:lastPrinted>2024-01-16T12:11:43Z</cp:lastPrinted>
  <dcterms:created xsi:type="dcterms:W3CDTF">2024-01-15T14:43:50Z</dcterms:created>
  <dcterms:modified xsi:type="dcterms:W3CDTF">2024-01-16T12:31:53Z</dcterms:modified>
</cp:coreProperties>
</file>