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parodes\Desktop\DAD2022\COF\Execução Orçamento\Orçamento 2022\"/>
    </mc:Choice>
  </mc:AlternateContent>
  <bookViews>
    <workbookView xWindow="0" yWindow="0" windowWidth="28800" windowHeight="11700" firstSheet="1" activeTab="2"/>
  </bookViews>
  <sheets>
    <sheet name="Instruções" sheetId="1" state="hidden" r:id="rId1"/>
    <sheet name="2022 3º Trimestre" sheetId="2" r:id="rId2"/>
    <sheet name="Gráficos " sheetId="3" r:id="rId3"/>
  </sheets>
  <definedNames>
    <definedName name="Z_09FC6024_7494_4122_9390_102743B523E2_.wvu.FilterData" localSheetId="1" hidden="1">'2022 3º Trimestre'!$C$1:$C$789</definedName>
  </definedNames>
  <calcPr calcId="162913"/>
  <customWorkbookViews>
    <customWorkbookView name="Filtro 1" guid="{09FC6024-7494-4122-9390-102743B523E2}" maximized="1" windowWidth="0" windowHeight="0" activeSheetId="0"/>
  </customWorkbookViews>
</workbook>
</file>

<file path=xl/calcChain.xml><?xml version="1.0" encoding="utf-8"?>
<calcChain xmlns="http://schemas.openxmlformats.org/spreadsheetml/2006/main">
  <c r="BN5" i="2" l="1"/>
  <c r="AB592" i="2" l="1"/>
  <c r="AC592" i="2"/>
  <c r="AD592" i="2"/>
  <c r="AE592" i="2"/>
  <c r="AF592" i="2"/>
  <c r="AG592" i="2"/>
  <c r="AH592" i="2"/>
  <c r="AI592" i="2"/>
  <c r="AJ592" i="2"/>
  <c r="AK592" i="2"/>
  <c r="AL592" i="2"/>
  <c r="AM592" i="2"/>
  <c r="AN592" i="2"/>
  <c r="AO592" i="2"/>
  <c r="AP592" i="2"/>
  <c r="AQ592" i="2"/>
  <c r="AR592" i="2"/>
  <c r="AS592" i="2"/>
  <c r="AT592" i="2"/>
  <c r="AU592" i="2"/>
  <c r="AV592" i="2"/>
  <c r="AW592" i="2"/>
  <c r="AX592" i="2"/>
  <c r="AY592" i="2"/>
  <c r="AZ592" i="2"/>
  <c r="BA592" i="2"/>
  <c r="BB592" i="2"/>
  <c r="BC592" i="2"/>
  <c r="BD592" i="2"/>
  <c r="BE592" i="2"/>
  <c r="BF592" i="2"/>
  <c r="BG592" i="2"/>
  <c r="BH592" i="2"/>
  <c r="BI592" i="2"/>
  <c r="BJ592" i="2"/>
  <c r="BK592" i="2"/>
  <c r="BL592" i="2"/>
  <c r="BM592" i="2"/>
  <c r="BN592" i="2"/>
  <c r="BO592" i="2"/>
  <c r="BP592" i="2"/>
  <c r="BQ592" i="2"/>
  <c r="BR592" i="2"/>
  <c r="BS592" i="2"/>
  <c r="BT592" i="2"/>
  <c r="BU592" i="2"/>
  <c r="BV592" i="2"/>
  <c r="BW592" i="2"/>
  <c r="AA592" i="2"/>
  <c r="L592" i="2"/>
  <c r="M592" i="2"/>
  <c r="N592" i="2"/>
  <c r="O592" i="2"/>
  <c r="P592" i="2"/>
  <c r="Q592" i="2"/>
  <c r="R592" i="2"/>
  <c r="S592" i="2"/>
  <c r="T592" i="2"/>
  <c r="U592" i="2"/>
  <c r="V592" i="2"/>
  <c r="W592" i="2"/>
  <c r="E592" i="2"/>
  <c r="F592" i="2"/>
  <c r="G592" i="2"/>
  <c r="H592" i="2"/>
  <c r="I592" i="2"/>
  <c r="J592" i="2"/>
  <c r="K592" i="2"/>
  <c r="AB583" i="2"/>
  <c r="AC583" i="2"/>
  <c r="AD583" i="2"/>
  <c r="AE583" i="2"/>
  <c r="AF583" i="2"/>
  <c r="AG583" i="2"/>
  <c r="AH583" i="2"/>
  <c r="AI583" i="2"/>
  <c r="AJ583" i="2"/>
  <c r="AK583" i="2"/>
  <c r="AL583" i="2"/>
  <c r="AM583" i="2"/>
  <c r="AN583" i="2"/>
  <c r="AO583" i="2"/>
  <c r="AP583" i="2"/>
  <c r="AQ583" i="2"/>
  <c r="AR583" i="2"/>
  <c r="AS583" i="2"/>
  <c r="AT583" i="2"/>
  <c r="AU583" i="2"/>
  <c r="AV583" i="2"/>
  <c r="AW583" i="2"/>
  <c r="AX583" i="2"/>
  <c r="AY583" i="2"/>
  <c r="AZ583" i="2"/>
  <c r="BA583" i="2"/>
  <c r="BB583" i="2"/>
  <c r="BC583" i="2"/>
  <c r="BD583" i="2"/>
  <c r="BE583" i="2"/>
  <c r="BF583" i="2"/>
  <c r="BG583" i="2"/>
  <c r="BH583" i="2"/>
  <c r="BI583" i="2"/>
  <c r="BJ583" i="2"/>
  <c r="BK583" i="2"/>
  <c r="BL583" i="2"/>
  <c r="BM583" i="2"/>
  <c r="BN583" i="2"/>
  <c r="BO583" i="2"/>
  <c r="BP583" i="2"/>
  <c r="BQ583" i="2"/>
  <c r="BR583" i="2"/>
  <c r="BS583" i="2"/>
  <c r="BT583" i="2"/>
  <c r="BU583" i="2"/>
  <c r="BV583" i="2"/>
  <c r="BW583" i="2"/>
  <c r="AA583" i="2"/>
  <c r="L583" i="2"/>
  <c r="M583" i="2"/>
  <c r="N583" i="2"/>
  <c r="O583" i="2"/>
  <c r="P583" i="2"/>
  <c r="Q583" i="2"/>
  <c r="R583" i="2"/>
  <c r="S583" i="2"/>
  <c r="T583" i="2"/>
  <c r="U583" i="2"/>
  <c r="V583" i="2"/>
  <c r="W583" i="2"/>
  <c r="E583" i="2"/>
  <c r="F583" i="2"/>
  <c r="G583" i="2"/>
  <c r="H583" i="2"/>
  <c r="I583" i="2"/>
  <c r="J583" i="2"/>
  <c r="K583" i="2"/>
  <c r="K578" i="2"/>
  <c r="AB570" i="2"/>
  <c r="AC570" i="2"/>
  <c r="AD570" i="2"/>
  <c r="AE570" i="2"/>
  <c r="AF570" i="2"/>
  <c r="AG570" i="2"/>
  <c r="AH570" i="2"/>
  <c r="AI570" i="2"/>
  <c r="AJ570" i="2"/>
  <c r="AK570" i="2"/>
  <c r="AL570" i="2"/>
  <c r="AM570" i="2"/>
  <c r="AN570" i="2"/>
  <c r="AO570" i="2"/>
  <c r="AP570" i="2"/>
  <c r="AQ570" i="2"/>
  <c r="AR570" i="2"/>
  <c r="AS570" i="2"/>
  <c r="AT570" i="2"/>
  <c r="AU570" i="2"/>
  <c r="AV570" i="2"/>
  <c r="AW570" i="2"/>
  <c r="AX570" i="2"/>
  <c r="AY570" i="2"/>
  <c r="AZ570" i="2"/>
  <c r="BA570" i="2"/>
  <c r="BB570" i="2"/>
  <c r="BC570" i="2"/>
  <c r="BD570" i="2"/>
  <c r="BE570" i="2"/>
  <c r="BF570" i="2"/>
  <c r="BG570" i="2"/>
  <c r="BH570" i="2"/>
  <c r="BI570" i="2"/>
  <c r="BJ570" i="2"/>
  <c r="BK570" i="2"/>
  <c r="BL570" i="2"/>
  <c r="BM570" i="2"/>
  <c r="BN570" i="2"/>
  <c r="BO570" i="2"/>
  <c r="BP570" i="2"/>
  <c r="BQ570" i="2"/>
  <c r="BR570" i="2"/>
  <c r="BS570" i="2"/>
  <c r="BT570" i="2"/>
  <c r="BU570" i="2"/>
  <c r="BV570" i="2"/>
  <c r="BW570" i="2"/>
  <c r="AA570" i="2"/>
  <c r="L570" i="2"/>
  <c r="M570" i="2"/>
  <c r="N570" i="2"/>
  <c r="O570" i="2"/>
  <c r="P570" i="2"/>
  <c r="Q570" i="2"/>
  <c r="R570" i="2"/>
  <c r="S570" i="2"/>
  <c r="T570" i="2"/>
  <c r="U570" i="2"/>
  <c r="V570" i="2"/>
  <c r="W570" i="2"/>
  <c r="E570" i="2"/>
  <c r="F570" i="2"/>
  <c r="G570" i="2"/>
  <c r="H570" i="2"/>
  <c r="I570" i="2"/>
  <c r="J570" i="2"/>
  <c r="K570" i="2"/>
  <c r="K587" i="2"/>
  <c r="K573" i="2"/>
  <c r="K571" i="2"/>
  <c r="AB572" i="2"/>
  <c r="AC572" i="2"/>
  <c r="AD572" i="2"/>
  <c r="AE572" i="2"/>
  <c r="AF572" i="2"/>
  <c r="AG572" i="2"/>
  <c r="AH572" i="2"/>
  <c r="AI572" i="2"/>
  <c r="AJ572" i="2"/>
  <c r="AK572" i="2"/>
  <c r="AL572" i="2"/>
  <c r="AM572" i="2"/>
  <c r="AN572" i="2"/>
  <c r="AO572" i="2"/>
  <c r="AP572" i="2"/>
  <c r="AQ572" i="2"/>
  <c r="AR572" i="2"/>
  <c r="AS572" i="2"/>
  <c r="AT572" i="2"/>
  <c r="AU572" i="2"/>
  <c r="AV572" i="2"/>
  <c r="AW572" i="2"/>
  <c r="AX572" i="2"/>
  <c r="AY572" i="2"/>
  <c r="AZ572" i="2"/>
  <c r="BA572" i="2"/>
  <c r="BB572" i="2"/>
  <c r="BC572" i="2"/>
  <c r="BD572" i="2"/>
  <c r="BE572" i="2"/>
  <c r="BF572" i="2"/>
  <c r="BG572" i="2"/>
  <c r="BH572" i="2"/>
  <c r="BI572" i="2"/>
  <c r="BJ572" i="2"/>
  <c r="BK572" i="2"/>
  <c r="BL572" i="2"/>
  <c r="BM572" i="2"/>
  <c r="BN572" i="2"/>
  <c r="BO572" i="2"/>
  <c r="BP572" i="2"/>
  <c r="BQ572" i="2"/>
  <c r="BR572" i="2"/>
  <c r="BS572" i="2"/>
  <c r="BT572" i="2"/>
  <c r="BU572" i="2"/>
  <c r="BV572" i="2"/>
  <c r="BW572" i="2"/>
  <c r="AA572" i="2"/>
  <c r="V572" i="2"/>
  <c r="W572" i="2"/>
  <c r="E572" i="2"/>
  <c r="F572" i="2"/>
  <c r="G572" i="2"/>
  <c r="H572" i="2"/>
  <c r="I572" i="2"/>
  <c r="J572" i="2"/>
  <c r="K572" i="2"/>
  <c r="K500" i="2" s="1"/>
  <c r="L572" i="2"/>
  <c r="M572" i="2"/>
  <c r="N572" i="2"/>
  <c r="O572" i="2"/>
  <c r="P572" i="2"/>
  <c r="Q572" i="2"/>
  <c r="R572" i="2"/>
  <c r="S572" i="2"/>
  <c r="T572" i="2"/>
  <c r="U572" i="2"/>
  <c r="U568" i="2"/>
  <c r="U567" i="2"/>
  <c r="U548" i="2"/>
  <c r="U549" i="2"/>
  <c r="AB537" i="2"/>
  <c r="AC537" i="2"/>
  <c r="AD537" i="2"/>
  <c r="AE537" i="2"/>
  <c r="AF537" i="2"/>
  <c r="AG537" i="2"/>
  <c r="AH537" i="2"/>
  <c r="AI537" i="2"/>
  <c r="AJ537" i="2"/>
  <c r="AK537" i="2"/>
  <c r="AL537" i="2"/>
  <c r="AM537" i="2"/>
  <c r="AN537" i="2"/>
  <c r="AO537" i="2"/>
  <c r="AP537" i="2"/>
  <c r="AQ537" i="2"/>
  <c r="AR537" i="2"/>
  <c r="AS537" i="2"/>
  <c r="AT537" i="2"/>
  <c r="AU537" i="2"/>
  <c r="AV537" i="2"/>
  <c r="AW537" i="2"/>
  <c r="AX537" i="2"/>
  <c r="AY537" i="2"/>
  <c r="AZ537" i="2"/>
  <c r="BA537" i="2"/>
  <c r="BB537" i="2"/>
  <c r="BC537" i="2"/>
  <c r="BD537" i="2"/>
  <c r="BE537" i="2"/>
  <c r="BF537" i="2"/>
  <c r="BG537" i="2"/>
  <c r="BH537" i="2"/>
  <c r="BI537" i="2"/>
  <c r="BJ537" i="2"/>
  <c r="BK537" i="2"/>
  <c r="BL537" i="2"/>
  <c r="BM537" i="2"/>
  <c r="BN537" i="2"/>
  <c r="BO537" i="2"/>
  <c r="BP537" i="2"/>
  <c r="BQ537" i="2"/>
  <c r="BR537" i="2"/>
  <c r="BS537" i="2"/>
  <c r="BT537" i="2"/>
  <c r="BU537" i="2"/>
  <c r="BV537" i="2"/>
  <c r="BW537" i="2"/>
  <c r="AA537" i="2"/>
  <c r="L537" i="2"/>
  <c r="M537" i="2"/>
  <c r="N537" i="2"/>
  <c r="O537" i="2"/>
  <c r="P537" i="2"/>
  <c r="Q537" i="2"/>
  <c r="R537" i="2"/>
  <c r="S537" i="2"/>
  <c r="T537" i="2"/>
  <c r="U537" i="2"/>
  <c r="V537" i="2"/>
  <c r="W537" i="2"/>
  <c r="E537" i="2"/>
  <c r="F537" i="2"/>
  <c r="G537" i="2"/>
  <c r="H537" i="2"/>
  <c r="I537" i="2"/>
  <c r="J537" i="2"/>
  <c r="K537" i="2"/>
  <c r="O473" i="2"/>
  <c r="K473" i="2"/>
  <c r="O3" i="2"/>
  <c r="O550" i="2"/>
  <c r="K550" i="2"/>
  <c r="K3" i="2"/>
  <c r="AB576" i="2"/>
  <c r="AC576" i="2"/>
  <c r="AD576" i="2"/>
  <c r="AE576" i="2"/>
  <c r="AF576" i="2"/>
  <c r="AG576" i="2"/>
  <c r="AH576" i="2"/>
  <c r="AI576" i="2"/>
  <c r="AJ576" i="2"/>
  <c r="AK576" i="2"/>
  <c r="AL576" i="2"/>
  <c r="AM576" i="2"/>
  <c r="AN576" i="2"/>
  <c r="AO576" i="2"/>
  <c r="AP576" i="2"/>
  <c r="AQ576" i="2"/>
  <c r="AR576" i="2"/>
  <c r="AS576" i="2"/>
  <c r="AT576" i="2"/>
  <c r="AU576" i="2"/>
  <c r="AV576" i="2"/>
  <c r="AW576" i="2"/>
  <c r="AX576" i="2"/>
  <c r="AY576" i="2"/>
  <c r="AZ576" i="2"/>
  <c r="BA576" i="2"/>
  <c r="BB576" i="2"/>
  <c r="BC576" i="2"/>
  <c r="BD576" i="2"/>
  <c r="BE576" i="2"/>
  <c r="BF576" i="2"/>
  <c r="BG576" i="2"/>
  <c r="BH576" i="2"/>
  <c r="BI576" i="2"/>
  <c r="BJ576" i="2"/>
  <c r="BK576" i="2"/>
  <c r="BL576" i="2"/>
  <c r="BM576" i="2"/>
  <c r="BN576" i="2"/>
  <c r="BO576" i="2"/>
  <c r="BP576" i="2"/>
  <c r="BQ576" i="2"/>
  <c r="BR576" i="2"/>
  <c r="BS576" i="2"/>
  <c r="BT576" i="2"/>
  <c r="BU576" i="2"/>
  <c r="BV576" i="2"/>
  <c r="BW576" i="2"/>
  <c r="AA576" i="2"/>
  <c r="F576" i="2"/>
  <c r="G576" i="2"/>
  <c r="H576" i="2"/>
  <c r="I576" i="2"/>
  <c r="J576" i="2"/>
  <c r="K576" i="2"/>
  <c r="L576" i="2"/>
  <c r="M576" i="2"/>
  <c r="N576" i="2"/>
  <c r="O576" i="2"/>
  <c r="P576" i="2"/>
  <c r="Q576" i="2"/>
  <c r="R576" i="2"/>
  <c r="S576" i="2"/>
  <c r="T576" i="2"/>
  <c r="U576" i="2"/>
  <c r="V576" i="2"/>
  <c r="W576" i="2"/>
  <c r="E576" i="2"/>
  <c r="E521" i="2"/>
  <c r="F521" i="2"/>
  <c r="G521" i="2"/>
  <c r="H521" i="2"/>
  <c r="I521" i="2"/>
  <c r="J521" i="2"/>
  <c r="K521" i="2"/>
  <c r="L521" i="2"/>
  <c r="M521" i="2"/>
  <c r="N521" i="2"/>
  <c r="O521" i="2"/>
  <c r="P521" i="2"/>
  <c r="Q521" i="2"/>
  <c r="R521" i="2"/>
  <c r="S521" i="2"/>
  <c r="T521" i="2"/>
  <c r="U521" i="2"/>
  <c r="V521" i="2"/>
  <c r="W521" i="2"/>
  <c r="AA521" i="2"/>
  <c r="AB521" i="2"/>
  <c r="AC521" i="2"/>
  <c r="AD521" i="2"/>
  <c r="AE521" i="2"/>
  <c r="AF521" i="2"/>
  <c r="AG521" i="2"/>
  <c r="AH521" i="2"/>
  <c r="AI521" i="2"/>
  <c r="AJ521" i="2"/>
  <c r="AK521" i="2"/>
  <c r="AL521" i="2"/>
  <c r="AM521" i="2"/>
  <c r="AN521" i="2"/>
  <c r="AO521" i="2"/>
  <c r="AP521" i="2"/>
  <c r="AQ521" i="2"/>
  <c r="AR521" i="2"/>
  <c r="AS521" i="2"/>
  <c r="AT521" i="2"/>
  <c r="AU521" i="2"/>
  <c r="AV521" i="2"/>
  <c r="AW521" i="2"/>
  <c r="AX521" i="2"/>
  <c r="AZ521" i="2"/>
  <c r="BA521" i="2"/>
  <c r="BB521" i="2"/>
  <c r="BC521" i="2"/>
  <c r="BD521" i="2"/>
  <c r="BE521" i="2"/>
  <c r="BF521" i="2"/>
  <c r="BG521" i="2"/>
  <c r="BH521" i="2"/>
  <c r="BI521" i="2"/>
  <c r="BJ521" i="2"/>
  <c r="BK521" i="2"/>
  <c r="BL521" i="2"/>
  <c r="BM521" i="2"/>
  <c r="BN521" i="2"/>
  <c r="BO521" i="2"/>
  <c r="BP521" i="2"/>
  <c r="BQ521" i="2"/>
  <c r="BR521" i="2"/>
  <c r="BS521" i="2"/>
  <c r="BT521" i="2"/>
  <c r="BU521" i="2"/>
  <c r="BV521" i="2"/>
  <c r="BW521" i="2"/>
  <c r="AY521" i="2"/>
  <c r="AB579" i="2"/>
  <c r="AC579" i="2"/>
  <c r="AD579" i="2"/>
  <c r="AE579" i="2"/>
  <c r="AF579" i="2"/>
  <c r="AG579" i="2"/>
  <c r="AH579" i="2"/>
  <c r="AI579" i="2"/>
  <c r="AJ579" i="2"/>
  <c r="AK579" i="2"/>
  <c r="AL579" i="2"/>
  <c r="AM579" i="2"/>
  <c r="AN579" i="2"/>
  <c r="AO579" i="2"/>
  <c r="AP579" i="2"/>
  <c r="AQ579" i="2"/>
  <c r="AR579" i="2"/>
  <c r="AS579" i="2"/>
  <c r="AT579" i="2"/>
  <c r="AU579" i="2"/>
  <c r="AV579" i="2"/>
  <c r="AW579" i="2"/>
  <c r="AX579" i="2"/>
  <c r="AY579" i="2"/>
  <c r="AZ579" i="2"/>
  <c r="BA579" i="2"/>
  <c r="BB579" i="2"/>
  <c r="BC579" i="2"/>
  <c r="BD579" i="2"/>
  <c r="BE579" i="2"/>
  <c r="BF579" i="2"/>
  <c r="BG579" i="2"/>
  <c r="BH579" i="2"/>
  <c r="BI579" i="2"/>
  <c r="BJ579" i="2"/>
  <c r="BK579" i="2"/>
  <c r="BL579" i="2"/>
  <c r="BM579" i="2"/>
  <c r="BN579" i="2"/>
  <c r="BO579" i="2"/>
  <c r="BP579" i="2"/>
  <c r="BQ579" i="2"/>
  <c r="BR579" i="2"/>
  <c r="BS579" i="2"/>
  <c r="BT579" i="2"/>
  <c r="BU579" i="2"/>
  <c r="BV579" i="2"/>
  <c r="BW579" i="2"/>
  <c r="AA579" i="2"/>
  <c r="L579" i="2"/>
  <c r="M579" i="2"/>
  <c r="N579" i="2"/>
  <c r="O579" i="2"/>
  <c r="P579" i="2"/>
  <c r="Q579" i="2"/>
  <c r="R579" i="2"/>
  <c r="S579" i="2"/>
  <c r="T579" i="2"/>
  <c r="U579" i="2"/>
  <c r="V579" i="2"/>
  <c r="W579" i="2"/>
  <c r="E579" i="2"/>
  <c r="F579" i="2"/>
  <c r="G579" i="2"/>
  <c r="H579" i="2"/>
  <c r="I579" i="2"/>
  <c r="J579" i="2"/>
  <c r="K579" i="2"/>
  <c r="AB558" i="2"/>
  <c r="AC558" i="2"/>
  <c r="AD558" i="2"/>
  <c r="AE558" i="2"/>
  <c r="AF558" i="2"/>
  <c r="AG558" i="2"/>
  <c r="AH558" i="2"/>
  <c r="AI558" i="2"/>
  <c r="AJ558" i="2"/>
  <c r="AK558" i="2"/>
  <c r="AL558" i="2"/>
  <c r="AM558" i="2"/>
  <c r="AN558" i="2"/>
  <c r="AO558" i="2"/>
  <c r="AP558" i="2"/>
  <c r="AQ558" i="2"/>
  <c r="AR558" i="2"/>
  <c r="AS558" i="2"/>
  <c r="AT558" i="2"/>
  <c r="AU558" i="2"/>
  <c r="AV558" i="2"/>
  <c r="AW558" i="2"/>
  <c r="AX558" i="2"/>
  <c r="AY558" i="2"/>
  <c r="AZ558" i="2"/>
  <c r="BA558" i="2"/>
  <c r="BB558" i="2"/>
  <c r="BC558" i="2"/>
  <c r="BD558" i="2"/>
  <c r="BE558" i="2"/>
  <c r="BF558" i="2"/>
  <c r="BG558" i="2"/>
  <c r="BH558" i="2"/>
  <c r="BI558" i="2"/>
  <c r="BJ558" i="2"/>
  <c r="BK558" i="2"/>
  <c r="BL558" i="2"/>
  <c r="BM558" i="2"/>
  <c r="BN558" i="2"/>
  <c r="BO558" i="2"/>
  <c r="BP558" i="2"/>
  <c r="BQ558" i="2"/>
  <c r="BR558" i="2"/>
  <c r="BS558" i="2"/>
  <c r="BT558" i="2"/>
  <c r="BU558" i="2"/>
  <c r="BV558" i="2"/>
  <c r="BW558" i="2"/>
  <c r="AA558" i="2"/>
  <c r="L558" i="2"/>
  <c r="M558" i="2"/>
  <c r="N558" i="2"/>
  <c r="O558" i="2"/>
  <c r="P558" i="2"/>
  <c r="Q558" i="2"/>
  <c r="R558" i="2"/>
  <c r="S558" i="2"/>
  <c r="T558" i="2"/>
  <c r="U558" i="2"/>
  <c r="V558" i="2"/>
  <c r="W558" i="2"/>
  <c r="E558" i="2"/>
  <c r="F558" i="2"/>
  <c r="G558" i="2"/>
  <c r="H558" i="2"/>
  <c r="I558" i="2"/>
  <c r="J558" i="2"/>
  <c r="K558" i="2"/>
  <c r="E547" i="2"/>
  <c r="F547" i="2"/>
  <c r="G547" i="2"/>
  <c r="H547" i="2"/>
  <c r="I547" i="2"/>
  <c r="J547" i="2"/>
  <c r="K547" i="2"/>
  <c r="L547" i="2"/>
  <c r="M547" i="2"/>
  <c r="N547" i="2"/>
  <c r="O547" i="2"/>
  <c r="P547" i="2"/>
  <c r="Q547" i="2"/>
  <c r="R547" i="2"/>
  <c r="S547" i="2"/>
  <c r="T547" i="2"/>
  <c r="U547" i="2"/>
  <c r="V547" i="2"/>
  <c r="W547" i="2"/>
  <c r="AA547" i="2"/>
  <c r="AB547" i="2"/>
  <c r="AC547" i="2"/>
  <c r="AD547" i="2"/>
  <c r="AE547" i="2"/>
  <c r="AF547" i="2"/>
  <c r="AG547" i="2"/>
  <c r="AH547" i="2"/>
  <c r="AI547" i="2"/>
  <c r="AJ547" i="2"/>
  <c r="AK547" i="2"/>
  <c r="AL547" i="2"/>
  <c r="AM547" i="2"/>
  <c r="AN547" i="2"/>
  <c r="AO547" i="2"/>
  <c r="AP547" i="2"/>
  <c r="AQ547" i="2"/>
  <c r="AR547" i="2"/>
  <c r="AS547" i="2"/>
  <c r="AT547" i="2"/>
  <c r="AU547" i="2"/>
  <c r="AW547" i="2"/>
  <c r="AX547" i="2"/>
  <c r="AY547" i="2"/>
  <c r="AZ547" i="2"/>
  <c r="BA547" i="2"/>
  <c r="BB547" i="2"/>
  <c r="BC547" i="2"/>
  <c r="BD547" i="2"/>
  <c r="BE547" i="2"/>
  <c r="BF547" i="2"/>
  <c r="BG547" i="2"/>
  <c r="BH547" i="2"/>
  <c r="BI547" i="2"/>
  <c r="BJ547" i="2"/>
  <c r="BK547" i="2"/>
  <c r="BL547" i="2"/>
  <c r="BM547" i="2"/>
  <c r="BN547" i="2"/>
  <c r="BO547" i="2"/>
  <c r="BP547" i="2"/>
  <c r="BQ547" i="2"/>
  <c r="BR547" i="2"/>
  <c r="BS547" i="2"/>
  <c r="BT547" i="2"/>
  <c r="BU547" i="2"/>
  <c r="BV547" i="2"/>
  <c r="BW547" i="2"/>
  <c r="AV547" i="2"/>
  <c r="AV502" i="2"/>
  <c r="AV501" i="2"/>
  <c r="BP4" i="2"/>
  <c r="BP3" i="2" s="1"/>
  <c r="BP8" i="2"/>
  <c r="BP196" i="2"/>
  <c r="BP197" i="2"/>
  <c r="BP236" i="2"/>
  <c r="BP241" i="2"/>
  <c r="BP242" i="2"/>
  <c r="BP253" i="2"/>
  <c r="BP254" i="2"/>
  <c r="BP263" i="2"/>
  <c r="BP302" i="2"/>
  <c r="BP321" i="2"/>
  <c r="BP322" i="2"/>
  <c r="BP328" i="2"/>
  <c r="BP334" i="2"/>
  <c r="BP340" i="2"/>
  <c r="BP343" i="2"/>
  <c r="BP347" i="2"/>
  <c r="BP348" i="2"/>
  <c r="BP349" i="2"/>
  <c r="BP357" i="2"/>
  <c r="BP367" i="2"/>
  <c r="BP368" i="2"/>
  <c r="BP379" i="2"/>
  <c r="BP397" i="2"/>
  <c r="BP473" i="2"/>
  <c r="AB542" i="2"/>
  <c r="AC542" i="2"/>
  <c r="AD542" i="2"/>
  <c r="AE542" i="2"/>
  <c r="AF542" i="2"/>
  <c r="AG542" i="2"/>
  <c r="AH542" i="2"/>
  <c r="AI542" i="2"/>
  <c r="AJ542" i="2"/>
  <c r="AK542" i="2"/>
  <c r="AL542" i="2"/>
  <c r="AM542" i="2"/>
  <c r="AN542" i="2"/>
  <c r="AO542" i="2"/>
  <c r="AP542" i="2"/>
  <c r="AQ542" i="2"/>
  <c r="AR542" i="2"/>
  <c r="AS542" i="2"/>
  <c r="AT542" i="2"/>
  <c r="AU542" i="2"/>
  <c r="AV542" i="2"/>
  <c r="AW542" i="2"/>
  <c r="AX542" i="2"/>
  <c r="AY542" i="2"/>
  <c r="AZ542" i="2"/>
  <c r="BA542" i="2"/>
  <c r="BB542" i="2"/>
  <c r="BC542" i="2"/>
  <c r="BD542" i="2"/>
  <c r="BE542" i="2"/>
  <c r="BF542" i="2"/>
  <c r="BG542" i="2"/>
  <c r="BH542" i="2"/>
  <c r="BI542" i="2"/>
  <c r="BJ542" i="2"/>
  <c r="BK542" i="2"/>
  <c r="BL542" i="2"/>
  <c r="BM542" i="2"/>
  <c r="BN542" i="2"/>
  <c r="BO542" i="2"/>
  <c r="BP542" i="2"/>
  <c r="BQ542" i="2"/>
  <c r="BR542" i="2"/>
  <c r="BS542" i="2"/>
  <c r="BT542" i="2"/>
  <c r="BU542" i="2"/>
  <c r="BV542" i="2"/>
  <c r="BW542" i="2"/>
  <c r="AA542" i="2"/>
  <c r="O542" i="2"/>
  <c r="P542" i="2"/>
  <c r="Q542" i="2"/>
  <c r="R542" i="2"/>
  <c r="S542" i="2"/>
  <c r="T542" i="2"/>
  <c r="U542" i="2"/>
  <c r="V542" i="2"/>
  <c r="W542" i="2"/>
  <c r="E542" i="2"/>
  <c r="F542" i="2"/>
  <c r="G542" i="2"/>
  <c r="H542" i="2"/>
  <c r="I542" i="2"/>
  <c r="J542" i="2"/>
  <c r="K542" i="2"/>
  <c r="L542" i="2"/>
  <c r="M542" i="2"/>
  <c r="N542" i="2"/>
  <c r="AB546" i="2"/>
  <c r="AC546" i="2"/>
  <c r="AD546" i="2"/>
  <c r="AE546" i="2"/>
  <c r="AF546" i="2"/>
  <c r="AG546" i="2"/>
  <c r="AH546" i="2"/>
  <c r="AI546" i="2"/>
  <c r="AJ546" i="2"/>
  <c r="AK546" i="2"/>
  <c r="AL546" i="2"/>
  <c r="AM546" i="2"/>
  <c r="AN546" i="2"/>
  <c r="AO546" i="2"/>
  <c r="AP546" i="2"/>
  <c r="AQ546" i="2"/>
  <c r="AR546" i="2"/>
  <c r="AS546" i="2"/>
  <c r="AT546" i="2"/>
  <c r="AU546" i="2"/>
  <c r="AV546" i="2"/>
  <c r="AW546" i="2"/>
  <c r="AX546" i="2"/>
  <c r="AY546" i="2"/>
  <c r="AZ546" i="2"/>
  <c r="BA546" i="2"/>
  <c r="BB546" i="2"/>
  <c r="BC546" i="2"/>
  <c r="BD546" i="2"/>
  <c r="BE546" i="2"/>
  <c r="BF546" i="2"/>
  <c r="BG546" i="2"/>
  <c r="BH546" i="2"/>
  <c r="BI546" i="2"/>
  <c r="BJ546" i="2"/>
  <c r="BK546" i="2"/>
  <c r="BL546" i="2"/>
  <c r="BM546" i="2"/>
  <c r="BN546" i="2"/>
  <c r="BO546" i="2"/>
  <c r="BP546" i="2"/>
  <c r="BQ546" i="2"/>
  <c r="BR546" i="2"/>
  <c r="BS546" i="2"/>
  <c r="BT546" i="2"/>
  <c r="BU546" i="2"/>
  <c r="BV546" i="2"/>
  <c r="BW546" i="2"/>
  <c r="AA546" i="2"/>
  <c r="O546" i="2"/>
  <c r="P546" i="2"/>
  <c r="Q546" i="2"/>
  <c r="R546" i="2"/>
  <c r="S546" i="2"/>
  <c r="T546" i="2"/>
  <c r="U546" i="2"/>
  <c r="V546" i="2"/>
  <c r="W546" i="2"/>
  <c r="E546" i="2"/>
  <c r="F546" i="2"/>
  <c r="G546" i="2"/>
  <c r="H546" i="2"/>
  <c r="I546" i="2"/>
  <c r="J546" i="2"/>
  <c r="K546" i="2"/>
  <c r="L546" i="2"/>
  <c r="M546" i="2"/>
  <c r="N546" i="2"/>
  <c r="N545" i="2"/>
  <c r="N544" i="2"/>
  <c r="N543" i="2"/>
  <c r="N525" i="2"/>
  <c r="N515" i="2"/>
  <c r="N513" i="2"/>
  <c r="O513" i="2"/>
  <c r="N541" i="2"/>
  <c r="N505" i="2"/>
  <c r="N504" i="2"/>
  <c r="N502" i="2"/>
  <c r="AB503" i="2"/>
  <c r="AC503" i="2"/>
  <c r="AD503" i="2"/>
  <c r="AE503" i="2"/>
  <c r="AF503" i="2"/>
  <c r="AG503" i="2"/>
  <c r="AH503" i="2"/>
  <c r="AI503" i="2"/>
  <c r="AJ503" i="2"/>
  <c r="AK503" i="2"/>
  <c r="AL503" i="2"/>
  <c r="AM503" i="2"/>
  <c r="AN503" i="2"/>
  <c r="AO503" i="2"/>
  <c r="AP503" i="2"/>
  <c r="AQ503" i="2"/>
  <c r="AR503" i="2"/>
  <c r="AS503" i="2"/>
  <c r="AT503" i="2"/>
  <c r="AU503" i="2"/>
  <c r="AV503" i="2"/>
  <c r="AW503" i="2"/>
  <c r="AX503" i="2"/>
  <c r="AY503" i="2"/>
  <c r="AZ503" i="2"/>
  <c r="BA503" i="2"/>
  <c r="BB503" i="2"/>
  <c r="BC503" i="2"/>
  <c r="BD503" i="2"/>
  <c r="BE503" i="2"/>
  <c r="BF503" i="2"/>
  <c r="BG503" i="2"/>
  <c r="BH503" i="2"/>
  <c r="BI503" i="2"/>
  <c r="BJ503" i="2"/>
  <c r="BK503" i="2"/>
  <c r="BL503" i="2"/>
  <c r="BM503" i="2"/>
  <c r="BN503" i="2"/>
  <c r="BO503" i="2"/>
  <c r="BP503" i="2"/>
  <c r="BQ503" i="2"/>
  <c r="BR503" i="2"/>
  <c r="BS503" i="2"/>
  <c r="BT503" i="2"/>
  <c r="BU503" i="2"/>
  <c r="BV503" i="2"/>
  <c r="BW503" i="2"/>
  <c r="AA503" i="2"/>
  <c r="O503" i="2"/>
  <c r="P503" i="2"/>
  <c r="Q503" i="2"/>
  <c r="R503" i="2"/>
  <c r="S503" i="2"/>
  <c r="T503" i="2"/>
  <c r="U503" i="2"/>
  <c r="V503" i="2"/>
  <c r="W503" i="2"/>
  <c r="K503" i="2"/>
  <c r="L503" i="2"/>
  <c r="M503" i="2"/>
  <c r="N503" i="2"/>
  <c r="AB502" i="2"/>
  <c r="AC502" i="2"/>
  <c r="AD502" i="2"/>
  <c r="AE502" i="2"/>
  <c r="AF502" i="2"/>
  <c r="AG502" i="2"/>
  <c r="AH502" i="2"/>
  <c r="AI502" i="2"/>
  <c r="AJ502" i="2"/>
  <c r="AK502" i="2"/>
  <c r="AL502" i="2"/>
  <c r="AM502" i="2"/>
  <c r="AN502" i="2"/>
  <c r="AO502" i="2"/>
  <c r="AP502" i="2"/>
  <c r="AQ502" i="2"/>
  <c r="AR502" i="2"/>
  <c r="AS502" i="2"/>
  <c r="AT502" i="2"/>
  <c r="AU502" i="2"/>
  <c r="AW502" i="2"/>
  <c r="AX502" i="2"/>
  <c r="AY502" i="2"/>
  <c r="AZ502" i="2"/>
  <c r="BA502" i="2"/>
  <c r="BB502" i="2"/>
  <c r="BC502" i="2"/>
  <c r="BD502" i="2"/>
  <c r="BE502" i="2"/>
  <c r="BF502" i="2"/>
  <c r="BG502" i="2"/>
  <c r="BH502" i="2"/>
  <c r="BI502" i="2"/>
  <c r="BJ502" i="2"/>
  <c r="BK502" i="2"/>
  <c r="BL502" i="2"/>
  <c r="BM502" i="2"/>
  <c r="BN502" i="2"/>
  <c r="BO502" i="2"/>
  <c r="BP502" i="2"/>
  <c r="BQ502" i="2"/>
  <c r="BR502" i="2"/>
  <c r="BS502" i="2"/>
  <c r="BT502" i="2"/>
  <c r="BV502" i="2"/>
  <c r="AA502" i="2"/>
  <c r="O502" i="2"/>
  <c r="P502" i="2"/>
  <c r="Q502" i="2"/>
  <c r="R502" i="2"/>
  <c r="S502" i="2"/>
  <c r="T502" i="2"/>
  <c r="U502" i="2"/>
  <c r="V502" i="2"/>
  <c r="W502" i="2"/>
  <c r="K502" i="2"/>
  <c r="L502" i="2"/>
  <c r="M502" i="2"/>
  <c r="K563" i="2"/>
  <c r="H563" i="2"/>
  <c r="I563" i="2"/>
  <c r="J563" i="2"/>
  <c r="H562" i="2"/>
  <c r="I562" i="2"/>
  <c r="J562" i="2"/>
  <c r="H561" i="2"/>
  <c r="I561" i="2"/>
  <c r="J561" i="2"/>
  <c r="H560" i="2"/>
  <c r="I560" i="2"/>
  <c r="J560" i="2"/>
  <c r="H559" i="2"/>
  <c r="I559" i="2"/>
  <c r="J559" i="2"/>
  <c r="H557" i="2"/>
  <c r="I557" i="2"/>
  <c r="J557" i="2"/>
  <c r="H556" i="2"/>
  <c r="I556" i="2"/>
  <c r="J556" i="2"/>
  <c r="H555" i="2"/>
  <c r="I555" i="2"/>
  <c r="J555" i="2"/>
  <c r="H554" i="2"/>
  <c r="I554" i="2"/>
  <c r="J554" i="2"/>
  <c r="H553" i="2"/>
  <c r="I553" i="2"/>
  <c r="J553" i="2"/>
  <c r="H552" i="2"/>
  <c r="I552" i="2"/>
  <c r="J552" i="2"/>
  <c r="H551" i="2"/>
  <c r="I551" i="2"/>
  <c r="J551" i="2"/>
  <c r="H550" i="2"/>
  <c r="I550" i="2"/>
  <c r="J550" i="2"/>
  <c r="H549" i="2"/>
  <c r="I549" i="2"/>
  <c r="J549" i="2"/>
  <c r="H548" i="2"/>
  <c r="I548" i="2"/>
  <c r="J548" i="2"/>
  <c r="H545" i="2"/>
  <c r="I545" i="2"/>
  <c r="J545" i="2"/>
  <c r="H544" i="2"/>
  <c r="I544" i="2"/>
  <c r="J544" i="2"/>
  <c r="H543" i="2"/>
  <c r="I543" i="2"/>
  <c r="J543" i="2"/>
  <c r="H541" i="2"/>
  <c r="I541" i="2"/>
  <c r="J541" i="2"/>
  <c r="H540" i="2"/>
  <c r="I540" i="2"/>
  <c r="J540" i="2"/>
  <c r="H539" i="2"/>
  <c r="I539" i="2"/>
  <c r="J539" i="2"/>
  <c r="H538" i="2"/>
  <c r="I538" i="2"/>
  <c r="J538" i="2"/>
  <c r="H536" i="2"/>
  <c r="I536" i="2"/>
  <c r="J536" i="2"/>
  <c r="H535" i="2"/>
  <c r="I535" i="2"/>
  <c r="J535" i="2"/>
  <c r="H534" i="2"/>
  <c r="I534" i="2"/>
  <c r="J534" i="2"/>
  <c r="H533" i="2"/>
  <c r="I533" i="2"/>
  <c r="J533" i="2"/>
  <c r="H532" i="2"/>
  <c r="I532" i="2"/>
  <c r="J532" i="2"/>
  <c r="H531" i="2"/>
  <c r="I531" i="2"/>
  <c r="J531" i="2"/>
  <c r="H530" i="2"/>
  <c r="I530" i="2"/>
  <c r="J530" i="2"/>
  <c r="H529" i="2"/>
  <c r="I529" i="2"/>
  <c r="J529" i="2"/>
  <c r="H528" i="2"/>
  <c r="I528" i="2"/>
  <c r="J528" i="2"/>
  <c r="H527" i="2"/>
  <c r="I527" i="2"/>
  <c r="J527" i="2"/>
  <c r="H526" i="2"/>
  <c r="I526" i="2"/>
  <c r="J526" i="2"/>
  <c r="H525" i="2"/>
  <c r="I525" i="2"/>
  <c r="J525" i="2"/>
  <c r="H524" i="2"/>
  <c r="I524" i="2"/>
  <c r="J524" i="2"/>
  <c r="H523" i="2"/>
  <c r="I523" i="2"/>
  <c r="J523" i="2"/>
  <c r="H522" i="2"/>
  <c r="I522" i="2"/>
  <c r="J522" i="2"/>
  <c r="H520" i="2"/>
  <c r="I520" i="2"/>
  <c r="J520" i="2"/>
  <c r="H519" i="2"/>
  <c r="I519" i="2"/>
  <c r="J519" i="2"/>
  <c r="H518" i="2"/>
  <c r="I518" i="2"/>
  <c r="J518" i="2"/>
  <c r="H517" i="2"/>
  <c r="I517" i="2"/>
  <c r="J517" i="2"/>
  <c r="H516" i="2"/>
  <c r="I516" i="2"/>
  <c r="J516" i="2"/>
  <c r="H515" i="2"/>
  <c r="I515" i="2"/>
  <c r="J515" i="2"/>
  <c r="H514" i="2"/>
  <c r="I514" i="2"/>
  <c r="J514" i="2"/>
  <c r="H513" i="2"/>
  <c r="I513" i="2"/>
  <c r="J513" i="2"/>
  <c r="H512" i="2"/>
  <c r="I512" i="2"/>
  <c r="J512" i="2"/>
  <c r="H511" i="2"/>
  <c r="I511" i="2"/>
  <c r="J511" i="2"/>
  <c r="H510" i="2"/>
  <c r="I510" i="2"/>
  <c r="J510" i="2"/>
  <c r="H509" i="2"/>
  <c r="I509" i="2"/>
  <c r="J509" i="2"/>
  <c r="H508" i="2"/>
  <c r="I508" i="2"/>
  <c r="J508" i="2"/>
  <c r="H507" i="2"/>
  <c r="I507" i="2"/>
  <c r="J507" i="2"/>
  <c r="H506" i="2"/>
  <c r="I506" i="2"/>
  <c r="J506" i="2"/>
  <c r="H505" i="2"/>
  <c r="I505" i="2"/>
  <c r="J505" i="2"/>
  <c r="H504" i="2"/>
  <c r="I504" i="2"/>
  <c r="J504" i="2"/>
  <c r="H503" i="2"/>
  <c r="I503" i="2"/>
  <c r="J503" i="2"/>
  <c r="H502" i="2"/>
  <c r="I502" i="2"/>
  <c r="J502" i="2"/>
  <c r="H501" i="2"/>
  <c r="I501" i="2"/>
  <c r="J501" i="2"/>
  <c r="K591" i="2"/>
  <c r="K590" i="2"/>
  <c r="K512" i="2"/>
  <c r="K545" i="2"/>
  <c r="K544" i="2"/>
  <c r="K543" i="2"/>
  <c r="K540" i="2"/>
  <c r="AB539" i="2"/>
  <c r="AC539" i="2"/>
  <c r="AD539" i="2"/>
  <c r="AE539" i="2"/>
  <c r="AF539" i="2"/>
  <c r="AG539" i="2"/>
  <c r="AH539" i="2"/>
  <c r="AI539" i="2"/>
  <c r="AJ539" i="2"/>
  <c r="AK539" i="2"/>
  <c r="AL539" i="2"/>
  <c r="AM539" i="2"/>
  <c r="AN539" i="2"/>
  <c r="AO539" i="2"/>
  <c r="AP539" i="2"/>
  <c r="AQ539" i="2"/>
  <c r="AR539" i="2"/>
  <c r="AS539" i="2"/>
  <c r="AT539" i="2"/>
  <c r="AU539" i="2"/>
  <c r="AV539" i="2"/>
  <c r="AW539" i="2"/>
  <c r="AX539" i="2"/>
  <c r="AY539" i="2"/>
  <c r="AZ539" i="2"/>
  <c r="BA539" i="2"/>
  <c r="BB539" i="2"/>
  <c r="BC539" i="2"/>
  <c r="BD539" i="2"/>
  <c r="BE539" i="2"/>
  <c r="BF539" i="2"/>
  <c r="BG539" i="2"/>
  <c r="BH539" i="2"/>
  <c r="BI539" i="2"/>
  <c r="BJ539" i="2"/>
  <c r="BK539" i="2"/>
  <c r="BL539" i="2"/>
  <c r="BM539" i="2"/>
  <c r="BN539" i="2"/>
  <c r="BO539" i="2"/>
  <c r="BP539" i="2"/>
  <c r="BQ539" i="2"/>
  <c r="BR539" i="2"/>
  <c r="BS539" i="2"/>
  <c r="BT539" i="2"/>
  <c r="BU539" i="2"/>
  <c r="BV539" i="2"/>
  <c r="BW539" i="2"/>
  <c r="AA539" i="2"/>
  <c r="L539" i="2"/>
  <c r="M539" i="2"/>
  <c r="N539" i="2"/>
  <c r="O539" i="2"/>
  <c r="P539" i="2"/>
  <c r="Q539" i="2"/>
  <c r="R539" i="2"/>
  <c r="S539" i="2"/>
  <c r="T539" i="2"/>
  <c r="U539" i="2"/>
  <c r="V539" i="2"/>
  <c r="W539" i="2"/>
  <c r="K539" i="2"/>
  <c r="K538" i="2"/>
  <c r="K536" i="2"/>
  <c r="K541" i="2"/>
  <c r="AB535" i="2"/>
  <c r="AC535" i="2"/>
  <c r="AD535" i="2"/>
  <c r="AE535" i="2"/>
  <c r="AF535" i="2"/>
  <c r="AG535" i="2"/>
  <c r="AH535" i="2"/>
  <c r="AI535" i="2"/>
  <c r="AJ535" i="2"/>
  <c r="AK535" i="2"/>
  <c r="AL535" i="2"/>
  <c r="AM535" i="2"/>
  <c r="AN535" i="2"/>
  <c r="AO535" i="2"/>
  <c r="AP535" i="2"/>
  <c r="AQ535" i="2"/>
  <c r="AR535" i="2"/>
  <c r="AS535" i="2"/>
  <c r="AT535" i="2"/>
  <c r="AU535" i="2"/>
  <c r="AV535" i="2"/>
  <c r="AW535" i="2"/>
  <c r="AX535" i="2"/>
  <c r="AY535" i="2"/>
  <c r="AZ535" i="2"/>
  <c r="BA535" i="2"/>
  <c r="BB535" i="2"/>
  <c r="BC535" i="2"/>
  <c r="BD535" i="2"/>
  <c r="BE535" i="2"/>
  <c r="BF535" i="2"/>
  <c r="BG535" i="2"/>
  <c r="BH535" i="2"/>
  <c r="BI535" i="2"/>
  <c r="BJ535" i="2"/>
  <c r="BK535" i="2"/>
  <c r="BL535" i="2"/>
  <c r="BM535" i="2"/>
  <c r="BN535" i="2"/>
  <c r="BO535" i="2"/>
  <c r="BP535" i="2"/>
  <c r="BQ535" i="2"/>
  <c r="BR535" i="2"/>
  <c r="BS535" i="2"/>
  <c r="BT535" i="2"/>
  <c r="BU535" i="2"/>
  <c r="BV535" i="2"/>
  <c r="BW535" i="2"/>
  <c r="AA535" i="2"/>
  <c r="L535" i="2"/>
  <c r="M535" i="2"/>
  <c r="N535" i="2"/>
  <c r="O535" i="2"/>
  <c r="P535" i="2"/>
  <c r="Q535" i="2"/>
  <c r="R535" i="2"/>
  <c r="S535" i="2"/>
  <c r="T535" i="2"/>
  <c r="U535" i="2"/>
  <c r="V535" i="2"/>
  <c r="W535" i="2"/>
  <c r="K535" i="2"/>
  <c r="AB534" i="2"/>
  <c r="AC534" i="2"/>
  <c r="AD534" i="2"/>
  <c r="AE534" i="2"/>
  <c r="AF534" i="2"/>
  <c r="AG534" i="2"/>
  <c r="AH534" i="2"/>
  <c r="AI534" i="2"/>
  <c r="AJ534" i="2"/>
  <c r="AK534" i="2"/>
  <c r="AL534" i="2"/>
  <c r="AM534" i="2"/>
  <c r="AN534" i="2"/>
  <c r="AO534" i="2"/>
  <c r="AP534" i="2"/>
  <c r="AQ534" i="2"/>
  <c r="AR534" i="2"/>
  <c r="AS534" i="2"/>
  <c r="AT534" i="2"/>
  <c r="AU534" i="2"/>
  <c r="AV534" i="2"/>
  <c r="AW534" i="2"/>
  <c r="AX534" i="2"/>
  <c r="AY534" i="2"/>
  <c r="AZ534" i="2"/>
  <c r="BA534" i="2"/>
  <c r="BB534" i="2"/>
  <c r="BC534" i="2"/>
  <c r="BD534" i="2"/>
  <c r="BE534" i="2"/>
  <c r="BF534" i="2"/>
  <c r="BG534" i="2"/>
  <c r="BH534" i="2"/>
  <c r="BI534" i="2"/>
  <c r="BJ534" i="2"/>
  <c r="BK534" i="2"/>
  <c r="BL534" i="2"/>
  <c r="BM534" i="2"/>
  <c r="BN534" i="2"/>
  <c r="BO534" i="2"/>
  <c r="BP534" i="2"/>
  <c r="BQ534" i="2"/>
  <c r="BR534" i="2"/>
  <c r="BS534" i="2"/>
  <c r="BT534" i="2"/>
  <c r="BU534" i="2"/>
  <c r="BV534" i="2"/>
  <c r="BW534" i="2"/>
  <c r="AA534" i="2"/>
  <c r="L534" i="2"/>
  <c r="M534" i="2"/>
  <c r="N534" i="2"/>
  <c r="O534" i="2"/>
  <c r="P534" i="2"/>
  <c r="Q534" i="2"/>
  <c r="R534" i="2"/>
  <c r="S534" i="2"/>
  <c r="T534" i="2"/>
  <c r="U534" i="2"/>
  <c r="V534" i="2"/>
  <c r="W534" i="2"/>
  <c r="K534" i="2"/>
  <c r="K533" i="2"/>
  <c r="K532" i="2"/>
  <c r="K531" i="2"/>
  <c r="K530" i="2"/>
  <c r="AB529" i="2"/>
  <c r="AC529" i="2"/>
  <c r="AD529" i="2"/>
  <c r="AE529" i="2"/>
  <c r="AF529" i="2"/>
  <c r="AG529" i="2"/>
  <c r="AH529" i="2"/>
  <c r="AI529" i="2"/>
  <c r="AJ529" i="2"/>
  <c r="AK529" i="2"/>
  <c r="AL529" i="2"/>
  <c r="AM529" i="2"/>
  <c r="AN529" i="2"/>
  <c r="AO529" i="2"/>
  <c r="AP529" i="2"/>
  <c r="AQ529" i="2"/>
  <c r="AR529" i="2"/>
  <c r="AS529" i="2"/>
  <c r="AT529" i="2"/>
  <c r="AU529" i="2"/>
  <c r="AV529" i="2"/>
  <c r="AW529" i="2"/>
  <c r="AX529" i="2"/>
  <c r="AY529" i="2"/>
  <c r="AZ529" i="2"/>
  <c r="BA529" i="2"/>
  <c r="BB529" i="2"/>
  <c r="BC529" i="2"/>
  <c r="BD529" i="2"/>
  <c r="BE529" i="2"/>
  <c r="BF529" i="2"/>
  <c r="BG529" i="2"/>
  <c r="BH529" i="2"/>
  <c r="BI529" i="2"/>
  <c r="BJ529" i="2"/>
  <c r="BK529" i="2"/>
  <c r="BL529" i="2"/>
  <c r="BM529" i="2"/>
  <c r="BN529" i="2"/>
  <c r="BO529" i="2"/>
  <c r="BP529" i="2"/>
  <c r="BQ529" i="2"/>
  <c r="BR529" i="2"/>
  <c r="BS529" i="2"/>
  <c r="BT529" i="2"/>
  <c r="BU529" i="2"/>
  <c r="BV529" i="2"/>
  <c r="BW529" i="2"/>
  <c r="AA529" i="2"/>
  <c r="L529" i="2"/>
  <c r="M529" i="2"/>
  <c r="N529" i="2"/>
  <c r="O529" i="2"/>
  <c r="P529" i="2"/>
  <c r="Q529" i="2"/>
  <c r="R529" i="2"/>
  <c r="S529" i="2"/>
  <c r="T529" i="2"/>
  <c r="U529" i="2"/>
  <c r="V529" i="2"/>
  <c r="W529" i="2"/>
  <c r="K529" i="2"/>
  <c r="K528" i="2"/>
  <c r="AB527" i="2"/>
  <c r="AC527" i="2"/>
  <c r="AD527" i="2"/>
  <c r="AE527" i="2"/>
  <c r="AF527" i="2"/>
  <c r="AG527" i="2"/>
  <c r="AH527" i="2"/>
  <c r="AI527" i="2"/>
  <c r="AJ527" i="2"/>
  <c r="AK527" i="2"/>
  <c r="AL527" i="2"/>
  <c r="AM527" i="2"/>
  <c r="AN527" i="2"/>
  <c r="AO527" i="2"/>
  <c r="AP527" i="2"/>
  <c r="AQ527" i="2"/>
  <c r="AR527" i="2"/>
  <c r="AS527" i="2"/>
  <c r="AT527" i="2"/>
  <c r="AU527" i="2"/>
  <c r="AV527" i="2"/>
  <c r="AW527" i="2"/>
  <c r="AX527" i="2"/>
  <c r="AY527" i="2"/>
  <c r="AZ527" i="2"/>
  <c r="BA527" i="2"/>
  <c r="BB527" i="2"/>
  <c r="BC527" i="2"/>
  <c r="BD527" i="2"/>
  <c r="BE527" i="2"/>
  <c r="BF527" i="2"/>
  <c r="BG527" i="2"/>
  <c r="BH527" i="2"/>
  <c r="BI527" i="2"/>
  <c r="BJ527" i="2"/>
  <c r="BK527" i="2"/>
  <c r="BL527" i="2"/>
  <c r="BM527" i="2"/>
  <c r="BN527" i="2"/>
  <c r="BO527" i="2"/>
  <c r="BP527" i="2"/>
  <c r="BQ527" i="2"/>
  <c r="BR527" i="2"/>
  <c r="BS527" i="2"/>
  <c r="BT527" i="2"/>
  <c r="BU527" i="2"/>
  <c r="BV527" i="2"/>
  <c r="BW527" i="2"/>
  <c r="AA527" i="2"/>
  <c r="L527" i="2"/>
  <c r="M527" i="2"/>
  <c r="N527" i="2"/>
  <c r="O527" i="2"/>
  <c r="P527" i="2"/>
  <c r="Q527" i="2"/>
  <c r="R527" i="2"/>
  <c r="S527" i="2"/>
  <c r="T527" i="2"/>
  <c r="U527" i="2"/>
  <c r="V527" i="2"/>
  <c r="W527" i="2"/>
  <c r="K527" i="2"/>
  <c r="K526" i="2"/>
  <c r="AB523" i="2"/>
  <c r="AC523" i="2"/>
  <c r="AD523" i="2"/>
  <c r="AE523" i="2"/>
  <c r="AF523" i="2"/>
  <c r="AG523" i="2"/>
  <c r="AH523" i="2"/>
  <c r="AI523" i="2"/>
  <c r="AJ523" i="2"/>
  <c r="AK523" i="2"/>
  <c r="AL523" i="2"/>
  <c r="AM523" i="2"/>
  <c r="AN523" i="2"/>
  <c r="AO523" i="2"/>
  <c r="AP523" i="2"/>
  <c r="AQ523" i="2"/>
  <c r="AR523" i="2"/>
  <c r="AS523" i="2"/>
  <c r="AT523" i="2"/>
  <c r="AU523" i="2"/>
  <c r="AV523" i="2"/>
  <c r="AW523" i="2"/>
  <c r="AX523" i="2"/>
  <c r="AY523" i="2"/>
  <c r="AZ523" i="2"/>
  <c r="BA523" i="2"/>
  <c r="BB523" i="2"/>
  <c r="BC523" i="2"/>
  <c r="BD523" i="2"/>
  <c r="BE523" i="2"/>
  <c r="BF523" i="2"/>
  <c r="BG523" i="2"/>
  <c r="BH523" i="2"/>
  <c r="BI523" i="2"/>
  <c r="BJ523" i="2"/>
  <c r="BK523" i="2"/>
  <c r="BL523" i="2"/>
  <c r="BM523" i="2"/>
  <c r="BN523" i="2"/>
  <c r="BO523" i="2"/>
  <c r="BP523" i="2"/>
  <c r="BQ523" i="2"/>
  <c r="BR523" i="2"/>
  <c r="BS523" i="2"/>
  <c r="BT523" i="2"/>
  <c r="BU523" i="2"/>
  <c r="BV523" i="2"/>
  <c r="BW523" i="2"/>
  <c r="AB524" i="2"/>
  <c r="AC524" i="2"/>
  <c r="AD524" i="2"/>
  <c r="AE524" i="2"/>
  <c r="AF524" i="2"/>
  <c r="AG524" i="2"/>
  <c r="AH524" i="2"/>
  <c r="AI524" i="2"/>
  <c r="AJ524" i="2"/>
  <c r="AK524" i="2"/>
  <c r="AL524" i="2"/>
  <c r="AM524" i="2"/>
  <c r="AN524" i="2"/>
  <c r="AO524" i="2"/>
  <c r="AP524" i="2"/>
  <c r="AQ524" i="2"/>
  <c r="AR524" i="2"/>
  <c r="AS524" i="2"/>
  <c r="AT524" i="2"/>
  <c r="AU524" i="2"/>
  <c r="AV524" i="2"/>
  <c r="AW524" i="2"/>
  <c r="AX524" i="2"/>
  <c r="AY524" i="2"/>
  <c r="AZ524" i="2"/>
  <c r="BA524" i="2"/>
  <c r="BB524" i="2"/>
  <c r="BC524" i="2"/>
  <c r="BD524" i="2"/>
  <c r="BE524" i="2"/>
  <c r="BF524" i="2"/>
  <c r="BG524" i="2"/>
  <c r="BH524" i="2"/>
  <c r="BI524" i="2"/>
  <c r="BJ524" i="2"/>
  <c r="BK524" i="2"/>
  <c r="BL524" i="2"/>
  <c r="BM524" i="2"/>
  <c r="BN524" i="2"/>
  <c r="BO524" i="2"/>
  <c r="BP524" i="2"/>
  <c r="BQ524" i="2"/>
  <c r="BR524" i="2"/>
  <c r="BS524" i="2"/>
  <c r="BT524" i="2"/>
  <c r="BU524" i="2"/>
  <c r="BV524" i="2"/>
  <c r="BW524" i="2"/>
  <c r="AB525" i="2"/>
  <c r="AC525" i="2"/>
  <c r="AD525" i="2"/>
  <c r="AE525" i="2"/>
  <c r="AF525" i="2"/>
  <c r="AG525" i="2"/>
  <c r="AH525" i="2"/>
  <c r="AI525" i="2"/>
  <c r="AJ525" i="2"/>
  <c r="AK525" i="2"/>
  <c r="AL525" i="2"/>
  <c r="AM525" i="2"/>
  <c r="AN525" i="2"/>
  <c r="AO525" i="2"/>
  <c r="AP525" i="2"/>
  <c r="AQ525" i="2"/>
  <c r="AR525" i="2"/>
  <c r="AS525" i="2"/>
  <c r="AT525" i="2"/>
  <c r="AU525" i="2"/>
  <c r="AV525" i="2"/>
  <c r="AW525" i="2"/>
  <c r="AX525" i="2"/>
  <c r="AY525" i="2"/>
  <c r="AZ525" i="2"/>
  <c r="BA525" i="2"/>
  <c r="BB525" i="2"/>
  <c r="BC525" i="2"/>
  <c r="BD525" i="2"/>
  <c r="BE525" i="2"/>
  <c r="BF525" i="2"/>
  <c r="BG525" i="2"/>
  <c r="BH525" i="2"/>
  <c r="BI525" i="2"/>
  <c r="BJ525" i="2"/>
  <c r="BK525" i="2"/>
  <c r="BL525" i="2"/>
  <c r="BM525" i="2"/>
  <c r="BN525" i="2"/>
  <c r="BO525" i="2"/>
  <c r="BP525" i="2"/>
  <c r="BQ525" i="2"/>
  <c r="BR525" i="2"/>
  <c r="BS525" i="2"/>
  <c r="BT525" i="2"/>
  <c r="BU525" i="2"/>
  <c r="BV525" i="2"/>
  <c r="BW525" i="2"/>
  <c r="AA525" i="2"/>
  <c r="AA524" i="2"/>
  <c r="AA523" i="2"/>
  <c r="L523" i="2"/>
  <c r="M523" i="2"/>
  <c r="N523" i="2"/>
  <c r="O523" i="2"/>
  <c r="P523" i="2"/>
  <c r="Q523" i="2"/>
  <c r="R523" i="2"/>
  <c r="S523" i="2"/>
  <c r="T523" i="2"/>
  <c r="U523" i="2"/>
  <c r="V523" i="2"/>
  <c r="W523" i="2"/>
  <c r="L524" i="2"/>
  <c r="M524" i="2"/>
  <c r="N524" i="2"/>
  <c r="O524" i="2"/>
  <c r="P524" i="2"/>
  <c r="Q524" i="2"/>
  <c r="R524" i="2"/>
  <c r="S524" i="2"/>
  <c r="T524" i="2"/>
  <c r="U524" i="2"/>
  <c r="V524" i="2"/>
  <c r="W524" i="2"/>
  <c r="L525" i="2"/>
  <c r="M525" i="2"/>
  <c r="O525" i="2"/>
  <c r="P525" i="2"/>
  <c r="Q525" i="2"/>
  <c r="R525" i="2"/>
  <c r="S525" i="2"/>
  <c r="T525" i="2"/>
  <c r="U525" i="2"/>
  <c r="V525" i="2"/>
  <c r="W525" i="2"/>
  <c r="K525" i="2"/>
  <c r="K524" i="2"/>
  <c r="K523" i="2"/>
  <c r="K522" i="2"/>
  <c r="K520" i="2"/>
  <c r="K519" i="2"/>
  <c r="K517" i="2"/>
  <c r="AB516" i="2"/>
  <c r="AC516" i="2"/>
  <c r="AD516" i="2"/>
  <c r="AE516" i="2"/>
  <c r="AF516" i="2"/>
  <c r="AG516" i="2"/>
  <c r="AH516" i="2"/>
  <c r="AI516" i="2"/>
  <c r="AJ516" i="2"/>
  <c r="AK516" i="2"/>
  <c r="AL516" i="2"/>
  <c r="AM516" i="2"/>
  <c r="AN516" i="2"/>
  <c r="AO516" i="2"/>
  <c r="AP516" i="2"/>
  <c r="AQ516" i="2"/>
  <c r="AR516" i="2"/>
  <c r="AS516" i="2"/>
  <c r="AT516" i="2"/>
  <c r="AU516" i="2"/>
  <c r="AV516" i="2"/>
  <c r="AW516" i="2"/>
  <c r="AX516" i="2"/>
  <c r="AY516" i="2"/>
  <c r="AZ516" i="2"/>
  <c r="BA516" i="2"/>
  <c r="BB516" i="2"/>
  <c r="BC516" i="2"/>
  <c r="BD516" i="2"/>
  <c r="BE516" i="2"/>
  <c r="BF516" i="2"/>
  <c r="BG516" i="2"/>
  <c r="BH516" i="2"/>
  <c r="BI516" i="2"/>
  <c r="BJ516" i="2"/>
  <c r="BK516" i="2"/>
  <c r="BL516" i="2"/>
  <c r="BM516" i="2"/>
  <c r="BN516" i="2"/>
  <c r="BO516" i="2"/>
  <c r="BP516" i="2"/>
  <c r="BQ516" i="2"/>
  <c r="BR516" i="2"/>
  <c r="BS516" i="2"/>
  <c r="BT516" i="2"/>
  <c r="BU516" i="2"/>
  <c r="BV516" i="2"/>
  <c r="BW516" i="2"/>
  <c r="AA516" i="2"/>
  <c r="L516" i="2"/>
  <c r="M516" i="2"/>
  <c r="N516" i="2"/>
  <c r="O516" i="2"/>
  <c r="P516" i="2"/>
  <c r="Q516" i="2"/>
  <c r="R516" i="2"/>
  <c r="S516" i="2"/>
  <c r="T516" i="2"/>
  <c r="U516" i="2"/>
  <c r="V516" i="2"/>
  <c r="W516" i="2"/>
  <c r="K516" i="2"/>
  <c r="AB515" i="2"/>
  <c r="AC515" i="2"/>
  <c r="AD515" i="2"/>
  <c r="AE515" i="2"/>
  <c r="AF515" i="2"/>
  <c r="AG515" i="2"/>
  <c r="AH515" i="2"/>
  <c r="AI515" i="2"/>
  <c r="AJ515" i="2"/>
  <c r="AK515" i="2"/>
  <c r="AL515" i="2"/>
  <c r="AM515" i="2"/>
  <c r="AN515" i="2"/>
  <c r="AO515" i="2"/>
  <c r="AP515" i="2"/>
  <c r="AQ515" i="2"/>
  <c r="AR515" i="2"/>
  <c r="AS515" i="2"/>
  <c r="AT515" i="2"/>
  <c r="AU515" i="2"/>
  <c r="AV515" i="2"/>
  <c r="AW515" i="2"/>
  <c r="AX515" i="2"/>
  <c r="AY515" i="2"/>
  <c r="AZ515" i="2"/>
  <c r="BA515" i="2"/>
  <c r="BB515" i="2"/>
  <c r="BC515" i="2"/>
  <c r="BD515" i="2"/>
  <c r="BE515" i="2"/>
  <c r="BF515" i="2"/>
  <c r="BG515" i="2"/>
  <c r="BH515" i="2"/>
  <c r="BI515" i="2"/>
  <c r="BJ515" i="2"/>
  <c r="BK515" i="2"/>
  <c r="BL515" i="2"/>
  <c r="BM515" i="2"/>
  <c r="BN515" i="2"/>
  <c r="BO515" i="2"/>
  <c r="BP515" i="2"/>
  <c r="BQ515" i="2"/>
  <c r="BR515" i="2"/>
  <c r="BS515" i="2"/>
  <c r="BT515" i="2"/>
  <c r="BU515" i="2"/>
  <c r="BV515" i="2"/>
  <c r="BW515" i="2"/>
  <c r="AA515" i="2"/>
  <c r="O515" i="2"/>
  <c r="P515" i="2"/>
  <c r="Q515" i="2"/>
  <c r="R515" i="2"/>
  <c r="S515" i="2"/>
  <c r="T515" i="2"/>
  <c r="U515" i="2"/>
  <c r="V515" i="2"/>
  <c r="W515" i="2"/>
  <c r="M515" i="2"/>
  <c r="L515" i="2"/>
  <c r="K515" i="2"/>
  <c r="AW513" i="2"/>
  <c r="AX513" i="2"/>
  <c r="AY513" i="2"/>
  <c r="AZ513" i="2"/>
  <c r="BA513" i="2"/>
  <c r="BB513" i="2"/>
  <c r="BC513" i="2"/>
  <c r="BD513" i="2"/>
  <c r="BE513" i="2"/>
  <c r="BF513" i="2"/>
  <c r="BG513" i="2"/>
  <c r="BH513" i="2"/>
  <c r="BI513" i="2"/>
  <c r="BJ513" i="2"/>
  <c r="BK513" i="2"/>
  <c r="BL513" i="2"/>
  <c r="BM513" i="2"/>
  <c r="BN513" i="2"/>
  <c r="BO513" i="2"/>
  <c r="BP513" i="2"/>
  <c r="BQ513" i="2"/>
  <c r="BR513" i="2"/>
  <c r="BS513" i="2"/>
  <c r="BT513" i="2"/>
  <c r="BU513" i="2"/>
  <c r="BV513" i="2"/>
  <c r="BW513" i="2"/>
  <c r="AT513" i="2"/>
  <c r="AU513" i="2"/>
  <c r="AV513" i="2"/>
  <c r="AB513" i="2"/>
  <c r="AC513" i="2"/>
  <c r="AD513" i="2"/>
  <c r="AE513" i="2"/>
  <c r="AF513" i="2"/>
  <c r="AG513" i="2"/>
  <c r="AH513" i="2"/>
  <c r="AI513" i="2"/>
  <c r="AJ513" i="2"/>
  <c r="AK513" i="2"/>
  <c r="AL513" i="2"/>
  <c r="AM513" i="2"/>
  <c r="AN513" i="2"/>
  <c r="AO513" i="2"/>
  <c r="AP513" i="2"/>
  <c r="AQ513" i="2"/>
  <c r="AR513" i="2"/>
  <c r="AS513" i="2"/>
  <c r="AA513" i="2"/>
  <c r="L513" i="2"/>
  <c r="M513" i="2"/>
  <c r="P513" i="2"/>
  <c r="Q513" i="2"/>
  <c r="R513" i="2"/>
  <c r="S513" i="2"/>
  <c r="T513" i="2"/>
  <c r="U513" i="2"/>
  <c r="V513" i="2"/>
  <c r="W513" i="2"/>
  <c r="K513" i="2"/>
  <c r="AB514" i="2"/>
  <c r="AC514" i="2"/>
  <c r="AD514" i="2"/>
  <c r="AE514" i="2"/>
  <c r="AF514" i="2"/>
  <c r="AG514" i="2"/>
  <c r="AH514" i="2"/>
  <c r="AI514" i="2"/>
  <c r="AJ514" i="2"/>
  <c r="AK514" i="2"/>
  <c r="AL514" i="2"/>
  <c r="AM514" i="2"/>
  <c r="AN514" i="2"/>
  <c r="AO514" i="2"/>
  <c r="AP514" i="2"/>
  <c r="AQ514" i="2"/>
  <c r="AR514" i="2"/>
  <c r="AS514" i="2"/>
  <c r="AT514" i="2"/>
  <c r="AU514" i="2"/>
  <c r="AV514" i="2"/>
  <c r="AW514" i="2"/>
  <c r="AX514" i="2"/>
  <c r="AY514" i="2"/>
  <c r="AZ514" i="2"/>
  <c r="BA514" i="2"/>
  <c r="BB514" i="2"/>
  <c r="BC514" i="2"/>
  <c r="BD514" i="2"/>
  <c r="BE514" i="2"/>
  <c r="BF514" i="2"/>
  <c r="BG514" i="2"/>
  <c r="BH514" i="2"/>
  <c r="BI514" i="2"/>
  <c r="BJ514" i="2"/>
  <c r="BK514" i="2"/>
  <c r="BL514" i="2"/>
  <c r="BM514" i="2"/>
  <c r="BN514" i="2"/>
  <c r="BO514" i="2"/>
  <c r="BP514" i="2"/>
  <c r="BQ514" i="2"/>
  <c r="BR514" i="2"/>
  <c r="BS514" i="2"/>
  <c r="BT514" i="2"/>
  <c r="BU514" i="2"/>
  <c r="BV514" i="2"/>
  <c r="BW514" i="2"/>
  <c r="AA514" i="2"/>
  <c r="Q514" i="2"/>
  <c r="R514" i="2"/>
  <c r="S514" i="2"/>
  <c r="T514" i="2"/>
  <c r="U514" i="2"/>
  <c r="V514" i="2"/>
  <c r="W514" i="2"/>
  <c r="P514" i="2"/>
  <c r="O514" i="2"/>
  <c r="N514" i="2"/>
  <c r="M514" i="2"/>
  <c r="L514" i="2"/>
  <c r="K514" i="2"/>
  <c r="I584" i="2"/>
  <c r="J584" i="2"/>
  <c r="K584" i="2"/>
  <c r="I585" i="2"/>
  <c r="J585" i="2"/>
  <c r="K585" i="2"/>
  <c r="I586" i="2"/>
  <c r="J586" i="2"/>
  <c r="K586" i="2"/>
  <c r="I587" i="2"/>
  <c r="J587" i="2"/>
  <c r="I588" i="2"/>
  <c r="J588" i="2"/>
  <c r="K588" i="2"/>
  <c r="I589" i="2"/>
  <c r="J589" i="2"/>
  <c r="K589" i="2"/>
  <c r="I590" i="2"/>
  <c r="J590" i="2"/>
  <c r="I591" i="2"/>
  <c r="J591" i="2"/>
  <c r="I593" i="2"/>
  <c r="J593" i="2"/>
  <c r="K593" i="2"/>
  <c r="I564" i="2"/>
  <c r="J564" i="2"/>
  <c r="K564" i="2"/>
  <c r="I565" i="2"/>
  <c r="J565" i="2"/>
  <c r="K565" i="2"/>
  <c r="I566" i="2"/>
  <c r="J566" i="2"/>
  <c r="K566" i="2"/>
  <c r="I567" i="2"/>
  <c r="J567" i="2"/>
  <c r="K567" i="2"/>
  <c r="I568" i="2"/>
  <c r="J568" i="2"/>
  <c r="K568" i="2"/>
  <c r="I569" i="2"/>
  <c r="J569" i="2"/>
  <c r="K569" i="2"/>
  <c r="I571" i="2"/>
  <c r="J571" i="2"/>
  <c r="I573" i="2"/>
  <c r="J573" i="2"/>
  <c r="I574" i="2"/>
  <c r="J574" i="2"/>
  <c r="K574" i="2"/>
  <c r="I575" i="2"/>
  <c r="J575" i="2"/>
  <c r="K575" i="2"/>
  <c r="I577" i="2"/>
  <c r="J577" i="2"/>
  <c r="K577" i="2"/>
  <c r="I578" i="2"/>
  <c r="J578" i="2"/>
  <c r="I580" i="2"/>
  <c r="J580" i="2"/>
  <c r="K580" i="2"/>
  <c r="I581" i="2"/>
  <c r="J581" i="2"/>
  <c r="K581" i="2"/>
  <c r="I582" i="2"/>
  <c r="J582" i="2"/>
  <c r="K582" i="2"/>
  <c r="K548" i="2"/>
  <c r="K549" i="2"/>
  <c r="K551" i="2"/>
  <c r="K552" i="2"/>
  <c r="K553" i="2"/>
  <c r="K554" i="2"/>
  <c r="K555" i="2"/>
  <c r="K556" i="2"/>
  <c r="K557" i="2"/>
  <c r="K559" i="2"/>
  <c r="K560" i="2"/>
  <c r="K561" i="2"/>
  <c r="K562" i="2"/>
  <c r="K518" i="2"/>
  <c r="K507" i="2"/>
  <c r="K508" i="2"/>
  <c r="K509" i="2"/>
  <c r="K510" i="2"/>
  <c r="K511" i="2"/>
  <c r="K506" i="2"/>
  <c r="K505" i="2"/>
  <c r="K504" i="2"/>
  <c r="K501" i="2"/>
  <c r="G500" i="2"/>
  <c r="BN475" i="2"/>
  <c r="BO475" i="2"/>
  <c r="BP475" i="2" s="1"/>
  <c r="BQ475" i="2"/>
  <c r="BR475" i="2"/>
  <c r="BS475" i="2"/>
  <c r="BV475" i="2" s="1"/>
  <c r="BT475" i="2"/>
  <c r="BN476" i="2"/>
  <c r="BO476" i="2"/>
  <c r="BP476" i="2" s="1"/>
  <c r="BQ476" i="2"/>
  <c r="BS476" i="2" s="1"/>
  <c r="BV476" i="2" s="1"/>
  <c r="BR476" i="2"/>
  <c r="BT476" i="2"/>
  <c r="BN477" i="2"/>
  <c r="BP477" i="2" s="1"/>
  <c r="BO477" i="2"/>
  <c r="BQ477" i="2"/>
  <c r="BS477" i="2" s="1"/>
  <c r="BV477" i="2" s="1"/>
  <c r="BR477" i="2"/>
  <c r="BT477" i="2"/>
  <c r="BN478" i="2"/>
  <c r="BO478" i="2"/>
  <c r="BP478" i="2" s="1"/>
  <c r="BQ478" i="2"/>
  <c r="BR478" i="2"/>
  <c r="BS478" i="2"/>
  <c r="BV478" i="2" s="1"/>
  <c r="BT478" i="2"/>
  <c r="BN479" i="2"/>
  <c r="BO479" i="2"/>
  <c r="BP479" i="2" s="1"/>
  <c r="BQ479" i="2"/>
  <c r="BS479" i="2" s="1"/>
  <c r="BV479" i="2" s="1"/>
  <c r="BR479" i="2"/>
  <c r="BT479" i="2"/>
  <c r="BT474" i="2"/>
  <c r="BS474" i="2"/>
  <c r="BV474" i="2" s="1"/>
  <c r="BR474" i="2"/>
  <c r="BQ474" i="2"/>
  <c r="BO474" i="2"/>
  <c r="BP474" i="2" s="1"/>
  <c r="BN474" i="2"/>
  <c r="BN415" i="2"/>
  <c r="BP415" i="2" s="1"/>
  <c r="BO415" i="2"/>
  <c r="BQ415" i="2"/>
  <c r="BS415" i="2" s="1"/>
  <c r="BV415" i="2" s="1"/>
  <c r="BR415" i="2"/>
  <c r="BT415" i="2"/>
  <c r="BN416" i="2"/>
  <c r="BP416" i="2" s="1"/>
  <c r="BO416" i="2"/>
  <c r="BQ416" i="2"/>
  <c r="BR416" i="2"/>
  <c r="BS416" i="2"/>
  <c r="BV416" i="2" s="1"/>
  <c r="BT416" i="2"/>
  <c r="BN417" i="2"/>
  <c r="BO417" i="2"/>
  <c r="BP417" i="2"/>
  <c r="BU417" i="2" s="1"/>
  <c r="BQ417" i="2"/>
  <c r="BS417" i="2" s="1"/>
  <c r="BV417" i="2" s="1"/>
  <c r="BR417" i="2"/>
  <c r="BT417" i="2"/>
  <c r="BN418" i="2"/>
  <c r="BP418" i="2" s="1"/>
  <c r="BO418" i="2"/>
  <c r="BQ418" i="2"/>
  <c r="BS418" i="2" s="1"/>
  <c r="BV418" i="2" s="1"/>
  <c r="BR418" i="2"/>
  <c r="BT418" i="2"/>
  <c r="BN419" i="2"/>
  <c r="BP419" i="2" s="1"/>
  <c r="BO419" i="2"/>
  <c r="BQ419" i="2"/>
  <c r="BR419" i="2"/>
  <c r="BS419" i="2"/>
  <c r="BV419" i="2" s="1"/>
  <c r="BT419" i="2"/>
  <c r="BN420" i="2"/>
  <c r="BO420" i="2"/>
  <c r="BP420" i="2"/>
  <c r="BU420" i="2" s="1"/>
  <c r="BQ420" i="2"/>
  <c r="BS420" i="2" s="1"/>
  <c r="BV420" i="2" s="1"/>
  <c r="BR420" i="2"/>
  <c r="BT420" i="2"/>
  <c r="BN421" i="2"/>
  <c r="BP421" i="2" s="1"/>
  <c r="BO421" i="2"/>
  <c r="BQ421" i="2"/>
  <c r="BS421" i="2" s="1"/>
  <c r="BV421" i="2" s="1"/>
  <c r="BR421" i="2"/>
  <c r="BT421" i="2"/>
  <c r="BN422" i="2"/>
  <c r="BP422" i="2" s="1"/>
  <c r="BO422" i="2"/>
  <c r="BQ422" i="2"/>
  <c r="BR422" i="2"/>
  <c r="BS422" i="2"/>
  <c r="BV422" i="2" s="1"/>
  <c r="BT422" i="2"/>
  <c r="BN423" i="2"/>
  <c r="BO423" i="2"/>
  <c r="BP423" i="2"/>
  <c r="BU423" i="2" s="1"/>
  <c r="BQ423" i="2"/>
  <c r="BS423" i="2" s="1"/>
  <c r="BV423" i="2" s="1"/>
  <c r="BR423" i="2"/>
  <c r="BT423" i="2"/>
  <c r="BN424" i="2"/>
  <c r="BP424" i="2" s="1"/>
  <c r="BO424" i="2"/>
  <c r="BQ424" i="2"/>
  <c r="BS424" i="2" s="1"/>
  <c r="BV424" i="2" s="1"/>
  <c r="BR424" i="2"/>
  <c r="BT424" i="2"/>
  <c r="BN425" i="2"/>
  <c r="BP425" i="2" s="1"/>
  <c r="BO425" i="2"/>
  <c r="BQ425" i="2"/>
  <c r="BR425" i="2"/>
  <c r="BS425" i="2"/>
  <c r="BV425" i="2" s="1"/>
  <c r="BT425" i="2"/>
  <c r="BN426" i="2"/>
  <c r="BO426" i="2"/>
  <c r="BP426" i="2"/>
  <c r="BU426" i="2" s="1"/>
  <c r="BQ426" i="2"/>
  <c r="BS426" i="2" s="1"/>
  <c r="BV426" i="2" s="1"/>
  <c r="BR426" i="2"/>
  <c r="BT426" i="2"/>
  <c r="BN427" i="2"/>
  <c r="BP427" i="2" s="1"/>
  <c r="BO427" i="2"/>
  <c r="BQ427" i="2"/>
  <c r="BS427" i="2" s="1"/>
  <c r="BV427" i="2" s="1"/>
  <c r="BR427" i="2"/>
  <c r="BT427" i="2"/>
  <c r="BN428" i="2"/>
  <c r="BP428" i="2" s="1"/>
  <c r="BO428" i="2"/>
  <c r="BQ428" i="2"/>
  <c r="BR428" i="2"/>
  <c r="BS428" i="2"/>
  <c r="BV428" i="2" s="1"/>
  <c r="BT428" i="2"/>
  <c r="BN429" i="2"/>
  <c r="BO429" i="2"/>
  <c r="BP429" i="2"/>
  <c r="BU429" i="2" s="1"/>
  <c r="BQ429" i="2"/>
  <c r="BS429" i="2" s="1"/>
  <c r="BV429" i="2" s="1"/>
  <c r="BR429" i="2"/>
  <c r="BT429" i="2"/>
  <c r="BN430" i="2"/>
  <c r="BP430" i="2" s="1"/>
  <c r="BO430" i="2"/>
  <c r="BQ430" i="2"/>
  <c r="BS430" i="2" s="1"/>
  <c r="BV430" i="2" s="1"/>
  <c r="BR430" i="2"/>
  <c r="BT430" i="2"/>
  <c r="BN431" i="2"/>
  <c r="BP431" i="2" s="1"/>
  <c r="BO431" i="2"/>
  <c r="BQ431" i="2"/>
  <c r="BR431" i="2"/>
  <c r="BS431" i="2"/>
  <c r="BV431" i="2" s="1"/>
  <c r="BT431" i="2"/>
  <c r="BN432" i="2"/>
  <c r="BO432" i="2"/>
  <c r="BP432" i="2"/>
  <c r="BU432" i="2" s="1"/>
  <c r="BQ432" i="2"/>
  <c r="BS432" i="2" s="1"/>
  <c r="BV432" i="2" s="1"/>
  <c r="BR432" i="2"/>
  <c r="BT432" i="2"/>
  <c r="BN433" i="2"/>
  <c r="BP433" i="2" s="1"/>
  <c r="BO433" i="2"/>
  <c r="BQ433" i="2"/>
  <c r="BS433" i="2" s="1"/>
  <c r="BV433" i="2" s="1"/>
  <c r="BR433" i="2"/>
  <c r="BT433" i="2"/>
  <c r="BN434" i="2"/>
  <c r="BP434" i="2" s="1"/>
  <c r="BO434" i="2"/>
  <c r="BQ434" i="2"/>
  <c r="BR434" i="2"/>
  <c r="BS434" i="2"/>
  <c r="BV434" i="2" s="1"/>
  <c r="BT434" i="2"/>
  <c r="BN435" i="2"/>
  <c r="BO435" i="2"/>
  <c r="BP435" i="2"/>
  <c r="BU435" i="2" s="1"/>
  <c r="BQ435" i="2"/>
  <c r="BS435" i="2" s="1"/>
  <c r="BV435" i="2" s="1"/>
  <c r="BR435" i="2"/>
  <c r="BT435" i="2"/>
  <c r="BN436" i="2"/>
  <c r="BP436" i="2" s="1"/>
  <c r="BO436" i="2"/>
  <c r="BQ436" i="2"/>
  <c r="BS436" i="2" s="1"/>
  <c r="BV436" i="2" s="1"/>
  <c r="BR436" i="2"/>
  <c r="BT436" i="2"/>
  <c r="BN437" i="2"/>
  <c r="BP437" i="2" s="1"/>
  <c r="BO437" i="2"/>
  <c r="BQ437" i="2"/>
  <c r="BR437" i="2"/>
  <c r="BS437" i="2"/>
  <c r="BV437" i="2" s="1"/>
  <c r="BT437" i="2"/>
  <c r="BN438" i="2"/>
  <c r="BO438" i="2"/>
  <c r="BP438" i="2"/>
  <c r="BU438" i="2" s="1"/>
  <c r="BQ438" i="2"/>
  <c r="BS438" i="2" s="1"/>
  <c r="BV438" i="2" s="1"/>
  <c r="BR438" i="2"/>
  <c r="BT438" i="2"/>
  <c r="BN439" i="2"/>
  <c r="BP439" i="2" s="1"/>
  <c r="BO439" i="2"/>
  <c r="BQ439" i="2"/>
  <c r="BS439" i="2" s="1"/>
  <c r="BV439" i="2" s="1"/>
  <c r="BR439" i="2"/>
  <c r="BT439" i="2"/>
  <c r="BN440" i="2"/>
  <c r="BP440" i="2" s="1"/>
  <c r="BO440" i="2"/>
  <c r="BQ440" i="2"/>
  <c r="BR440" i="2"/>
  <c r="BS440" i="2"/>
  <c r="BV440" i="2" s="1"/>
  <c r="BT440" i="2"/>
  <c r="BN441" i="2"/>
  <c r="BO441" i="2"/>
  <c r="BP441" i="2"/>
  <c r="BU441" i="2" s="1"/>
  <c r="BQ441" i="2"/>
  <c r="BS441" i="2" s="1"/>
  <c r="BV441" i="2" s="1"/>
  <c r="BR441" i="2"/>
  <c r="BT441" i="2"/>
  <c r="BN442" i="2"/>
  <c r="BP442" i="2" s="1"/>
  <c r="BO442" i="2"/>
  <c r="BQ442" i="2"/>
  <c r="BS442" i="2" s="1"/>
  <c r="BV442" i="2" s="1"/>
  <c r="BR442" i="2"/>
  <c r="BT442" i="2"/>
  <c r="BN443" i="2"/>
  <c r="BP443" i="2" s="1"/>
  <c r="BO443" i="2"/>
  <c r="BQ443" i="2"/>
  <c r="BR443" i="2"/>
  <c r="BS443" i="2"/>
  <c r="BV443" i="2" s="1"/>
  <c r="BT443" i="2"/>
  <c r="BN444" i="2"/>
  <c r="BO444" i="2"/>
  <c r="BP444" i="2"/>
  <c r="BW444" i="2" s="1"/>
  <c r="BQ444" i="2"/>
  <c r="BS444" i="2" s="1"/>
  <c r="BV444" i="2" s="1"/>
  <c r="BR444" i="2"/>
  <c r="BT444" i="2"/>
  <c r="BN445" i="2"/>
  <c r="BP445" i="2" s="1"/>
  <c r="BO445" i="2"/>
  <c r="BQ445" i="2"/>
  <c r="BS445" i="2" s="1"/>
  <c r="BV445" i="2" s="1"/>
  <c r="BR445" i="2"/>
  <c r="BT445" i="2"/>
  <c r="BN446" i="2"/>
  <c r="BP446" i="2" s="1"/>
  <c r="BO446" i="2"/>
  <c r="BQ446" i="2"/>
  <c r="BR446" i="2"/>
  <c r="BS446" i="2"/>
  <c r="BV446" i="2" s="1"/>
  <c r="BT446" i="2"/>
  <c r="BN447" i="2"/>
  <c r="BO447" i="2"/>
  <c r="BP447" i="2"/>
  <c r="BU447" i="2" s="1"/>
  <c r="BQ447" i="2"/>
  <c r="BS447" i="2" s="1"/>
  <c r="BV447" i="2" s="1"/>
  <c r="BR447" i="2"/>
  <c r="BT447" i="2"/>
  <c r="BN448" i="2"/>
  <c r="BP448" i="2" s="1"/>
  <c r="BO448" i="2"/>
  <c r="BQ448" i="2"/>
  <c r="BS448" i="2" s="1"/>
  <c r="BV448" i="2" s="1"/>
  <c r="BR448" i="2"/>
  <c r="BT448" i="2"/>
  <c r="BN449" i="2"/>
  <c r="BP449" i="2" s="1"/>
  <c r="BO449" i="2"/>
  <c r="BQ449" i="2"/>
  <c r="BR449" i="2"/>
  <c r="BS449" i="2"/>
  <c r="BV449" i="2" s="1"/>
  <c r="BT449" i="2"/>
  <c r="BN450" i="2"/>
  <c r="BO450" i="2"/>
  <c r="BP450" i="2"/>
  <c r="BU450" i="2" s="1"/>
  <c r="BQ450" i="2"/>
  <c r="BS450" i="2" s="1"/>
  <c r="BV450" i="2" s="1"/>
  <c r="BR450" i="2"/>
  <c r="BT450" i="2"/>
  <c r="BN451" i="2"/>
  <c r="BP451" i="2" s="1"/>
  <c r="BO451" i="2"/>
  <c r="BQ451" i="2"/>
  <c r="BS451" i="2" s="1"/>
  <c r="BV451" i="2" s="1"/>
  <c r="BR451" i="2"/>
  <c r="BT451" i="2"/>
  <c r="BN452" i="2"/>
  <c r="BP452" i="2" s="1"/>
  <c r="BO452" i="2"/>
  <c r="BQ452" i="2"/>
  <c r="BR452" i="2"/>
  <c r="BS452" i="2"/>
  <c r="BV452" i="2" s="1"/>
  <c r="BT452" i="2"/>
  <c r="BN453" i="2"/>
  <c r="BO453" i="2"/>
  <c r="BP453" i="2"/>
  <c r="BU453" i="2" s="1"/>
  <c r="BQ453" i="2"/>
  <c r="BS453" i="2" s="1"/>
  <c r="BV453" i="2" s="1"/>
  <c r="BR453" i="2"/>
  <c r="BT453" i="2"/>
  <c r="BN454" i="2"/>
  <c r="BP454" i="2" s="1"/>
  <c r="BO454" i="2"/>
  <c r="BQ454" i="2"/>
  <c r="BS454" i="2" s="1"/>
  <c r="BV454" i="2" s="1"/>
  <c r="BR454" i="2"/>
  <c r="BT454" i="2"/>
  <c r="BN455" i="2"/>
  <c r="BP455" i="2" s="1"/>
  <c r="BO455" i="2"/>
  <c r="BQ455" i="2"/>
  <c r="BR455" i="2"/>
  <c r="BS455" i="2"/>
  <c r="BV455" i="2" s="1"/>
  <c r="BT455" i="2"/>
  <c r="BN456" i="2"/>
  <c r="BO456" i="2"/>
  <c r="BP456" i="2"/>
  <c r="BU456" i="2" s="1"/>
  <c r="BQ456" i="2"/>
  <c r="BS456" i="2" s="1"/>
  <c r="BV456" i="2" s="1"/>
  <c r="BR456" i="2"/>
  <c r="BT456" i="2"/>
  <c r="BN457" i="2"/>
  <c r="BP457" i="2" s="1"/>
  <c r="BO457" i="2"/>
  <c r="BQ457" i="2"/>
  <c r="BS457" i="2" s="1"/>
  <c r="BV457" i="2" s="1"/>
  <c r="BR457" i="2"/>
  <c r="BT457" i="2"/>
  <c r="BN458" i="2"/>
  <c r="BP458" i="2" s="1"/>
  <c r="BO458" i="2"/>
  <c r="BQ458" i="2"/>
  <c r="BR458" i="2"/>
  <c r="BS458" i="2"/>
  <c r="BV458" i="2" s="1"/>
  <c r="BT458" i="2"/>
  <c r="BN459" i="2"/>
  <c r="BO459" i="2"/>
  <c r="BP459" i="2"/>
  <c r="BU459" i="2" s="1"/>
  <c r="BQ459" i="2"/>
  <c r="BS459" i="2" s="1"/>
  <c r="BV459" i="2" s="1"/>
  <c r="BR459" i="2"/>
  <c r="BT459" i="2"/>
  <c r="BN460" i="2"/>
  <c r="BP460" i="2" s="1"/>
  <c r="BO460" i="2"/>
  <c r="BQ460" i="2"/>
  <c r="BS460" i="2" s="1"/>
  <c r="BV460" i="2" s="1"/>
  <c r="BR460" i="2"/>
  <c r="BT460" i="2"/>
  <c r="BN461" i="2"/>
  <c r="BP461" i="2" s="1"/>
  <c r="BO461" i="2"/>
  <c r="BQ461" i="2"/>
  <c r="BR461" i="2"/>
  <c r="BS461" i="2"/>
  <c r="BV461" i="2" s="1"/>
  <c r="BT461" i="2"/>
  <c r="BN462" i="2"/>
  <c r="BO462" i="2"/>
  <c r="BP462" i="2"/>
  <c r="BU462" i="2" s="1"/>
  <c r="BQ462" i="2"/>
  <c r="BS462" i="2" s="1"/>
  <c r="BV462" i="2" s="1"/>
  <c r="BR462" i="2"/>
  <c r="BT462" i="2"/>
  <c r="BN463" i="2"/>
  <c r="BP463" i="2" s="1"/>
  <c r="BO463" i="2"/>
  <c r="BQ463" i="2"/>
  <c r="BS463" i="2" s="1"/>
  <c r="BV463" i="2" s="1"/>
  <c r="BR463" i="2"/>
  <c r="BT463" i="2"/>
  <c r="BN464" i="2"/>
  <c r="BP464" i="2" s="1"/>
  <c r="BO464" i="2"/>
  <c r="BQ464" i="2"/>
  <c r="BR464" i="2"/>
  <c r="BS464" i="2"/>
  <c r="BV464" i="2" s="1"/>
  <c r="BT464" i="2"/>
  <c r="BN465" i="2"/>
  <c r="BO465" i="2"/>
  <c r="BP465" i="2"/>
  <c r="BU465" i="2" s="1"/>
  <c r="BQ465" i="2"/>
  <c r="BS465" i="2" s="1"/>
  <c r="BV465" i="2" s="1"/>
  <c r="BR465" i="2"/>
  <c r="BT465" i="2"/>
  <c r="BN466" i="2"/>
  <c r="BP466" i="2" s="1"/>
  <c r="BO466" i="2"/>
  <c r="BQ466" i="2"/>
  <c r="BS466" i="2" s="1"/>
  <c r="BV466" i="2" s="1"/>
  <c r="BR466" i="2"/>
  <c r="BT466" i="2"/>
  <c r="BN467" i="2"/>
  <c r="BP467" i="2" s="1"/>
  <c r="BO467" i="2"/>
  <c r="BQ467" i="2"/>
  <c r="BR467" i="2"/>
  <c r="BS467" i="2"/>
  <c r="BV467" i="2" s="1"/>
  <c r="BT467" i="2"/>
  <c r="BN468" i="2"/>
  <c r="BO468" i="2"/>
  <c r="BP468" i="2"/>
  <c r="BU468" i="2" s="1"/>
  <c r="BQ468" i="2"/>
  <c r="BS468" i="2" s="1"/>
  <c r="BV468" i="2" s="1"/>
  <c r="BR468" i="2"/>
  <c r="BT468" i="2"/>
  <c r="BN469" i="2"/>
  <c r="BP469" i="2" s="1"/>
  <c r="BO469" i="2"/>
  <c r="BQ469" i="2"/>
  <c r="BS469" i="2" s="1"/>
  <c r="BV469" i="2" s="1"/>
  <c r="BR469" i="2"/>
  <c r="BT469" i="2"/>
  <c r="BN470" i="2"/>
  <c r="BP470" i="2" s="1"/>
  <c r="BO470" i="2"/>
  <c r="BQ470" i="2"/>
  <c r="BR470" i="2"/>
  <c r="BS470" i="2"/>
  <c r="BV470" i="2" s="1"/>
  <c r="BT470" i="2"/>
  <c r="BN471" i="2"/>
  <c r="BO471" i="2"/>
  <c r="BP471" i="2"/>
  <c r="BU471" i="2" s="1"/>
  <c r="BQ471" i="2"/>
  <c r="BS471" i="2" s="1"/>
  <c r="BV471" i="2" s="1"/>
  <c r="BR471" i="2"/>
  <c r="BT471" i="2"/>
  <c r="BN472" i="2"/>
  <c r="BP472" i="2" s="1"/>
  <c r="BO472" i="2"/>
  <c r="BQ472" i="2"/>
  <c r="BS472" i="2" s="1"/>
  <c r="BV472" i="2" s="1"/>
  <c r="BR472" i="2"/>
  <c r="BT472" i="2"/>
  <c r="BT414" i="2"/>
  <c r="BS414" i="2"/>
  <c r="BV414" i="2" s="1"/>
  <c r="BR414" i="2"/>
  <c r="BQ414" i="2"/>
  <c r="BO414" i="2"/>
  <c r="BN414" i="2"/>
  <c r="BP414" i="2" s="1"/>
  <c r="BT413" i="2"/>
  <c r="BR413" i="2"/>
  <c r="BQ413" i="2"/>
  <c r="BS413" i="2" s="1"/>
  <c r="BV413" i="2" s="1"/>
  <c r="BO413" i="2"/>
  <c r="BP413" i="2" s="1"/>
  <c r="BN413" i="2"/>
  <c r="BT412" i="2"/>
  <c r="BR412" i="2"/>
  <c r="BQ412" i="2"/>
  <c r="BS412" i="2" s="1"/>
  <c r="BV412" i="2" s="1"/>
  <c r="BO412" i="2"/>
  <c r="BN412" i="2"/>
  <c r="BP412" i="2" s="1"/>
  <c r="BT411" i="2"/>
  <c r="BS411" i="2"/>
  <c r="BV411" i="2" s="1"/>
  <c r="BR411" i="2"/>
  <c r="BQ411" i="2"/>
  <c r="BO411" i="2"/>
  <c r="BN411" i="2"/>
  <c r="BP411" i="2" s="1"/>
  <c r="BT410" i="2"/>
  <c r="BR410" i="2"/>
  <c r="BQ410" i="2"/>
  <c r="BS410" i="2" s="1"/>
  <c r="BV410" i="2" s="1"/>
  <c r="BO410" i="2"/>
  <c r="BP410" i="2" s="1"/>
  <c r="BN410" i="2"/>
  <c r="BT409" i="2"/>
  <c r="BS409" i="2"/>
  <c r="BV409" i="2" s="1"/>
  <c r="BR409" i="2"/>
  <c r="BQ409" i="2"/>
  <c r="BO409" i="2"/>
  <c r="BN409" i="2"/>
  <c r="BP409" i="2" s="1"/>
  <c r="BT408" i="2"/>
  <c r="BS408" i="2"/>
  <c r="BV408" i="2" s="1"/>
  <c r="BR408" i="2"/>
  <c r="BQ408" i="2"/>
  <c r="BO408" i="2"/>
  <c r="BN408" i="2"/>
  <c r="BP408" i="2" s="1"/>
  <c r="BT407" i="2"/>
  <c r="BR407" i="2"/>
  <c r="BQ407" i="2"/>
  <c r="BS407" i="2" s="1"/>
  <c r="BV407" i="2" s="1"/>
  <c r="BO407" i="2"/>
  <c r="BP407" i="2" s="1"/>
  <c r="BN407" i="2"/>
  <c r="BT406" i="2"/>
  <c r="BS406" i="2"/>
  <c r="BV406" i="2" s="1"/>
  <c r="BR406" i="2"/>
  <c r="BQ406" i="2"/>
  <c r="BO406" i="2"/>
  <c r="BN406" i="2"/>
  <c r="BP406" i="2" s="1"/>
  <c r="BT405" i="2"/>
  <c r="BS405" i="2"/>
  <c r="BV405" i="2" s="1"/>
  <c r="BR405" i="2"/>
  <c r="BQ405" i="2"/>
  <c r="BO405" i="2"/>
  <c r="BN405" i="2"/>
  <c r="BP405" i="2" s="1"/>
  <c r="BT404" i="2"/>
  <c r="BR404" i="2"/>
  <c r="BQ404" i="2"/>
  <c r="BS404" i="2" s="1"/>
  <c r="BV404" i="2" s="1"/>
  <c r="BO404" i="2"/>
  <c r="BN404" i="2"/>
  <c r="BP404" i="2" s="1"/>
  <c r="BT403" i="2"/>
  <c r="BS403" i="2"/>
  <c r="BV403" i="2" s="1"/>
  <c r="BR403" i="2"/>
  <c r="BQ403" i="2"/>
  <c r="BO403" i="2"/>
  <c r="BN403" i="2"/>
  <c r="BP403" i="2" s="1"/>
  <c r="BT402" i="2"/>
  <c r="BS402" i="2"/>
  <c r="BV402" i="2" s="1"/>
  <c r="BR402" i="2"/>
  <c r="BQ402" i="2"/>
  <c r="BO402" i="2"/>
  <c r="BN402" i="2"/>
  <c r="BP402" i="2" s="1"/>
  <c r="BT401" i="2"/>
  <c r="BR401" i="2"/>
  <c r="BQ401" i="2"/>
  <c r="BS401" i="2" s="1"/>
  <c r="BV401" i="2" s="1"/>
  <c r="BO401" i="2"/>
  <c r="BN401" i="2"/>
  <c r="BP401" i="2" s="1"/>
  <c r="BT400" i="2"/>
  <c r="BS400" i="2"/>
  <c r="BV400" i="2" s="1"/>
  <c r="BR400" i="2"/>
  <c r="BQ400" i="2"/>
  <c r="BO400" i="2"/>
  <c r="BN400" i="2"/>
  <c r="BP400" i="2" s="1"/>
  <c r="BT399" i="2"/>
  <c r="BS399" i="2"/>
  <c r="BV399" i="2" s="1"/>
  <c r="BR399" i="2"/>
  <c r="BQ399" i="2"/>
  <c r="BO399" i="2"/>
  <c r="BN399" i="2"/>
  <c r="BP399" i="2" s="1"/>
  <c r="BT398" i="2"/>
  <c r="BR398" i="2"/>
  <c r="BQ398" i="2"/>
  <c r="BS398" i="2" s="1"/>
  <c r="BV398" i="2" s="1"/>
  <c r="BO398" i="2"/>
  <c r="BN398" i="2"/>
  <c r="BP398" i="2" s="1"/>
  <c r="BN390" i="2"/>
  <c r="BP390" i="2" s="1"/>
  <c r="BO390" i="2"/>
  <c r="BQ390" i="2"/>
  <c r="BS390" i="2" s="1"/>
  <c r="BV390" i="2" s="1"/>
  <c r="BR390" i="2"/>
  <c r="BT390" i="2"/>
  <c r="BN391" i="2"/>
  <c r="BP391" i="2" s="1"/>
  <c r="BO391" i="2"/>
  <c r="BQ391" i="2"/>
  <c r="BR391" i="2"/>
  <c r="BS391" i="2"/>
  <c r="BV391" i="2" s="1"/>
  <c r="BT391" i="2"/>
  <c r="BN392" i="2"/>
  <c r="BO392" i="2"/>
  <c r="BP392" i="2"/>
  <c r="BU392" i="2" s="1"/>
  <c r="BQ392" i="2"/>
  <c r="BR392" i="2"/>
  <c r="BS392" i="2" s="1"/>
  <c r="BV392" i="2" s="1"/>
  <c r="BT392" i="2"/>
  <c r="BN393" i="2"/>
  <c r="BP393" i="2" s="1"/>
  <c r="BO393" i="2"/>
  <c r="BQ393" i="2"/>
  <c r="BS393" i="2" s="1"/>
  <c r="BV393" i="2" s="1"/>
  <c r="BR393" i="2"/>
  <c r="BT393" i="2"/>
  <c r="BN394" i="2"/>
  <c r="BP394" i="2" s="1"/>
  <c r="BO394" i="2"/>
  <c r="BQ394" i="2"/>
  <c r="BR394" i="2"/>
  <c r="BS394" i="2"/>
  <c r="BV394" i="2" s="1"/>
  <c r="BT394" i="2"/>
  <c r="BN395" i="2"/>
  <c r="BO395" i="2"/>
  <c r="BP395" i="2"/>
  <c r="BU395" i="2" s="1"/>
  <c r="BQ395" i="2"/>
  <c r="BS395" i="2" s="1"/>
  <c r="BV395" i="2" s="1"/>
  <c r="BR395" i="2"/>
  <c r="BT395" i="2"/>
  <c r="BN396" i="2"/>
  <c r="BP396" i="2" s="1"/>
  <c r="BO396" i="2"/>
  <c r="BQ396" i="2"/>
  <c r="BS396" i="2" s="1"/>
  <c r="BV396" i="2" s="1"/>
  <c r="BR396" i="2"/>
  <c r="BT396" i="2"/>
  <c r="BT389" i="2"/>
  <c r="BR389" i="2"/>
  <c r="BS389" i="2" s="1"/>
  <c r="BV389" i="2" s="1"/>
  <c r="BQ389" i="2"/>
  <c r="BO389" i="2"/>
  <c r="BN389" i="2"/>
  <c r="BP389" i="2" s="1"/>
  <c r="BT388" i="2"/>
  <c r="BR388" i="2"/>
  <c r="BQ388" i="2"/>
  <c r="BS388" i="2" s="1"/>
  <c r="BV388" i="2" s="1"/>
  <c r="BP388" i="2"/>
  <c r="BU388" i="2" s="1"/>
  <c r="BO388" i="2"/>
  <c r="BN388" i="2"/>
  <c r="BT387" i="2"/>
  <c r="BR387" i="2"/>
  <c r="BS387" i="2" s="1"/>
  <c r="BV387" i="2" s="1"/>
  <c r="BQ387" i="2"/>
  <c r="BO387" i="2"/>
  <c r="BN387" i="2"/>
  <c r="BP387" i="2" s="1"/>
  <c r="BT386" i="2"/>
  <c r="BR386" i="2"/>
  <c r="BS386" i="2" s="1"/>
  <c r="BV386" i="2" s="1"/>
  <c r="BQ386" i="2"/>
  <c r="BO386" i="2"/>
  <c r="BN386" i="2"/>
  <c r="BP386" i="2" s="1"/>
  <c r="BT385" i="2"/>
  <c r="BR385" i="2"/>
  <c r="BQ385" i="2"/>
  <c r="BS385" i="2" s="1"/>
  <c r="BV385" i="2" s="1"/>
  <c r="BP385" i="2"/>
  <c r="BU385" i="2" s="1"/>
  <c r="BO385" i="2"/>
  <c r="BN385" i="2"/>
  <c r="BT384" i="2"/>
  <c r="BR384" i="2"/>
  <c r="BS384" i="2" s="1"/>
  <c r="BV384" i="2" s="1"/>
  <c r="BQ384" i="2"/>
  <c r="BO384" i="2"/>
  <c r="BN384" i="2"/>
  <c r="BP384" i="2" s="1"/>
  <c r="BT383" i="2"/>
  <c r="BR383" i="2"/>
  <c r="BS383" i="2" s="1"/>
  <c r="BV383" i="2" s="1"/>
  <c r="BQ383" i="2"/>
  <c r="BO383" i="2"/>
  <c r="BN383" i="2"/>
  <c r="BP383" i="2" s="1"/>
  <c r="BT382" i="2"/>
  <c r="BR382" i="2"/>
  <c r="BQ382" i="2"/>
  <c r="BS382" i="2" s="1"/>
  <c r="BV382" i="2" s="1"/>
  <c r="BP382" i="2"/>
  <c r="BU382" i="2" s="1"/>
  <c r="BO382" i="2"/>
  <c r="BN382" i="2"/>
  <c r="BT381" i="2"/>
  <c r="BR381" i="2"/>
  <c r="BS381" i="2" s="1"/>
  <c r="BV381" i="2" s="1"/>
  <c r="BQ381" i="2"/>
  <c r="BO381" i="2"/>
  <c r="BN381" i="2"/>
  <c r="BP381" i="2" s="1"/>
  <c r="BT380" i="2"/>
  <c r="BR380" i="2"/>
  <c r="BS380" i="2" s="1"/>
  <c r="BV380" i="2" s="1"/>
  <c r="BQ380" i="2"/>
  <c r="BO380" i="2"/>
  <c r="BN380" i="2"/>
  <c r="BP380" i="2" s="1"/>
  <c r="BN372" i="2"/>
  <c r="BO372" i="2"/>
  <c r="BP372" i="2" s="1"/>
  <c r="BQ372" i="2"/>
  <c r="BR372" i="2"/>
  <c r="BS372" i="2"/>
  <c r="BV372" i="2" s="1"/>
  <c r="BT372" i="2"/>
  <c r="BN373" i="2"/>
  <c r="BO373" i="2"/>
  <c r="BP373" i="2" s="1"/>
  <c r="BQ373" i="2"/>
  <c r="BS373" i="2" s="1"/>
  <c r="BV373" i="2" s="1"/>
  <c r="BR373" i="2"/>
  <c r="BT373" i="2"/>
  <c r="BN374" i="2"/>
  <c r="BP374" i="2" s="1"/>
  <c r="BO374" i="2"/>
  <c r="BQ374" i="2"/>
  <c r="BS374" i="2" s="1"/>
  <c r="BV374" i="2" s="1"/>
  <c r="BR374" i="2"/>
  <c r="BT374" i="2"/>
  <c r="BN375" i="2"/>
  <c r="BO375" i="2"/>
  <c r="BP375" i="2" s="1"/>
  <c r="BQ375" i="2"/>
  <c r="BR375" i="2"/>
  <c r="BS375" i="2"/>
  <c r="BV375" i="2" s="1"/>
  <c r="BT375" i="2"/>
  <c r="BN376" i="2"/>
  <c r="BO376" i="2"/>
  <c r="BP376" i="2" s="1"/>
  <c r="BQ376" i="2"/>
  <c r="BS376" i="2" s="1"/>
  <c r="BV376" i="2" s="1"/>
  <c r="BR376" i="2"/>
  <c r="BT376" i="2"/>
  <c r="BN377" i="2"/>
  <c r="BP377" i="2" s="1"/>
  <c r="BO377" i="2"/>
  <c r="BQ377" i="2"/>
  <c r="BS377" i="2" s="1"/>
  <c r="BV377" i="2" s="1"/>
  <c r="BR377" i="2"/>
  <c r="BT377" i="2"/>
  <c r="BN378" i="2"/>
  <c r="BO378" i="2"/>
  <c r="BP378" i="2" s="1"/>
  <c r="BQ378" i="2"/>
  <c r="BR378" i="2"/>
  <c r="BS378" i="2"/>
  <c r="BV378" i="2" s="1"/>
  <c r="BT378" i="2"/>
  <c r="BT371" i="2"/>
  <c r="BS371" i="2"/>
  <c r="BV371" i="2" s="1"/>
  <c r="BR371" i="2"/>
  <c r="BQ371" i="2"/>
  <c r="BO371" i="2"/>
  <c r="BN371" i="2"/>
  <c r="BP371" i="2" s="1"/>
  <c r="BT370" i="2"/>
  <c r="BR370" i="2"/>
  <c r="BQ370" i="2"/>
  <c r="BS370" i="2" s="1"/>
  <c r="BV370" i="2" s="1"/>
  <c r="BO370" i="2"/>
  <c r="BN370" i="2"/>
  <c r="BP370" i="2" s="1"/>
  <c r="BT369" i="2"/>
  <c r="BR369" i="2"/>
  <c r="BQ369" i="2"/>
  <c r="BS369" i="2" s="1"/>
  <c r="BV369" i="2" s="1"/>
  <c r="BO369" i="2"/>
  <c r="BP369" i="2" s="1"/>
  <c r="BN369" i="2"/>
  <c r="BN365" i="2"/>
  <c r="BO365" i="2"/>
  <c r="BP365" i="2" s="1"/>
  <c r="BQ365" i="2"/>
  <c r="BR365" i="2"/>
  <c r="BS365" i="2"/>
  <c r="BV365" i="2" s="1"/>
  <c r="BT365" i="2"/>
  <c r="BN366" i="2"/>
  <c r="BO366" i="2"/>
  <c r="BP366" i="2" s="1"/>
  <c r="BQ366" i="2"/>
  <c r="BS366" i="2" s="1"/>
  <c r="BV366" i="2" s="1"/>
  <c r="BR366" i="2"/>
  <c r="BT366" i="2"/>
  <c r="BT364" i="2"/>
  <c r="BS364" i="2"/>
  <c r="BV364" i="2" s="1"/>
  <c r="BR364" i="2"/>
  <c r="BQ364" i="2"/>
  <c r="BP364" i="2"/>
  <c r="BW364" i="2" s="1"/>
  <c r="BO364" i="2"/>
  <c r="BN364" i="2"/>
  <c r="BT363" i="2"/>
  <c r="BR363" i="2"/>
  <c r="BQ363" i="2"/>
  <c r="BS363" i="2" s="1"/>
  <c r="BV363" i="2" s="1"/>
  <c r="BO363" i="2"/>
  <c r="BN363" i="2"/>
  <c r="BP363" i="2" s="1"/>
  <c r="BT362" i="2"/>
  <c r="BR362" i="2"/>
  <c r="BQ362" i="2"/>
  <c r="BS362" i="2" s="1"/>
  <c r="BV362" i="2" s="1"/>
  <c r="BO362" i="2"/>
  <c r="BN362" i="2"/>
  <c r="BP362" i="2" s="1"/>
  <c r="BT361" i="2"/>
  <c r="BS361" i="2"/>
  <c r="BV361" i="2" s="1"/>
  <c r="BR361" i="2"/>
  <c r="BQ361" i="2"/>
  <c r="BP361" i="2"/>
  <c r="BW361" i="2" s="1"/>
  <c r="BO361" i="2"/>
  <c r="BN361" i="2"/>
  <c r="BT360" i="2"/>
  <c r="BR360" i="2"/>
  <c r="BQ360" i="2"/>
  <c r="BS360" i="2" s="1"/>
  <c r="BV360" i="2" s="1"/>
  <c r="BO360" i="2"/>
  <c r="BN360" i="2"/>
  <c r="BP360" i="2" s="1"/>
  <c r="BT359" i="2"/>
  <c r="BR359" i="2"/>
  <c r="BQ359" i="2"/>
  <c r="BS359" i="2" s="1"/>
  <c r="BV359" i="2" s="1"/>
  <c r="BO359" i="2"/>
  <c r="BN359" i="2"/>
  <c r="BP359" i="2" s="1"/>
  <c r="BT358" i="2"/>
  <c r="BS358" i="2"/>
  <c r="BV358" i="2" s="1"/>
  <c r="BR358" i="2"/>
  <c r="BQ358" i="2"/>
  <c r="BP358" i="2"/>
  <c r="BW358" i="2" s="1"/>
  <c r="BO358" i="2"/>
  <c r="BN358" i="2"/>
  <c r="BN351" i="2"/>
  <c r="BP351" i="2" s="1"/>
  <c r="BO351" i="2"/>
  <c r="BQ351" i="2"/>
  <c r="BS351" i="2" s="1"/>
  <c r="BV351" i="2" s="1"/>
  <c r="BR351" i="2"/>
  <c r="BT351" i="2"/>
  <c r="BN352" i="2"/>
  <c r="BP352" i="2" s="1"/>
  <c r="BO352" i="2"/>
  <c r="BQ352" i="2"/>
  <c r="BR352" i="2"/>
  <c r="BS352" i="2"/>
  <c r="BV352" i="2" s="1"/>
  <c r="BT352" i="2"/>
  <c r="BN353" i="2"/>
  <c r="BO353" i="2"/>
  <c r="BP353" i="2"/>
  <c r="BU353" i="2" s="1"/>
  <c r="BQ353" i="2"/>
  <c r="BS353" i="2" s="1"/>
  <c r="BV353" i="2" s="1"/>
  <c r="BR353" i="2"/>
  <c r="BT353" i="2"/>
  <c r="BN354" i="2"/>
  <c r="BP354" i="2" s="1"/>
  <c r="BO354" i="2"/>
  <c r="BQ354" i="2"/>
  <c r="BS354" i="2" s="1"/>
  <c r="BV354" i="2" s="1"/>
  <c r="BR354" i="2"/>
  <c r="BT354" i="2"/>
  <c r="BN355" i="2"/>
  <c r="BP355" i="2" s="1"/>
  <c r="BO355" i="2"/>
  <c r="BQ355" i="2"/>
  <c r="BR355" i="2"/>
  <c r="BS355" i="2"/>
  <c r="BV355" i="2" s="1"/>
  <c r="BT355" i="2"/>
  <c r="BN356" i="2"/>
  <c r="BO356" i="2"/>
  <c r="BP356" i="2"/>
  <c r="BU356" i="2" s="1"/>
  <c r="BQ356" i="2"/>
  <c r="BS356" i="2" s="1"/>
  <c r="BV356" i="2" s="1"/>
  <c r="BR356" i="2"/>
  <c r="BT356" i="2"/>
  <c r="BT350" i="2"/>
  <c r="BR350" i="2"/>
  <c r="BQ350" i="2"/>
  <c r="BS350" i="2" s="1"/>
  <c r="BV350" i="2" s="1"/>
  <c r="BO350" i="2"/>
  <c r="BN350" i="2"/>
  <c r="BP350" i="2" s="1"/>
  <c r="BT346" i="2"/>
  <c r="BR346" i="2"/>
  <c r="BS346" i="2" s="1"/>
  <c r="BV346" i="2" s="1"/>
  <c r="BQ346" i="2"/>
  <c r="BO346" i="2"/>
  <c r="BN346" i="2"/>
  <c r="BP346" i="2" s="1"/>
  <c r="BT345" i="2"/>
  <c r="BR345" i="2"/>
  <c r="BQ345" i="2"/>
  <c r="BS345" i="2" s="1"/>
  <c r="BV345" i="2" s="1"/>
  <c r="BO345" i="2"/>
  <c r="BN345" i="2"/>
  <c r="BP345" i="2" s="1"/>
  <c r="BT344" i="2"/>
  <c r="BR344" i="2"/>
  <c r="BQ344" i="2"/>
  <c r="BS344" i="2" s="1"/>
  <c r="BV344" i="2" s="1"/>
  <c r="BO344" i="2"/>
  <c r="BN344" i="2"/>
  <c r="BP344" i="2" s="1"/>
  <c r="BT342" i="2"/>
  <c r="BR342" i="2"/>
  <c r="BS342" i="2" s="1"/>
  <c r="BV342" i="2" s="1"/>
  <c r="BQ342" i="2"/>
  <c r="BO342" i="2"/>
  <c r="BN342" i="2"/>
  <c r="BP342" i="2" s="1"/>
  <c r="BT341" i="2"/>
  <c r="BR341" i="2"/>
  <c r="BQ341" i="2"/>
  <c r="BS341" i="2" s="1"/>
  <c r="BV341" i="2" s="1"/>
  <c r="BO341" i="2"/>
  <c r="BN341" i="2"/>
  <c r="BP341" i="2" s="1"/>
  <c r="BT339" i="2"/>
  <c r="BS339" i="2"/>
  <c r="BV339" i="2" s="1"/>
  <c r="BR339" i="2"/>
  <c r="BQ339" i="2"/>
  <c r="BO339" i="2"/>
  <c r="BN339" i="2"/>
  <c r="BP339" i="2" s="1"/>
  <c r="BT338" i="2"/>
  <c r="BS338" i="2"/>
  <c r="BV338" i="2" s="1"/>
  <c r="BR338" i="2"/>
  <c r="BQ338" i="2"/>
  <c r="BO338" i="2"/>
  <c r="BP338" i="2" s="1"/>
  <c r="BN338" i="2"/>
  <c r="BT337" i="2"/>
  <c r="BR337" i="2"/>
  <c r="BQ337" i="2"/>
  <c r="BS337" i="2" s="1"/>
  <c r="BV337" i="2" s="1"/>
  <c r="BO337" i="2"/>
  <c r="BN337" i="2"/>
  <c r="BP337" i="2" s="1"/>
  <c r="BT336" i="2"/>
  <c r="BS336" i="2"/>
  <c r="BV336" i="2" s="1"/>
  <c r="BR336" i="2"/>
  <c r="BQ336" i="2"/>
  <c r="BO336" i="2"/>
  <c r="BN336" i="2"/>
  <c r="BP336" i="2" s="1"/>
  <c r="BT335" i="2"/>
  <c r="BR335" i="2"/>
  <c r="BQ335" i="2"/>
  <c r="BS335" i="2" s="1"/>
  <c r="BV335" i="2" s="1"/>
  <c r="BO335" i="2"/>
  <c r="BN335" i="2"/>
  <c r="BP335" i="2" s="1"/>
  <c r="BT333" i="2"/>
  <c r="BR333" i="2"/>
  <c r="BS333" i="2" s="1"/>
  <c r="BV333" i="2" s="1"/>
  <c r="BQ333" i="2"/>
  <c r="BO333" i="2"/>
  <c r="BN333" i="2"/>
  <c r="BP333" i="2" s="1"/>
  <c r="BT332" i="2"/>
  <c r="BS332" i="2"/>
  <c r="BV332" i="2" s="1"/>
  <c r="BR332" i="2"/>
  <c r="BQ332" i="2"/>
  <c r="BO332" i="2"/>
  <c r="BN332" i="2"/>
  <c r="BP332" i="2" s="1"/>
  <c r="BT331" i="2"/>
  <c r="BR331" i="2"/>
  <c r="BS331" i="2" s="1"/>
  <c r="BV331" i="2" s="1"/>
  <c r="BQ331" i="2"/>
  <c r="BP331" i="2"/>
  <c r="BW331" i="2" s="1"/>
  <c r="BO331" i="2"/>
  <c r="BN331" i="2"/>
  <c r="BT330" i="2"/>
  <c r="BR330" i="2"/>
  <c r="BQ330" i="2"/>
  <c r="BS330" i="2" s="1"/>
  <c r="BV330" i="2" s="1"/>
  <c r="BO330" i="2"/>
  <c r="BN330" i="2"/>
  <c r="BP330" i="2" s="1"/>
  <c r="BT329" i="2"/>
  <c r="BR329" i="2"/>
  <c r="BQ329" i="2"/>
  <c r="BS329" i="2" s="1"/>
  <c r="BV329" i="2" s="1"/>
  <c r="BO329" i="2"/>
  <c r="BN329" i="2"/>
  <c r="BP329" i="2" s="1"/>
  <c r="BT327" i="2"/>
  <c r="BR327" i="2"/>
  <c r="BQ327" i="2"/>
  <c r="BS327" i="2" s="1"/>
  <c r="BV327" i="2" s="1"/>
  <c r="BO327" i="2"/>
  <c r="BN327" i="2"/>
  <c r="BP327" i="2" s="1"/>
  <c r="BT326" i="2"/>
  <c r="BS326" i="2"/>
  <c r="BV326" i="2" s="1"/>
  <c r="BR326" i="2"/>
  <c r="BQ326" i="2"/>
  <c r="BO326" i="2"/>
  <c r="BN326" i="2"/>
  <c r="BP326" i="2" s="1"/>
  <c r="BT325" i="2"/>
  <c r="BR325" i="2"/>
  <c r="BS325" i="2" s="1"/>
  <c r="BV325" i="2" s="1"/>
  <c r="BQ325" i="2"/>
  <c r="BP325" i="2"/>
  <c r="BW325" i="2" s="1"/>
  <c r="BO325" i="2"/>
  <c r="BN325" i="2"/>
  <c r="BT324" i="2"/>
  <c r="BR324" i="2"/>
  <c r="BQ324" i="2"/>
  <c r="BS324" i="2" s="1"/>
  <c r="BV324" i="2" s="1"/>
  <c r="BO324" i="2"/>
  <c r="BN324" i="2"/>
  <c r="BP324" i="2" s="1"/>
  <c r="BT323" i="2"/>
  <c r="BR323" i="2"/>
  <c r="BQ323" i="2"/>
  <c r="BS323" i="2" s="1"/>
  <c r="BV323" i="2" s="1"/>
  <c r="BO323" i="2"/>
  <c r="BN323" i="2"/>
  <c r="BP323" i="2" s="1"/>
  <c r="BN304" i="2"/>
  <c r="BO304" i="2"/>
  <c r="BP304" i="2" s="1"/>
  <c r="BQ304" i="2"/>
  <c r="BS304" i="2" s="1"/>
  <c r="BV304" i="2" s="1"/>
  <c r="BR304" i="2"/>
  <c r="BT304" i="2"/>
  <c r="BN305" i="2"/>
  <c r="BP305" i="2" s="1"/>
  <c r="BO305" i="2"/>
  <c r="BQ305" i="2"/>
  <c r="BR305" i="2"/>
  <c r="BS305" i="2"/>
  <c r="BV305" i="2" s="1"/>
  <c r="BT305" i="2"/>
  <c r="BN306" i="2"/>
  <c r="BO306" i="2"/>
  <c r="BP306" i="2"/>
  <c r="BU306" i="2" s="1"/>
  <c r="BQ306" i="2"/>
  <c r="BR306" i="2"/>
  <c r="BS306" i="2"/>
  <c r="BT306" i="2"/>
  <c r="BV306" i="2"/>
  <c r="BN307" i="2"/>
  <c r="BO307" i="2"/>
  <c r="BP307" i="2" s="1"/>
  <c r="BQ307" i="2"/>
  <c r="BS307" i="2" s="1"/>
  <c r="BV307" i="2" s="1"/>
  <c r="BR307" i="2"/>
  <c r="BT307" i="2"/>
  <c r="BN308" i="2"/>
  <c r="BP308" i="2" s="1"/>
  <c r="BO308" i="2"/>
  <c r="BQ308" i="2"/>
  <c r="BR308" i="2"/>
  <c r="BS308" i="2"/>
  <c r="BV308" i="2" s="1"/>
  <c r="BT308" i="2"/>
  <c r="BN309" i="2"/>
  <c r="BO309" i="2"/>
  <c r="BP309" i="2"/>
  <c r="BU309" i="2" s="1"/>
  <c r="BQ309" i="2"/>
  <c r="BR309" i="2"/>
  <c r="BS309" i="2"/>
  <c r="BT309" i="2"/>
  <c r="BV309" i="2"/>
  <c r="BN310" i="2"/>
  <c r="BO310" i="2"/>
  <c r="BP310" i="2" s="1"/>
  <c r="BQ310" i="2"/>
  <c r="BS310" i="2" s="1"/>
  <c r="BV310" i="2" s="1"/>
  <c r="BR310" i="2"/>
  <c r="BT310" i="2"/>
  <c r="BN311" i="2"/>
  <c r="BP311" i="2" s="1"/>
  <c r="BO311" i="2"/>
  <c r="BQ311" i="2"/>
  <c r="BR311" i="2"/>
  <c r="BS311" i="2"/>
  <c r="BV311" i="2" s="1"/>
  <c r="BT311" i="2"/>
  <c r="BN312" i="2"/>
  <c r="BO312" i="2"/>
  <c r="BP312" i="2"/>
  <c r="BU312" i="2" s="1"/>
  <c r="BQ312" i="2"/>
  <c r="BR312" i="2"/>
  <c r="BS312" i="2"/>
  <c r="BT312" i="2"/>
  <c r="BV312" i="2"/>
  <c r="BN313" i="2"/>
  <c r="BO313" i="2"/>
  <c r="BP313" i="2" s="1"/>
  <c r="BQ313" i="2"/>
  <c r="BS313" i="2" s="1"/>
  <c r="BV313" i="2" s="1"/>
  <c r="BR313" i="2"/>
  <c r="BT313" i="2"/>
  <c r="BN314" i="2"/>
  <c r="BP314" i="2" s="1"/>
  <c r="BO314" i="2"/>
  <c r="BQ314" i="2"/>
  <c r="BR314" i="2"/>
  <c r="BS314" i="2"/>
  <c r="BV314" i="2" s="1"/>
  <c r="BT314" i="2"/>
  <c r="BN315" i="2"/>
  <c r="BO315" i="2"/>
  <c r="BP315" i="2"/>
  <c r="BU315" i="2" s="1"/>
  <c r="BQ315" i="2"/>
  <c r="BR315" i="2"/>
  <c r="BS315" i="2"/>
  <c r="BT315" i="2"/>
  <c r="BV315" i="2"/>
  <c r="BN316" i="2"/>
  <c r="BO316" i="2"/>
  <c r="BP316" i="2" s="1"/>
  <c r="BQ316" i="2"/>
  <c r="BS316" i="2" s="1"/>
  <c r="BV316" i="2" s="1"/>
  <c r="BR316" i="2"/>
  <c r="BT316" i="2"/>
  <c r="BN317" i="2"/>
  <c r="BP317" i="2" s="1"/>
  <c r="BO317" i="2"/>
  <c r="BQ317" i="2"/>
  <c r="BS317" i="2" s="1"/>
  <c r="BV317" i="2" s="1"/>
  <c r="BR317" i="2"/>
  <c r="BT317" i="2"/>
  <c r="BN318" i="2"/>
  <c r="BO318" i="2"/>
  <c r="BP318" i="2"/>
  <c r="BU318" i="2" s="1"/>
  <c r="BQ318" i="2"/>
  <c r="BR318" i="2"/>
  <c r="BS318" i="2"/>
  <c r="BT318" i="2"/>
  <c r="BV318" i="2"/>
  <c r="BN319" i="2"/>
  <c r="BO319" i="2"/>
  <c r="BP319" i="2" s="1"/>
  <c r="BQ319" i="2"/>
  <c r="BS319" i="2" s="1"/>
  <c r="BV319" i="2" s="1"/>
  <c r="BR319" i="2"/>
  <c r="BT319" i="2"/>
  <c r="BN320" i="2"/>
  <c r="BP320" i="2" s="1"/>
  <c r="BO320" i="2"/>
  <c r="BQ320" i="2"/>
  <c r="BS320" i="2" s="1"/>
  <c r="BV320" i="2" s="1"/>
  <c r="BR320" i="2"/>
  <c r="BT320" i="2"/>
  <c r="BT303" i="2"/>
  <c r="BR303" i="2"/>
  <c r="BQ303" i="2"/>
  <c r="BS303" i="2" s="1"/>
  <c r="BV303" i="2" s="1"/>
  <c r="BO303" i="2"/>
  <c r="BN303" i="2"/>
  <c r="BP303" i="2" s="1"/>
  <c r="BN265" i="2"/>
  <c r="BO265" i="2"/>
  <c r="BP265" i="2"/>
  <c r="BU265" i="2" s="1"/>
  <c r="BQ265" i="2"/>
  <c r="BS265" i="2" s="1"/>
  <c r="BV265" i="2" s="1"/>
  <c r="BR265" i="2"/>
  <c r="BT265" i="2"/>
  <c r="BW265" i="2"/>
  <c r="BN266" i="2"/>
  <c r="BP266" i="2" s="1"/>
  <c r="BO266" i="2"/>
  <c r="BQ266" i="2"/>
  <c r="BR266" i="2"/>
  <c r="BS266" i="2"/>
  <c r="BV266" i="2" s="1"/>
  <c r="BT266" i="2"/>
  <c r="BN267" i="2"/>
  <c r="BO267" i="2"/>
  <c r="BP267" i="2"/>
  <c r="BU267" i="2" s="1"/>
  <c r="BQ267" i="2"/>
  <c r="BR267" i="2"/>
  <c r="BS267" i="2"/>
  <c r="BT267" i="2"/>
  <c r="BV267" i="2"/>
  <c r="BN268" i="2"/>
  <c r="BO268" i="2"/>
  <c r="BP268" i="2"/>
  <c r="BU268" i="2" s="1"/>
  <c r="BQ268" i="2"/>
  <c r="BS268" i="2" s="1"/>
  <c r="BV268" i="2" s="1"/>
  <c r="BR268" i="2"/>
  <c r="BT268" i="2"/>
  <c r="BW268" i="2"/>
  <c r="BN269" i="2"/>
  <c r="BP269" i="2" s="1"/>
  <c r="BO269" i="2"/>
  <c r="BQ269" i="2"/>
  <c r="BR269" i="2"/>
  <c r="BS269" i="2"/>
  <c r="BV269" i="2" s="1"/>
  <c r="BT269" i="2"/>
  <c r="BN270" i="2"/>
  <c r="BO270" i="2"/>
  <c r="BP270" i="2"/>
  <c r="BU270" i="2" s="1"/>
  <c r="BQ270" i="2"/>
  <c r="BR270" i="2"/>
  <c r="BS270" i="2"/>
  <c r="BT270" i="2"/>
  <c r="BV270" i="2"/>
  <c r="BN271" i="2"/>
  <c r="BO271" i="2"/>
  <c r="BP271" i="2"/>
  <c r="BU271" i="2" s="1"/>
  <c r="BQ271" i="2"/>
  <c r="BS271" i="2" s="1"/>
  <c r="BV271" i="2" s="1"/>
  <c r="BR271" i="2"/>
  <c r="BT271" i="2"/>
  <c r="BW271" i="2"/>
  <c r="BN272" i="2"/>
  <c r="BP272" i="2" s="1"/>
  <c r="BO272" i="2"/>
  <c r="BQ272" i="2"/>
  <c r="BR272" i="2"/>
  <c r="BS272" i="2"/>
  <c r="BV272" i="2" s="1"/>
  <c r="BT272" i="2"/>
  <c r="BN273" i="2"/>
  <c r="BO273" i="2"/>
  <c r="BP273" i="2"/>
  <c r="BU273" i="2" s="1"/>
  <c r="BQ273" i="2"/>
  <c r="BR273" i="2"/>
  <c r="BS273" i="2"/>
  <c r="BT273" i="2"/>
  <c r="BV273" i="2"/>
  <c r="BN274" i="2"/>
  <c r="BO274" i="2"/>
  <c r="BP274" i="2"/>
  <c r="BU274" i="2" s="1"/>
  <c r="BQ274" i="2"/>
  <c r="BS274" i="2" s="1"/>
  <c r="BV274" i="2" s="1"/>
  <c r="BR274" i="2"/>
  <c r="BT274" i="2"/>
  <c r="BW274" i="2"/>
  <c r="BN275" i="2"/>
  <c r="BP275" i="2" s="1"/>
  <c r="BO275" i="2"/>
  <c r="BQ275" i="2"/>
  <c r="BR275" i="2"/>
  <c r="BS275" i="2"/>
  <c r="BV275" i="2" s="1"/>
  <c r="BT275" i="2"/>
  <c r="BN276" i="2"/>
  <c r="BO276" i="2"/>
  <c r="BP276" i="2"/>
  <c r="BU276" i="2" s="1"/>
  <c r="BQ276" i="2"/>
  <c r="BR276" i="2"/>
  <c r="BS276" i="2"/>
  <c r="BT276" i="2"/>
  <c r="BV276" i="2"/>
  <c r="BN277" i="2"/>
  <c r="BO277" i="2"/>
  <c r="BP277" i="2"/>
  <c r="BU277" i="2" s="1"/>
  <c r="BQ277" i="2"/>
  <c r="BS277" i="2" s="1"/>
  <c r="BV277" i="2" s="1"/>
  <c r="BR277" i="2"/>
  <c r="BT277" i="2"/>
  <c r="BW277" i="2"/>
  <c r="BN278" i="2"/>
  <c r="BP278" i="2" s="1"/>
  <c r="BO278" i="2"/>
  <c r="BQ278" i="2"/>
  <c r="BR278" i="2"/>
  <c r="BS278" i="2"/>
  <c r="BV278" i="2" s="1"/>
  <c r="BT278" i="2"/>
  <c r="BN279" i="2"/>
  <c r="BO279" i="2"/>
  <c r="BP279" i="2"/>
  <c r="BU279" i="2" s="1"/>
  <c r="BQ279" i="2"/>
  <c r="BR279" i="2"/>
  <c r="BS279" i="2"/>
  <c r="BT279" i="2"/>
  <c r="BV279" i="2"/>
  <c r="BN280" i="2"/>
  <c r="BO280" i="2"/>
  <c r="BP280" i="2"/>
  <c r="BU280" i="2" s="1"/>
  <c r="BQ280" i="2"/>
  <c r="BS280" i="2" s="1"/>
  <c r="BV280" i="2" s="1"/>
  <c r="BR280" i="2"/>
  <c r="BT280" i="2"/>
  <c r="BW280" i="2"/>
  <c r="BN281" i="2"/>
  <c r="BP281" i="2" s="1"/>
  <c r="BO281" i="2"/>
  <c r="BQ281" i="2"/>
  <c r="BR281" i="2"/>
  <c r="BS281" i="2"/>
  <c r="BV281" i="2" s="1"/>
  <c r="BT281" i="2"/>
  <c r="BN282" i="2"/>
  <c r="BO282" i="2"/>
  <c r="BP282" i="2"/>
  <c r="BU282" i="2" s="1"/>
  <c r="BQ282" i="2"/>
  <c r="BR282" i="2"/>
  <c r="BS282" i="2"/>
  <c r="BT282" i="2"/>
  <c r="BV282" i="2"/>
  <c r="BN283" i="2"/>
  <c r="BO283" i="2"/>
  <c r="BP283" i="2"/>
  <c r="BU283" i="2" s="1"/>
  <c r="BQ283" i="2"/>
  <c r="BS283" i="2" s="1"/>
  <c r="BV283" i="2" s="1"/>
  <c r="BR283" i="2"/>
  <c r="BT283" i="2"/>
  <c r="BW283" i="2"/>
  <c r="BN284" i="2"/>
  <c r="BP284" i="2" s="1"/>
  <c r="BO284" i="2"/>
  <c r="BQ284" i="2"/>
  <c r="BR284" i="2"/>
  <c r="BS284" i="2"/>
  <c r="BV284" i="2" s="1"/>
  <c r="BT284" i="2"/>
  <c r="BN285" i="2"/>
  <c r="BO285" i="2"/>
  <c r="BP285" i="2"/>
  <c r="BW285" i="2" s="1"/>
  <c r="BQ285" i="2"/>
  <c r="BR285" i="2"/>
  <c r="BS285" i="2"/>
  <c r="BT285" i="2"/>
  <c r="BV285" i="2"/>
  <c r="BN286" i="2"/>
  <c r="BO286" i="2"/>
  <c r="BP286" i="2"/>
  <c r="BU286" i="2" s="1"/>
  <c r="BQ286" i="2"/>
  <c r="BS286" i="2" s="1"/>
  <c r="BV286" i="2" s="1"/>
  <c r="BR286" i="2"/>
  <c r="BT286" i="2"/>
  <c r="BW286" i="2"/>
  <c r="BN287" i="2"/>
  <c r="BP287" i="2" s="1"/>
  <c r="BO287" i="2"/>
  <c r="BQ287" i="2"/>
  <c r="BR287" i="2"/>
  <c r="BS287" i="2"/>
  <c r="BV287" i="2" s="1"/>
  <c r="BT287" i="2"/>
  <c r="BN288" i="2"/>
  <c r="BO288" i="2"/>
  <c r="BP288" i="2"/>
  <c r="BU288" i="2" s="1"/>
  <c r="BQ288" i="2"/>
  <c r="BR288" i="2"/>
  <c r="BS288" i="2"/>
  <c r="BT288" i="2"/>
  <c r="BV288" i="2"/>
  <c r="BN289" i="2"/>
  <c r="BO289" i="2"/>
  <c r="BP289" i="2"/>
  <c r="BU289" i="2" s="1"/>
  <c r="BQ289" i="2"/>
  <c r="BS289" i="2" s="1"/>
  <c r="BV289" i="2" s="1"/>
  <c r="BR289" i="2"/>
  <c r="BT289" i="2"/>
  <c r="BW289" i="2"/>
  <c r="BN290" i="2"/>
  <c r="BP290" i="2" s="1"/>
  <c r="BO290" i="2"/>
  <c r="BQ290" i="2"/>
  <c r="BR290" i="2"/>
  <c r="BS290" i="2"/>
  <c r="BV290" i="2" s="1"/>
  <c r="BT290" i="2"/>
  <c r="BN291" i="2"/>
  <c r="BO291" i="2"/>
  <c r="BP291" i="2"/>
  <c r="BU291" i="2" s="1"/>
  <c r="BQ291" i="2"/>
  <c r="BR291" i="2"/>
  <c r="BS291" i="2"/>
  <c r="BT291" i="2"/>
  <c r="BV291" i="2"/>
  <c r="BN292" i="2"/>
  <c r="BO292" i="2"/>
  <c r="BP292" i="2"/>
  <c r="BU292" i="2" s="1"/>
  <c r="BQ292" i="2"/>
  <c r="BS292" i="2" s="1"/>
  <c r="BV292" i="2" s="1"/>
  <c r="BR292" i="2"/>
  <c r="BT292" i="2"/>
  <c r="BW292" i="2"/>
  <c r="BN293" i="2"/>
  <c r="BP293" i="2" s="1"/>
  <c r="BO293" i="2"/>
  <c r="BQ293" i="2"/>
  <c r="BR293" i="2"/>
  <c r="BS293" i="2"/>
  <c r="BV293" i="2" s="1"/>
  <c r="BT293" i="2"/>
  <c r="BN294" i="2"/>
  <c r="BO294" i="2"/>
  <c r="BP294" i="2"/>
  <c r="BW294" i="2" s="1"/>
  <c r="BQ294" i="2"/>
  <c r="BR294" i="2"/>
  <c r="BS294" i="2"/>
  <c r="BT294" i="2"/>
  <c r="BV294" i="2"/>
  <c r="BN295" i="2"/>
  <c r="BO295" i="2"/>
  <c r="BP295" i="2"/>
  <c r="BU295" i="2" s="1"/>
  <c r="BQ295" i="2"/>
  <c r="BS295" i="2" s="1"/>
  <c r="BV295" i="2" s="1"/>
  <c r="BR295" i="2"/>
  <c r="BT295" i="2"/>
  <c r="BW295" i="2"/>
  <c r="BN296" i="2"/>
  <c r="BP296" i="2" s="1"/>
  <c r="BO296" i="2"/>
  <c r="BQ296" i="2"/>
  <c r="BR296" i="2"/>
  <c r="BS296" i="2"/>
  <c r="BV296" i="2" s="1"/>
  <c r="BT296" i="2"/>
  <c r="BN297" i="2"/>
  <c r="BO297" i="2"/>
  <c r="BP297" i="2"/>
  <c r="BU297" i="2" s="1"/>
  <c r="BQ297" i="2"/>
  <c r="BR297" i="2"/>
  <c r="BS297" i="2"/>
  <c r="BT297" i="2"/>
  <c r="BV297" i="2"/>
  <c r="BN298" i="2"/>
  <c r="BO298" i="2"/>
  <c r="BP298" i="2"/>
  <c r="BU298" i="2" s="1"/>
  <c r="BQ298" i="2"/>
  <c r="BS298" i="2" s="1"/>
  <c r="BV298" i="2" s="1"/>
  <c r="BR298" i="2"/>
  <c r="BT298" i="2"/>
  <c r="BW298" i="2"/>
  <c r="BN299" i="2"/>
  <c r="BP299" i="2" s="1"/>
  <c r="BO299" i="2"/>
  <c r="BQ299" i="2"/>
  <c r="BR299" i="2"/>
  <c r="BS299" i="2"/>
  <c r="BV299" i="2" s="1"/>
  <c r="BT299" i="2"/>
  <c r="BN300" i="2"/>
  <c r="BO300" i="2"/>
  <c r="BP300" i="2"/>
  <c r="BU300" i="2" s="1"/>
  <c r="BQ300" i="2"/>
  <c r="BR300" i="2"/>
  <c r="BS300" i="2"/>
  <c r="BT300" i="2"/>
  <c r="BV300" i="2"/>
  <c r="BN301" i="2"/>
  <c r="BO301" i="2"/>
  <c r="BP301" i="2"/>
  <c r="BU301" i="2" s="1"/>
  <c r="BQ301" i="2"/>
  <c r="BS301" i="2" s="1"/>
  <c r="BV301" i="2" s="1"/>
  <c r="BR301" i="2"/>
  <c r="BT301" i="2"/>
  <c r="BW301" i="2"/>
  <c r="BT264" i="2"/>
  <c r="BS264" i="2"/>
  <c r="BV264" i="2" s="1"/>
  <c r="BR264" i="2"/>
  <c r="BQ264" i="2"/>
  <c r="BP264" i="2"/>
  <c r="BW264" i="2" s="1"/>
  <c r="BO264" i="2"/>
  <c r="BN264" i="2"/>
  <c r="BN255" i="2"/>
  <c r="BP255" i="2" s="1"/>
  <c r="BO255" i="2"/>
  <c r="BQ255" i="2"/>
  <c r="BR255" i="2"/>
  <c r="BS255" i="2" s="1"/>
  <c r="BV255" i="2" s="1"/>
  <c r="BT255" i="2"/>
  <c r="BN256" i="2"/>
  <c r="BP256" i="2" s="1"/>
  <c r="BO256" i="2"/>
  <c r="BQ256" i="2"/>
  <c r="BS256" i="2" s="1"/>
  <c r="BV256" i="2" s="1"/>
  <c r="BR256" i="2"/>
  <c r="BT256" i="2"/>
  <c r="BN257" i="2"/>
  <c r="BO257" i="2"/>
  <c r="BP257" i="2"/>
  <c r="BU257" i="2" s="1"/>
  <c r="BQ257" i="2"/>
  <c r="BS257" i="2" s="1"/>
  <c r="BV257" i="2" s="1"/>
  <c r="BR257" i="2"/>
  <c r="BT257" i="2"/>
  <c r="BN258" i="2"/>
  <c r="BP258" i="2" s="1"/>
  <c r="BO258" i="2"/>
  <c r="BQ258" i="2"/>
  <c r="BR258" i="2"/>
  <c r="BS258" i="2" s="1"/>
  <c r="BV258" i="2" s="1"/>
  <c r="BT258" i="2"/>
  <c r="BN259" i="2"/>
  <c r="BP259" i="2" s="1"/>
  <c r="BO259" i="2"/>
  <c r="BQ259" i="2"/>
  <c r="BS259" i="2" s="1"/>
  <c r="BV259" i="2" s="1"/>
  <c r="BR259" i="2"/>
  <c r="BT259" i="2"/>
  <c r="BN260" i="2"/>
  <c r="BO260" i="2"/>
  <c r="BP260" i="2"/>
  <c r="BU260" i="2" s="1"/>
  <c r="BQ260" i="2"/>
  <c r="BS260" i="2" s="1"/>
  <c r="BV260" i="2" s="1"/>
  <c r="BR260" i="2"/>
  <c r="BT260" i="2"/>
  <c r="BN261" i="2"/>
  <c r="BP261" i="2" s="1"/>
  <c r="BO261" i="2"/>
  <c r="BQ261" i="2"/>
  <c r="BR261" i="2"/>
  <c r="BS261" i="2" s="1"/>
  <c r="BV261" i="2" s="1"/>
  <c r="BT261" i="2"/>
  <c r="BN262" i="2"/>
  <c r="BP262" i="2" s="1"/>
  <c r="BO262" i="2"/>
  <c r="BQ262" i="2"/>
  <c r="BR262" i="2"/>
  <c r="BS262" i="2"/>
  <c r="BT262" i="2"/>
  <c r="BV262" i="2"/>
  <c r="BT254" i="2"/>
  <c r="BR254" i="2"/>
  <c r="BS254" i="2" s="1"/>
  <c r="BV254" i="2" s="1"/>
  <c r="BQ254" i="2"/>
  <c r="BO254" i="2"/>
  <c r="BN254" i="2"/>
  <c r="BN244" i="2"/>
  <c r="BO244" i="2"/>
  <c r="BP244" i="2" s="1"/>
  <c r="BQ244" i="2"/>
  <c r="BR244" i="2"/>
  <c r="BS244" i="2"/>
  <c r="BV244" i="2" s="1"/>
  <c r="BT244" i="2"/>
  <c r="BN245" i="2"/>
  <c r="BP245" i="2" s="1"/>
  <c r="BO245" i="2"/>
  <c r="BQ245" i="2"/>
  <c r="BS245" i="2" s="1"/>
  <c r="BV245" i="2" s="1"/>
  <c r="BR245" i="2"/>
  <c r="BT245" i="2"/>
  <c r="BN246" i="2"/>
  <c r="BO246" i="2"/>
  <c r="BP246" i="2"/>
  <c r="BU246" i="2" s="1"/>
  <c r="BQ246" i="2"/>
  <c r="BS246" i="2" s="1"/>
  <c r="BV246" i="2" s="1"/>
  <c r="BR246" i="2"/>
  <c r="BT246" i="2"/>
  <c r="BW246" i="2"/>
  <c r="BN247" i="2"/>
  <c r="BO247" i="2"/>
  <c r="BP247" i="2" s="1"/>
  <c r="BQ247" i="2"/>
  <c r="BR247" i="2"/>
  <c r="BS247" i="2"/>
  <c r="BV247" i="2" s="1"/>
  <c r="BT247" i="2"/>
  <c r="BN248" i="2"/>
  <c r="BP248" i="2" s="1"/>
  <c r="BO248" i="2"/>
  <c r="BQ248" i="2"/>
  <c r="BS248" i="2" s="1"/>
  <c r="BV248" i="2" s="1"/>
  <c r="BR248" i="2"/>
  <c r="BT248" i="2"/>
  <c r="BN249" i="2"/>
  <c r="BO249" i="2"/>
  <c r="BP249" i="2"/>
  <c r="BU249" i="2" s="1"/>
  <c r="BQ249" i="2"/>
  <c r="BS249" i="2" s="1"/>
  <c r="BV249" i="2" s="1"/>
  <c r="BR249" i="2"/>
  <c r="BT249" i="2"/>
  <c r="BW249" i="2"/>
  <c r="BN250" i="2"/>
  <c r="BO250" i="2"/>
  <c r="BP250" i="2" s="1"/>
  <c r="BQ250" i="2"/>
  <c r="BR250" i="2"/>
  <c r="BS250" i="2"/>
  <c r="BV250" i="2" s="1"/>
  <c r="BT250" i="2"/>
  <c r="BN251" i="2"/>
  <c r="BP251" i="2" s="1"/>
  <c r="BO251" i="2"/>
  <c r="BQ251" i="2"/>
  <c r="BS251" i="2" s="1"/>
  <c r="BV251" i="2" s="1"/>
  <c r="BR251" i="2"/>
  <c r="BT251" i="2"/>
  <c r="BN252" i="2"/>
  <c r="BO252" i="2"/>
  <c r="BP252" i="2"/>
  <c r="BU252" i="2" s="1"/>
  <c r="BQ252" i="2"/>
  <c r="BS252" i="2" s="1"/>
  <c r="BV252" i="2" s="1"/>
  <c r="BR252" i="2"/>
  <c r="BT252" i="2"/>
  <c r="BW252" i="2"/>
  <c r="BT243" i="2"/>
  <c r="BR243" i="2"/>
  <c r="BQ243" i="2"/>
  <c r="BS243" i="2" s="1"/>
  <c r="BV243" i="2" s="1"/>
  <c r="BO243" i="2"/>
  <c r="BN243" i="2"/>
  <c r="BP243" i="2" s="1"/>
  <c r="BT240" i="2"/>
  <c r="BR240" i="2"/>
  <c r="BQ240" i="2"/>
  <c r="BS240" i="2" s="1"/>
  <c r="BV240" i="2" s="1"/>
  <c r="BO240" i="2"/>
  <c r="BN240" i="2"/>
  <c r="BP240" i="2" s="1"/>
  <c r="BT239" i="2"/>
  <c r="BR239" i="2"/>
  <c r="BS239" i="2" s="1"/>
  <c r="BV239" i="2" s="1"/>
  <c r="BQ239" i="2"/>
  <c r="BO239" i="2"/>
  <c r="BN239" i="2"/>
  <c r="BP239" i="2" s="1"/>
  <c r="BT238" i="2"/>
  <c r="BR238" i="2"/>
  <c r="BQ238" i="2"/>
  <c r="BS238" i="2" s="1"/>
  <c r="BV238" i="2" s="1"/>
  <c r="BO238" i="2"/>
  <c r="BN238" i="2"/>
  <c r="BP238" i="2" s="1"/>
  <c r="BT237" i="2"/>
  <c r="BS237" i="2"/>
  <c r="BV237" i="2" s="1"/>
  <c r="BR237" i="2"/>
  <c r="BQ237" i="2"/>
  <c r="BO237" i="2"/>
  <c r="BN237" i="2"/>
  <c r="BP237" i="2" s="1"/>
  <c r="BN199" i="2"/>
  <c r="BO199" i="2"/>
  <c r="BP199" i="2"/>
  <c r="BU199" i="2" s="1"/>
  <c r="BQ199" i="2"/>
  <c r="BR199" i="2"/>
  <c r="BS199" i="2"/>
  <c r="BV199" i="2" s="1"/>
  <c r="BT199" i="2"/>
  <c r="BN200" i="2"/>
  <c r="BP200" i="2" s="1"/>
  <c r="BO200" i="2"/>
  <c r="BQ200" i="2"/>
  <c r="BS200" i="2" s="1"/>
  <c r="BV200" i="2" s="1"/>
  <c r="BR200" i="2"/>
  <c r="BT200" i="2"/>
  <c r="BN201" i="2"/>
  <c r="BO201" i="2"/>
  <c r="BP201" i="2"/>
  <c r="BU201" i="2" s="1"/>
  <c r="BQ201" i="2"/>
  <c r="BS201" i="2" s="1"/>
  <c r="BV201" i="2" s="1"/>
  <c r="BR201" i="2"/>
  <c r="BT201" i="2"/>
  <c r="BW201" i="2"/>
  <c r="BN202" i="2"/>
  <c r="BO202" i="2"/>
  <c r="BP202" i="2"/>
  <c r="BU202" i="2" s="1"/>
  <c r="BQ202" i="2"/>
  <c r="BR202" i="2"/>
  <c r="BS202" i="2"/>
  <c r="BV202" i="2" s="1"/>
  <c r="BT202" i="2"/>
  <c r="BN203" i="2"/>
  <c r="BP203" i="2" s="1"/>
  <c r="BO203" i="2"/>
  <c r="BQ203" i="2"/>
  <c r="BS203" i="2" s="1"/>
  <c r="BV203" i="2" s="1"/>
  <c r="BR203" i="2"/>
  <c r="BT203" i="2"/>
  <c r="BN204" i="2"/>
  <c r="BO204" i="2"/>
  <c r="BP204" i="2"/>
  <c r="BU204" i="2" s="1"/>
  <c r="BQ204" i="2"/>
  <c r="BS204" i="2" s="1"/>
  <c r="BV204" i="2" s="1"/>
  <c r="BR204" i="2"/>
  <c r="BT204" i="2"/>
  <c r="BW204" i="2"/>
  <c r="BN205" i="2"/>
  <c r="BO205" i="2"/>
  <c r="BP205" i="2"/>
  <c r="BU205" i="2" s="1"/>
  <c r="BQ205" i="2"/>
  <c r="BR205" i="2"/>
  <c r="BS205" i="2"/>
  <c r="BV205" i="2" s="1"/>
  <c r="BT205" i="2"/>
  <c r="BN206" i="2"/>
  <c r="BP206" i="2" s="1"/>
  <c r="BO206" i="2"/>
  <c r="BQ206" i="2"/>
  <c r="BS206" i="2" s="1"/>
  <c r="BV206" i="2" s="1"/>
  <c r="BR206" i="2"/>
  <c r="BT206" i="2"/>
  <c r="BN207" i="2"/>
  <c r="BO207" i="2"/>
  <c r="BP207" i="2"/>
  <c r="BU207" i="2" s="1"/>
  <c r="BQ207" i="2"/>
  <c r="BS207" i="2" s="1"/>
  <c r="BV207" i="2" s="1"/>
  <c r="BR207" i="2"/>
  <c r="BT207" i="2"/>
  <c r="BW207" i="2"/>
  <c r="BN208" i="2"/>
  <c r="BO208" i="2"/>
  <c r="BP208" i="2"/>
  <c r="BU208" i="2" s="1"/>
  <c r="BQ208" i="2"/>
  <c r="BR208" i="2"/>
  <c r="BS208" i="2"/>
  <c r="BV208" i="2" s="1"/>
  <c r="BT208" i="2"/>
  <c r="BN209" i="2"/>
  <c r="BP209" i="2" s="1"/>
  <c r="BO209" i="2"/>
  <c r="BQ209" i="2"/>
  <c r="BS209" i="2" s="1"/>
  <c r="BV209" i="2" s="1"/>
  <c r="BR209" i="2"/>
  <c r="BT209" i="2"/>
  <c r="BN210" i="2"/>
  <c r="BO210" i="2"/>
  <c r="BP210" i="2"/>
  <c r="BU210" i="2" s="1"/>
  <c r="BQ210" i="2"/>
  <c r="BS210" i="2" s="1"/>
  <c r="BV210" i="2" s="1"/>
  <c r="BR210" i="2"/>
  <c r="BT210" i="2"/>
  <c r="BW210" i="2"/>
  <c r="BN211" i="2"/>
  <c r="BO211" i="2"/>
  <c r="BP211" i="2"/>
  <c r="BU211" i="2" s="1"/>
  <c r="BQ211" i="2"/>
  <c r="BR211" i="2"/>
  <c r="BS211" i="2"/>
  <c r="BV211" i="2" s="1"/>
  <c r="BT211" i="2"/>
  <c r="BN212" i="2"/>
  <c r="BP212" i="2" s="1"/>
  <c r="BO212" i="2"/>
  <c r="BQ212" i="2"/>
  <c r="BS212" i="2" s="1"/>
  <c r="BV212" i="2" s="1"/>
  <c r="BR212" i="2"/>
  <c r="BT212" i="2"/>
  <c r="BN213" i="2"/>
  <c r="BO213" i="2"/>
  <c r="BP213" i="2"/>
  <c r="BU213" i="2" s="1"/>
  <c r="BQ213" i="2"/>
  <c r="BS213" i="2" s="1"/>
  <c r="BV213" i="2" s="1"/>
  <c r="BR213" i="2"/>
  <c r="BT213" i="2"/>
  <c r="BW213" i="2"/>
  <c r="BN214" i="2"/>
  <c r="BO214" i="2"/>
  <c r="BP214" i="2"/>
  <c r="BU214" i="2" s="1"/>
  <c r="BQ214" i="2"/>
  <c r="BR214" i="2"/>
  <c r="BS214" i="2"/>
  <c r="BV214" i="2" s="1"/>
  <c r="BT214" i="2"/>
  <c r="BN215" i="2"/>
  <c r="BP215" i="2" s="1"/>
  <c r="BO215" i="2"/>
  <c r="BQ215" i="2"/>
  <c r="BS215" i="2" s="1"/>
  <c r="BV215" i="2" s="1"/>
  <c r="BR215" i="2"/>
  <c r="BT215" i="2"/>
  <c r="BN216" i="2"/>
  <c r="BO216" i="2"/>
  <c r="BP216" i="2"/>
  <c r="BU216" i="2" s="1"/>
  <c r="BQ216" i="2"/>
  <c r="BS216" i="2" s="1"/>
  <c r="BV216" i="2" s="1"/>
  <c r="BR216" i="2"/>
  <c r="BT216" i="2"/>
  <c r="BW216" i="2"/>
  <c r="BN217" i="2"/>
  <c r="BO217" i="2"/>
  <c r="BP217" i="2"/>
  <c r="BU217" i="2" s="1"/>
  <c r="BQ217" i="2"/>
  <c r="BR217" i="2"/>
  <c r="BS217" i="2"/>
  <c r="BV217" i="2" s="1"/>
  <c r="BT217" i="2"/>
  <c r="BN218" i="2"/>
  <c r="BP218" i="2" s="1"/>
  <c r="BO218" i="2"/>
  <c r="BQ218" i="2"/>
  <c r="BS218" i="2" s="1"/>
  <c r="BV218" i="2" s="1"/>
  <c r="BR218" i="2"/>
  <c r="BT218" i="2"/>
  <c r="BN219" i="2"/>
  <c r="BO219" i="2"/>
  <c r="BP219" i="2"/>
  <c r="BU219" i="2" s="1"/>
  <c r="BQ219" i="2"/>
  <c r="BS219" i="2" s="1"/>
  <c r="BV219" i="2" s="1"/>
  <c r="BR219" i="2"/>
  <c r="BT219" i="2"/>
  <c r="BW219" i="2"/>
  <c r="BN220" i="2"/>
  <c r="BO220" i="2"/>
  <c r="BP220" i="2"/>
  <c r="BU220" i="2" s="1"/>
  <c r="BQ220" i="2"/>
  <c r="BR220" i="2"/>
  <c r="BS220" i="2"/>
  <c r="BV220" i="2" s="1"/>
  <c r="BT220" i="2"/>
  <c r="BN221" i="2"/>
  <c r="BP221" i="2" s="1"/>
  <c r="BO221" i="2"/>
  <c r="BQ221" i="2"/>
  <c r="BS221" i="2" s="1"/>
  <c r="BV221" i="2" s="1"/>
  <c r="BR221" i="2"/>
  <c r="BT221" i="2"/>
  <c r="BN222" i="2"/>
  <c r="BO222" i="2"/>
  <c r="BP222" i="2"/>
  <c r="BU222" i="2" s="1"/>
  <c r="BQ222" i="2"/>
  <c r="BS222" i="2" s="1"/>
  <c r="BV222" i="2" s="1"/>
  <c r="BR222" i="2"/>
  <c r="BT222" i="2"/>
  <c r="BW222" i="2"/>
  <c r="BN223" i="2"/>
  <c r="BO223" i="2"/>
  <c r="BP223" i="2" s="1"/>
  <c r="BQ223" i="2"/>
  <c r="BR223" i="2"/>
  <c r="BS223" i="2"/>
  <c r="BV223" i="2" s="1"/>
  <c r="BT223" i="2"/>
  <c r="BN224" i="2"/>
  <c r="BP224" i="2" s="1"/>
  <c r="BO224" i="2"/>
  <c r="BQ224" i="2"/>
  <c r="BS224" i="2" s="1"/>
  <c r="BV224" i="2" s="1"/>
  <c r="BR224" i="2"/>
  <c r="BT224" i="2"/>
  <c r="BN225" i="2"/>
  <c r="BO225" i="2"/>
  <c r="BP225" i="2"/>
  <c r="BU225" i="2" s="1"/>
  <c r="BQ225" i="2"/>
  <c r="BS225" i="2" s="1"/>
  <c r="BV225" i="2" s="1"/>
  <c r="BR225" i="2"/>
  <c r="BT225" i="2"/>
  <c r="BW225" i="2"/>
  <c r="BN226" i="2"/>
  <c r="BO226" i="2"/>
  <c r="BP226" i="2"/>
  <c r="BU226" i="2" s="1"/>
  <c r="BQ226" i="2"/>
  <c r="BR226" i="2"/>
  <c r="BS226" i="2"/>
  <c r="BV226" i="2" s="1"/>
  <c r="BT226" i="2"/>
  <c r="BN227" i="2"/>
  <c r="BP227" i="2" s="1"/>
  <c r="BO227" i="2"/>
  <c r="BQ227" i="2"/>
  <c r="BS227" i="2" s="1"/>
  <c r="BV227" i="2" s="1"/>
  <c r="BR227" i="2"/>
  <c r="BT227" i="2"/>
  <c r="BN228" i="2"/>
  <c r="BO228" i="2"/>
  <c r="BP228" i="2"/>
  <c r="BU228" i="2" s="1"/>
  <c r="BQ228" i="2"/>
  <c r="BS228" i="2" s="1"/>
  <c r="BV228" i="2" s="1"/>
  <c r="BR228" i="2"/>
  <c r="BT228" i="2"/>
  <c r="BW228" i="2"/>
  <c r="BN229" i="2"/>
  <c r="BO229" i="2"/>
  <c r="BP229" i="2" s="1"/>
  <c r="BQ229" i="2"/>
  <c r="BR229" i="2"/>
  <c r="BS229" i="2"/>
  <c r="BV229" i="2" s="1"/>
  <c r="BT229" i="2"/>
  <c r="BN230" i="2"/>
  <c r="BP230" i="2" s="1"/>
  <c r="BO230" i="2"/>
  <c r="BQ230" i="2"/>
  <c r="BS230" i="2" s="1"/>
  <c r="BV230" i="2" s="1"/>
  <c r="BR230" i="2"/>
  <c r="BT230" i="2"/>
  <c r="BN231" i="2"/>
  <c r="BO231" i="2"/>
  <c r="BP231" i="2"/>
  <c r="BU231" i="2" s="1"/>
  <c r="BQ231" i="2"/>
  <c r="BS231" i="2" s="1"/>
  <c r="BV231" i="2" s="1"/>
  <c r="BR231" i="2"/>
  <c r="BT231" i="2"/>
  <c r="BW231" i="2"/>
  <c r="BN232" i="2"/>
  <c r="BO232" i="2"/>
  <c r="BP232" i="2" s="1"/>
  <c r="BQ232" i="2"/>
  <c r="BR232" i="2"/>
  <c r="BS232" i="2"/>
  <c r="BV232" i="2" s="1"/>
  <c r="BT232" i="2"/>
  <c r="BN233" i="2"/>
  <c r="BP233" i="2" s="1"/>
  <c r="BO233" i="2"/>
  <c r="BQ233" i="2"/>
  <c r="BS233" i="2" s="1"/>
  <c r="BV233" i="2" s="1"/>
  <c r="BR233" i="2"/>
  <c r="BT233" i="2"/>
  <c r="BN234" i="2"/>
  <c r="BO234" i="2"/>
  <c r="BP234" i="2"/>
  <c r="BU234" i="2" s="1"/>
  <c r="BQ234" i="2"/>
  <c r="BS234" i="2" s="1"/>
  <c r="BV234" i="2" s="1"/>
  <c r="BR234" i="2"/>
  <c r="BT234" i="2"/>
  <c r="BW234" i="2"/>
  <c r="BN235" i="2"/>
  <c r="BO235" i="2"/>
  <c r="BP235" i="2"/>
  <c r="BU235" i="2" s="1"/>
  <c r="BQ235" i="2"/>
  <c r="BR235" i="2"/>
  <c r="BS235" i="2"/>
  <c r="BV235" i="2" s="1"/>
  <c r="BT235" i="2"/>
  <c r="BT198" i="2"/>
  <c r="BR198" i="2"/>
  <c r="BQ198" i="2"/>
  <c r="BS198" i="2" s="1"/>
  <c r="BV198" i="2" s="1"/>
  <c r="BO198" i="2"/>
  <c r="BN198" i="2"/>
  <c r="BP198" i="2" s="1"/>
  <c r="BN171" i="2"/>
  <c r="BO171" i="2"/>
  <c r="BP171" i="2" s="1"/>
  <c r="BQ171" i="2"/>
  <c r="BR171" i="2"/>
  <c r="BS171" i="2"/>
  <c r="BV171" i="2" s="1"/>
  <c r="BT171" i="2"/>
  <c r="BN172" i="2"/>
  <c r="BP172" i="2" s="1"/>
  <c r="BO172" i="2"/>
  <c r="BQ172" i="2"/>
  <c r="BS172" i="2" s="1"/>
  <c r="BV172" i="2" s="1"/>
  <c r="BR172" i="2"/>
  <c r="BT172" i="2"/>
  <c r="BN173" i="2"/>
  <c r="BO173" i="2"/>
  <c r="BP173" i="2"/>
  <c r="BU173" i="2" s="1"/>
  <c r="BQ173" i="2"/>
  <c r="BS173" i="2" s="1"/>
  <c r="BV173" i="2" s="1"/>
  <c r="BR173" i="2"/>
  <c r="BT173" i="2"/>
  <c r="BW173" i="2"/>
  <c r="BN174" i="2"/>
  <c r="BO174" i="2"/>
  <c r="BP174" i="2" s="1"/>
  <c r="BQ174" i="2"/>
  <c r="BR174" i="2"/>
  <c r="BS174" i="2"/>
  <c r="BV174" i="2" s="1"/>
  <c r="BT174" i="2"/>
  <c r="BN175" i="2"/>
  <c r="BP175" i="2" s="1"/>
  <c r="BO175" i="2"/>
  <c r="BQ175" i="2"/>
  <c r="BS175" i="2" s="1"/>
  <c r="BV175" i="2" s="1"/>
  <c r="BR175" i="2"/>
  <c r="BT175" i="2"/>
  <c r="BN176" i="2"/>
  <c r="BO176" i="2"/>
  <c r="BP176" i="2"/>
  <c r="BU176" i="2" s="1"/>
  <c r="BQ176" i="2"/>
  <c r="BS176" i="2" s="1"/>
  <c r="BV176" i="2" s="1"/>
  <c r="BR176" i="2"/>
  <c r="BT176" i="2"/>
  <c r="BW176" i="2"/>
  <c r="BN177" i="2"/>
  <c r="BO177" i="2"/>
  <c r="BP177" i="2" s="1"/>
  <c r="BQ177" i="2"/>
  <c r="BR177" i="2"/>
  <c r="BS177" i="2"/>
  <c r="BV177" i="2" s="1"/>
  <c r="BT177" i="2"/>
  <c r="BN178" i="2"/>
  <c r="BP178" i="2" s="1"/>
  <c r="BO178" i="2"/>
  <c r="BQ178" i="2"/>
  <c r="BS178" i="2" s="1"/>
  <c r="BV178" i="2" s="1"/>
  <c r="BR178" i="2"/>
  <c r="BT178" i="2"/>
  <c r="BN179" i="2"/>
  <c r="BO179" i="2"/>
  <c r="BP179" i="2"/>
  <c r="BU179" i="2" s="1"/>
  <c r="BQ179" i="2"/>
  <c r="BS179" i="2" s="1"/>
  <c r="BV179" i="2" s="1"/>
  <c r="BR179" i="2"/>
  <c r="BT179" i="2"/>
  <c r="BW179" i="2"/>
  <c r="BN180" i="2"/>
  <c r="BO180" i="2"/>
  <c r="BP180" i="2" s="1"/>
  <c r="BQ180" i="2"/>
  <c r="BR180" i="2"/>
  <c r="BS180" i="2"/>
  <c r="BV180" i="2" s="1"/>
  <c r="BT180" i="2"/>
  <c r="BN181" i="2"/>
  <c r="BP181" i="2" s="1"/>
  <c r="BO181" i="2"/>
  <c r="BQ181" i="2"/>
  <c r="BS181" i="2" s="1"/>
  <c r="BV181" i="2" s="1"/>
  <c r="BR181" i="2"/>
  <c r="BT181" i="2"/>
  <c r="BN182" i="2"/>
  <c r="BO182" i="2"/>
  <c r="BP182" i="2"/>
  <c r="BU182" i="2" s="1"/>
  <c r="BQ182" i="2"/>
  <c r="BS182" i="2" s="1"/>
  <c r="BV182" i="2" s="1"/>
  <c r="BR182" i="2"/>
  <c r="BT182" i="2"/>
  <c r="BW182" i="2"/>
  <c r="BN183" i="2"/>
  <c r="BO183" i="2"/>
  <c r="BP183" i="2" s="1"/>
  <c r="BQ183" i="2"/>
  <c r="BR183" i="2"/>
  <c r="BS183" i="2"/>
  <c r="BV183" i="2" s="1"/>
  <c r="BT183" i="2"/>
  <c r="BN184" i="2"/>
  <c r="BP184" i="2" s="1"/>
  <c r="BO184" i="2"/>
  <c r="BQ184" i="2"/>
  <c r="BS184" i="2" s="1"/>
  <c r="BV184" i="2" s="1"/>
  <c r="BR184" i="2"/>
  <c r="BT184" i="2"/>
  <c r="BN185" i="2"/>
  <c r="BO185" i="2"/>
  <c r="BP185" i="2"/>
  <c r="BU185" i="2" s="1"/>
  <c r="BQ185" i="2"/>
  <c r="BS185" i="2" s="1"/>
  <c r="BV185" i="2" s="1"/>
  <c r="BR185" i="2"/>
  <c r="BT185" i="2"/>
  <c r="BW185" i="2"/>
  <c r="BN186" i="2"/>
  <c r="BO186" i="2"/>
  <c r="BP186" i="2" s="1"/>
  <c r="BQ186" i="2"/>
  <c r="BR186" i="2"/>
  <c r="BS186" i="2"/>
  <c r="BV186" i="2" s="1"/>
  <c r="BT186" i="2"/>
  <c r="BN187" i="2"/>
  <c r="BP187" i="2" s="1"/>
  <c r="BO187" i="2"/>
  <c r="BQ187" i="2"/>
  <c r="BS187" i="2" s="1"/>
  <c r="BV187" i="2" s="1"/>
  <c r="BR187" i="2"/>
  <c r="BT187" i="2"/>
  <c r="BN188" i="2"/>
  <c r="BO188" i="2"/>
  <c r="BP188" i="2"/>
  <c r="BU188" i="2" s="1"/>
  <c r="BQ188" i="2"/>
  <c r="BS188" i="2" s="1"/>
  <c r="BV188" i="2" s="1"/>
  <c r="BR188" i="2"/>
  <c r="BT188" i="2"/>
  <c r="BW188" i="2"/>
  <c r="BN189" i="2"/>
  <c r="BO189" i="2"/>
  <c r="BP189" i="2" s="1"/>
  <c r="BQ189" i="2"/>
  <c r="BR189" i="2"/>
  <c r="BS189" i="2"/>
  <c r="BV189" i="2" s="1"/>
  <c r="BT189" i="2"/>
  <c r="BN190" i="2"/>
  <c r="BP190" i="2" s="1"/>
  <c r="BO190" i="2"/>
  <c r="BQ190" i="2"/>
  <c r="BS190" i="2" s="1"/>
  <c r="BV190" i="2" s="1"/>
  <c r="BR190" i="2"/>
  <c r="BT190" i="2"/>
  <c r="BN191" i="2"/>
  <c r="BO191" i="2"/>
  <c r="BP191" i="2"/>
  <c r="BU191" i="2" s="1"/>
  <c r="BQ191" i="2"/>
  <c r="BS191" i="2" s="1"/>
  <c r="BV191" i="2" s="1"/>
  <c r="BR191" i="2"/>
  <c r="BT191" i="2"/>
  <c r="BW191" i="2"/>
  <c r="BN192" i="2"/>
  <c r="BO192" i="2"/>
  <c r="BP192" i="2" s="1"/>
  <c r="BQ192" i="2"/>
  <c r="BR192" i="2"/>
  <c r="BS192" i="2"/>
  <c r="BV192" i="2" s="1"/>
  <c r="BT192" i="2"/>
  <c r="BN193" i="2"/>
  <c r="BP193" i="2" s="1"/>
  <c r="BO193" i="2"/>
  <c r="BQ193" i="2"/>
  <c r="BS193" i="2" s="1"/>
  <c r="BV193" i="2" s="1"/>
  <c r="BR193" i="2"/>
  <c r="BT193" i="2"/>
  <c r="BN194" i="2"/>
  <c r="BO194" i="2"/>
  <c r="BP194" i="2"/>
  <c r="BU194" i="2" s="1"/>
  <c r="BQ194" i="2"/>
  <c r="BS194" i="2" s="1"/>
  <c r="BV194" i="2" s="1"/>
  <c r="BR194" i="2"/>
  <c r="BT194" i="2"/>
  <c r="BW194" i="2"/>
  <c r="BN195" i="2"/>
  <c r="BO195" i="2"/>
  <c r="BP195" i="2" s="1"/>
  <c r="BQ195" i="2"/>
  <c r="BR195" i="2"/>
  <c r="BS195" i="2"/>
  <c r="BV195" i="2" s="1"/>
  <c r="BT195" i="2"/>
  <c r="BT170" i="2"/>
  <c r="BR170" i="2"/>
  <c r="BQ170" i="2"/>
  <c r="BS170" i="2" s="1"/>
  <c r="BV170" i="2" s="1"/>
  <c r="BO170" i="2"/>
  <c r="BN170" i="2"/>
  <c r="BP170" i="2" s="1"/>
  <c r="BN162" i="2"/>
  <c r="BP162" i="2" s="1"/>
  <c r="BO162" i="2"/>
  <c r="BQ162" i="2"/>
  <c r="BS162" i="2" s="1"/>
  <c r="BV162" i="2" s="1"/>
  <c r="BR162" i="2"/>
  <c r="BT162" i="2"/>
  <c r="BN163" i="2"/>
  <c r="BP163" i="2" s="1"/>
  <c r="BO163" i="2"/>
  <c r="BQ163" i="2"/>
  <c r="BR163" i="2"/>
  <c r="BS163" i="2"/>
  <c r="BV163" i="2" s="1"/>
  <c r="BT163" i="2"/>
  <c r="BN164" i="2"/>
  <c r="BO164" i="2"/>
  <c r="BP164" i="2"/>
  <c r="BU164" i="2" s="1"/>
  <c r="BQ164" i="2"/>
  <c r="BS164" i="2" s="1"/>
  <c r="BV164" i="2" s="1"/>
  <c r="BR164" i="2"/>
  <c r="BT164" i="2"/>
  <c r="BN165" i="2"/>
  <c r="BP165" i="2" s="1"/>
  <c r="BO165" i="2"/>
  <c r="BQ165" i="2"/>
  <c r="BS165" i="2" s="1"/>
  <c r="BV165" i="2" s="1"/>
  <c r="BR165" i="2"/>
  <c r="BT165" i="2"/>
  <c r="BN166" i="2"/>
  <c r="BP166" i="2" s="1"/>
  <c r="BO166" i="2"/>
  <c r="BQ166" i="2"/>
  <c r="BS166" i="2" s="1"/>
  <c r="BV166" i="2" s="1"/>
  <c r="BR166" i="2"/>
  <c r="BT166" i="2"/>
  <c r="BN167" i="2"/>
  <c r="BO167" i="2"/>
  <c r="BP167" i="2"/>
  <c r="BU167" i="2" s="1"/>
  <c r="BQ167" i="2"/>
  <c r="BS167" i="2" s="1"/>
  <c r="BV167" i="2" s="1"/>
  <c r="BR167" i="2"/>
  <c r="BT167" i="2"/>
  <c r="BN168" i="2"/>
  <c r="BO168" i="2"/>
  <c r="BP168" i="2"/>
  <c r="BU168" i="2" s="1"/>
  <c r="BQ168" i="2"/>
  <c r="BR168" i="2"/>
  <c r="BS168" i="2" s="1"/>
  <c r="BV168" i="2" s="1"/>
  <c r="BT168" i="2"/>
  <c r="BT161" i="2"/>
  <c r="BR161" i="2"/>
  <c r="BQ161" i="2"/>
  <c r="BS161" i="2" s="1"/>
  <c r="BV161" i="2" s="1"/>
  <c r="BO161" i="2"/>
  <c r="BP161" i="2" s="1"/>
  <c r="BN161" i="2"/>
  <c r="BT159" i="2"/>
  <c r="BS159" i="2"/>
  <c r="BV159" i="2" s="1"/>
  <c r="BR159" i="2"/>
  <c r="BQ159" i="2"/>
  <c r="BO159" i="2"/>
  <c r="BN159" i="2"/>
  <c r="BP159" i="2" s="1"/>
  <c r="BT158" i="2"/>
  <c r="BR158" i="2"/>
  <c r="BQ158" i="2"/>
  <c r="BS158" i="2" s="1"/>
  <c r="BV158" i="2" s="1"/>
  <c r="BO158" i="2"/>
  <c r="BN158" i="2"/>
  <c r="BP158" i="2" s="1"/>
  <c r="BT157" i="2"/>
  <c r="BR157" i="2"/>
  <c r="BQ157" i="2"/>
  <c r="BS157" i="2" s="1"/>
  <c r="BV157" i="2" s="1"/>
  <c r="BO157" i="2"/>
  <c r="BN157" i="2"/>
  <c r="BP157" i="2" s="1"/>
  <c r="BN153" i="2"/>
  <c r="BP153" i="2" s="1"/>
  <c r="BO153" i="2"/>
  <c r="BQ153" i="2"/>
  <c r="BR153" i="2"/>
  <c r="BS153" i="2"/>
  <c r="BV153" i="2" s="1"/>
  <c r="BT153" i="2"/>
  <c r="BN154" i="2"/>
  <c r="BP154" i="2" s="1"/>
  <c r="BO154" i="2"/>
  <c r="BQ154" i="2"/>
  <c r="BS154" i="2" s="1"/>
  <c r="BV154" i="2" s="1"/>
  <c r="BR154" i="2"/>
  <c r="BT154" i="2"/>
  <c r="BN155" i="2"/>
  <c r="BO155" i="2"/>
  <c r="BP155" i="2"/>
  <c r="BU155" i="2" s="1"/>
  <c r="BQ155" i="2"/>
  <c r="BS155" i="2" s="1"/>
  <c r="BV155" i="2" s="1"/>
  <c r="BR155" i="2"/>
  <c r="BT155" i="2"/>
  <c r="BW155" i="2"/>
  <c r="BT152" i="2"/>
  <c r="BR152" i="2"/>
  <c r="BQ152" i="2"/>
  <c r="BS152" i="2" s="1"/>
  <c r="BV152" i="2" s="1"/>
  <c r="BO152" i="2"/>
  <c r="BN152" i="2"/>
  <c r="BP152" i="2" s="1"/>
  <c r="BW140" i="2"/>
  <c r="BV140" i="2"/>
  <c r="BU140" i="2"/>
  <c r="BT140" i="2"/>
  <c r="BS140" i="2"/>
  <c r="BR140" i="2"/>
  <c r="BQ140" i="2"/>
  <c r="BP140" i="2"/>
  <c r="BO140" i="2"/>
  <c r="BN140" i="2"/>
  <c r="BO138" i="2"/>
  <c r="BP138" i="2"/>
  <c r="BQ138" i="2"/>
  <c r="BR138" i="2"/>
  <c r="BS138" i="2"/>
  <c r="BT138" i="2"/>
  <c r="BU138" i="2"/>
  <c r="BV138" i="2"/>
  <c r="BW138" i="2"/>
  <c r="BN138" i="2"/>
  <c r="BN144" i="2"/>
  <c r="BO144" i="2"/>
  <c r="BP144" i="2"/>
  <c r="BU144" i="2" s="1"/>
  <c r="BQ144" i="2"/>
  <c r="BS144" i="2" s="1"/>
  <c r="BV144" i="2" s="1"/>
  <c r="BR144" i="2"/>
  <c r="BT144" i="2"/>
  <c r="BN145" i="2"/>
  <c r="BO145" i="2"/>
  <c r="BP145" i="2"/>
  <c r="BU145" i="2" s="1"/>
  <c r="BQ145" i="2"/>
  <c r="BR145" i="2"/>
  <c r="BS145" i="2" s="1"/>
  <c r="BV145" i="2" s="1"/>
  <c r="BT145" i="2"/>
  <c r="BW145" i="2"/>
  <c r="BN146" i="2"/>
  <c r="BP146" i="2" s="1"/>
  <c r="BO146" i="2"/>
  <c r="BQ146" i="2"/>
  <c r="BR146" i="2"/>
  <c r="BS146" i="2"/>
  <c r="BV146" i="2" s="1"/>
  <c r="BT146" i="2"/>
  <c r="BN147" i="2"/>
  <c r="BO147" i="2"/>
  <c r="BP147" i="2"/>
  <c r="BU147" i="2" s="1"/>
  <c r="BQ147" i="2"/>
  <c r="BS147" i="2" s="1"/>
  <c r="BV147" i="2" s="1"/>
  <c r="BR147" i="2"/>
  <c r="BT147" i="2"/>
  <c r="BW147" i="2"/>
  <c r="BN148" i="2"/>
  <c r="BO148" i="2"/>
  <c r="BP148" i="2"/>
  <c r="BU148" i="2" s="1"/>
  <c r="BQ148" i="2"/>
  <c r="BR148" i="2"/>
  <c r="BS148" i="2"/>
  <c r="BV148" i="2" s="1"/>
  <c r="BT148" i="2"/>
  <c r="BW148" i="2"/>
  <c r="BN149" i="2"/>
  <c r="BP149" i="2" s="1"/>
  <c r="BO149" i="2"/>
  <c r="BQ149" i="2"/>
  <c r="BR149" i="2"/>
  <c r="BS149" i="2"/>
  <c r="BV149" i="2" s="1"/>
  <c r="BT149" i="2"/>
  <c r="BN150" i="2"/>
  <c r="BO150" i="2"/>
  <c r="BP150" i="2"/>
  <c r="BU150" i="2" s="1"/>
  <c r="BQ150" i="2"/>
  <c r="BS150" i="2" s="1"/>
  <c r="BV150" i="2" s="1"/>
  <c r="BR150" i="2"/>
  <c r="BT150" i="2"/>
  <c r="BW150" i="2"/>
  <c r="BT143" i="2"/>
  <c r="BR143" i="2"/>
  <c r="BQ143" i="2"/>
  <c r="BS143" i="2" s="1"/>
  <c r="BV143" i="2" s="1"/>
  <c r="BO143" i="2"/>
  <c r="BN143" i="2"/>
  <c r="BP143" i="2" s="1"/>
  <c r="BT141" i="2"/>
  <c r="BR141" i="2"/>
  <c r="BQ141" i="2"/>
  <c r="BS141" i="2" s="1"/>
  <c r="BV141" i="2" s="1"/>
  <c r="BO141" i="2"/>
  <c r="BN141" i="2"/>
  <c r="BP141" i="2" s="1"/>
  <c r="BT139" i="2"/>
  <c r="BR139" i="2"/>
  <c r="BQ139" i="2"/>
  <c r="BS139" i="2" s="1"/>
  <c r="BV139" i="2" s="1"/>
  <c r="BO139" i="2"/>
  <c r="BN139" i="2"/>
  <c r="BP139" i="2" s="1"/>
  <c r="BN119" i="2"/>
  <c r="BO119" i="2"/>
  <c r="BP119" i="2"/>
  <c r="BU119" i="2" s="1"/>
  <c r="BQ119" i="2"/>
  <c r="BS119" i="2" s="1"/>
  <c r="BV119" i="2" s="1"/>
  <c r="BR119" i="2"/>
  <c r="BT119" i="2"/>
  <c r="BN120" i="2"/>
  <c r="BP120" i="2" s="1"/>
  <c r="BO120" i="2"/>
  <c r="BQ120" i="2"/>
  <c r="BR120" i="2"/>
  <c r="BS120" i="2" s="1"/>
  <c r="BV120" i="2" s="1"/>
  <c r="BT120" i="2"/>
  <c r="BN121" i="2"/>
  <c r="BO121" i="2"/>
  <c r="BP121" i="2"/>
  <c r="BU121" i="2" s="1"/>
  <c r="BQ121" i="2"/>
  <c r="BR121" i="2"/>
  <c r="BS121" i="2"/>
  <c r="BT121" i="2"/>
  <c r="BV121" i="2"/>
  <c r="BN122" i="2"/>
  <c r="BO122" i="2"/>
  <c r="BP122" i="2"/>
  <c r="BU122" i="2" s="1"/>
  <c r="BQ122" i="2"/>
  <c r="BS122" i="2" s="1"/>
  <c r="BV122" i="2" s="1"/>
  <c r="BR122" i="2"/>
  <c r="BT122" i="2"/>
  <c r="BW122" i="2"/>
  <c r="BN123" i="2"/>
  <c r="BP123" i="2" s="1"/>
  <c r="BO123" i="2"/>
  <c r="BQ123" i="2"/>
  <c r="BR123" i="2"/>
  <c r="BS123" i="2"/>
  <c r="BV123" i="2" s="1"/>
  <c r="BT123" i="2"/>
  <c r="BN124" i="2"/>
  <c r="BO124" i="2"/>
  <c r="BP124" i="2"/>
  <c r="BU124" i="2" s="1"/>
  <c r="BQ124" i="2"/>
  <c r="BR124" i="2"/>
  <c r="BS124" i="2"/>
  <c r="BT124" i="2"/>
  <c r="BV124" i="2"/>
  <c r="BN125" i="2"/>
  <c r="BO125" i="2"/>
  <c r="BP125" i="2"/>
  <c r="BU125" i="2" s="1"/>
  <c r="BQ125" i="2"/>
  <c r="BS125" i="2" s="1"/>
  <c r="BV125" i="2" s="1"/>
  <c r="BR125" i="2"/>
  <c r="BT125" i="2"/>
  <c r="BW125" i="2"/>
  <c r="BN126" i="2"/>
  <c r="BP126" i="2" s="1"/>
  <c r="BO126" i="2"/>
  <c r="BQ126" i="2"/>
  <c r="BR126" i="2"/>
  <c r="BS126" i="2"/>
  <c r="BV126" i="2" s="1"/>
  <c r="BT126" i="2"/>
  <c r="BN127" i="2"/>
  <c r="BO127" i="2"/>
  <c r="BP127" i="2"/>
  <c r="BU127" i="2" s="1"/>
  <c r="BQ127" i="2"/>
  <c r="BR127" i="2"/>
  <c r="BS127" i="2"/>
  <c r="BT127" i="2"/>
  <c r="BV127" i="2"/>
  <c r="BN128" i="2"/>
  <c r="BO128" i="2"/>
  <c r="BP128" i="2"/>
  <c r="BU128" i="2" s="1"/>
  <c r="BQ128" i="2"/>
  <c r="BS128" i="2" s="1"/>
  <c r="BV128" i="2" s="1"/>
  <c r="BR128" i="2"/>
  <c r="BT128" i="2"/>
  <c r="BW128" i="2"/>
  <c r="BN129" i="2"/>
  <c r="BP129" i="2" s="1"/>
  <c r="BO129" i="2"/>
  <c r="BQ129" i="2"/>
  <c r="BR129" i="2"/>
  <c r="BS129" i="2"/>
  <c r="BV129" i="2" s="1"/>
  <c r="BT129" i="2"/>
  <c r="BN130" i="2"/>
  <c r="BO130" i="2"/>
  <c r="BP130" i="2"/>
  <c r="BU130" i="2" s="1"/>
  <c r="BQ130" i="2"/>
  <c r="BR130" i="2"/>
  <c r="BS130" i="2"/>
  <c r="BT130" i="2"/>
  <c r="BV130" i="2"/>
  <c r="BN131" i="2"/>
  <c r="BO131" i="2"/>
  <c r="BP131" i="2"/>
  <c r="BU131" i="2" s="1"/>
  <c r="BQ131" i="2"/>
  <c r="BS131" i="2" s="1"/>
  <c r="BV131" i="2" s="1"/>
  <c r="BR131" i="2"/>
  <c r="BT131" i="2"/>
  <c r="BW131" i="2"/>
  <c r="BN132" i="2"/>
  <c r="BP132" i="2" s="1"/>
  <c r="BO132" i="2"/>
  <c r="BQ132" i="2"/>
  <c r="BR132" i="2"/>
  <c r="BS132" i="2"/>
  <c r="BV132" i="2" s="1"/>
  <c r="BT132" i="2"/>
  <c r="BN133" i="2"/>
  <c r="BO133" i="2"/>
  <c r="BP133" i="2"/>
  <c r="BU133" i="2" s="1"/>
  <c r="BQ133" i="2"/>
  <c r="BR133" i="2"/>
  <c r="BS133" i="2"/>
  <c r="BT133" i="2"/>
  <c r="BV133" i="2"/>
  <c r="BN134" i="2"/>
  <c r="BO134" i="2"/>
  <c r="BP134" i="2"/>
  <c r="BU134" i="2" s="1"/>
  <c r="BQ134" i="2"/>
  <c r="BS134" i="2" s="1"/>
  <c r="BV134" i="2" s="1"/>
  <c r="BR134" i="2"/>
  <c r="BT134" i="2"/>
  <c r="BW134" i="2"/>
  <c r="BN135" i="2"/>
  <c r="BP135" i="2" s="1"/>
  <c r="BO135" i="2"/>
  <c r="BQ135" i="2"/>
  <c r="BR135" i="2"/>
  <c r="BS135" i="2"/>
  <c r="BV135" i="2" s="1"/>
  <c r="BT135" i="2"/>
  <c r="BN136" i="2"/>
  <c r="BO136" i="2"/>
  <c r="BP136" i="2"/>
  <c r="BU136" i="2" s="1"/>
  <c r="BQ136" i="2"/>
  <c r="BR136" i="2"/>
  <c r="BS136" i="2"/>
  <c r="BT136" i="2"/>
  <c r="BV136" i="2"/>
  <c r="BN137" i="2"/>
  <c r="BO137" i="2"/>
  <c r="BP137" i="2"/>
  <c r="BU137" i="2" s="1"/>
  <c r="BQ137" i="2"/>
  <c r="BS137" i="2" s="1"/>
  <c r="BV137" i="2" s="1"/>
  <c r="BR137" i="2"/>
  <c r="BT137" i="2"/>
  <c r="BW137" i="2"/>
  <c r="BT118" i="2"/>
  <c r="BR118" i="2"/>
  <c r="BQ118" i="2"/>
  <c r="BS118" i="2" s="1"/>
  <c r="BV118" i="2" s="1"/>
  <c r="BO118" i="2"/>
  <c r="BN118" i="2"/>
  <c r="BP118" i="2" s="1"/>
  <c r="BW10" i="2"/>
  <c r="BW11" i="2"/>
  <c r="BW12" i="2"/>
  <c r="BW13" i="2"/>
  <c r="BW14" i="2"/>
  <c r="BW15" i="2"/>
  <c r="BW16" i="2"/>
  <c r="BW17" i="2"/>
  <c r="BW18" i="2"/>
  <c r="BW19" i="2"/>
  <c r="BW20" i="2"/>
  <c r="BW21" i="2"/>
  <c r="BW22" i="2"/>
  <c r="BW23" i="2"/>
  <c r="BW24" i="2"/>
  <c r="BW25" i="2"/>
  <c r="BW26" i="2"/>
  <c r="BW27" i="2"/>
  <c r="BW28" i="2"/>
  <c r="BW29" i="2"/>
  <c r="BW30" i="2"/>
  <c r="BW31" i="2"/>
  <c r="BW32" i="2"/>
  <c r="BW33" i="2"/>
  <c r="BW34" i="2"/>
  <c r="BW35" i="2"/>
  <c r="BW36" i="2"/>
  <c r="BW37" i="2"/>
  <c r="BW38" i="2"/>
  <c r="BW39" i="2"/>
  <c r="BW40" i="2"/>
  <c r="BW41" i="2"/>
  <c r="BW42" i="2"/>
  <c r="BW43" i="2"/>
  <c r="BW44" i="2"/>
  <c r="BW45" i="2"/>
  <c r="BW46" i="2"/>
  <c r="BW47" i="2"/>
  <c r="BW48" i="2"/>
  <c r="BW49" i="2"/>
  <c r="BW50" i="2"/>
  <c r="BW51" i="2"/>
  <c r="BW52" i="2"/>
  <c r="BW53" i="2"/>
  <c r="BW54" i="2"/>
  <c r="BW55" i="2"/>
  <c r="BW56" i="2"/>
  <c r="BW57" i="2"/>
  <c r="BW58" i="2"/>
  <c r="BW59" i="2"/>
  <c r="BW60" i="2"/>
  <c r="BW61" i="2"/>
  <c r="BW62" i="2"/>
  <c r="BW63" i="2"/>
  <c r="BW64" i="2"/>
  <c r="BW65" i="2"/>
  <c r="BW66" i="2"/>
  <c r="BW67" i="2"/>
  <c r="BW68" i="2"/>
  <c r="BW69" i="2"/>
  <c r="BW70" i="2"/>
  <c r="BW71" i="2"/>
  <c r="BW72" i="2"/>
  <c r="BW73" i="2"/>
  <c r="BW74" i="2"/>
  <c r="BW75" i="2"/>
  <c r="BW76" i="2"/>
  <c r="BW77" i="2"/>
  <c r="BW78" i="2"/>
  <c r="BW79" i="2"/>
  <c r="BW80" i="2"/>
  <c r="BW81" i="2"/>
  <c r="BW82" i="2"/>
  <c r="BW83" i="2"/>
  <c r="BW84" i="2"/>
  <c r="BW85" i="2"/>
  <c r="BW86" i="2"/>
  <c r="BW87" i="2"/>
  <c r="BW88" i="2"/>
  <c r="BW89" i="2"/>
  <c r="BW90" i="2"/>
  <c r="BW91" i="2"/>
  <c r="BW92" i="2"/>
  <c r="BW93" i="2"/>
  <c r="BW94" i="2"/>
  <c r="BW95" i="2"/>
  <c r="BW96" i="2"/>
  <c r="BW97" i="2"/>
  <c r="BW98" i="2"/>
  <c r="BW99" i="2"/>
  <c r="BW100" i="2"/>
  <c r="BW101" i="2"/>
  <c r="BW102" i="2"/>
  <c r="BW103" i="2"/>
  <c r="BW104" i="2"/>
  <c r="BW105" i="2"/>
  <c r="BW106" i="2"/>
  <c r="BW107" i="2"/>
  <c r="BW108" i="2"/>
  <c r="BW109" i="2"/>
  <c r="BW110" i="2"/>
  <c r="BW111" i="2"/>
  <c r="BW112" i="2"/>
  <c r="BW113" i="2"/>
  <c r="BW114" i="2"/>
  <c r="BW115" i="2"/>
  <c r="BW9" i="2"/>
  <c r="BW6" i="2"/>
  <c r="BW7" i="2"/>
  <c r="BT10" i="2"/>
  <c r="BU10" i="2"/>
  <c r="BV10" i="2"/>
  <c r="BT11" i="2"/>
  <c r="BU11" i="2"/>
  <c r="BV11" i="2"/>
  <c r="BT12" i="2"/>
  <c r="BU12" i="2"/>
  <c r="BV12" i="2"/>
  <c r="BT13" i="2"/>
  <c r="BU13" i="2"/>
  <c r="BV13" i="2"/>
  <c r="BT14" i="2"/>
  <c r="BU14" i="2"/>
  <c r="BV14" i="2"/>
  <c r="BT15" i="2"/>
  <c r="BU15" i="2"/>
  <c r="BV15" i="2"/>
  <c r="BT16" i="2"/>
  <c r="BU16" i="2"/>
  <c r="BV16" i="2"/>
  <c r="BT17" i="2"/>
  <c r="BU17" i="2"/>
  <c r="BV17" i="2"/>
  <c r="BT18" i="2"/>
  <c r="BU18" i="2"/>
  <c r="BV18" i="2"/>
  <c r="BT19" i="2"/>
  <c r="BU19" i="2"/>
  <c r="BV19" i="2"/>
  <c r="BT20" i="2"/>
  <c r="BU20" i="2"/>
  <c r="BV20" i="2"/>
  <c r="BT21" i="2"/>
  <c r="BU21" i="2"/>
  <c r="BV21" i="2"/>
  <c r="BT22" i="2"/>
  <c r="BU22" i="2"/>
  <c r="BV22" i="2"/>
  <c r="BT23" i="2"/>
  <c r="BU23" i="2"/>
  <c r="BV23" i="2"/>
  <c r="BT24" i="2"/>
  <c r="BU24" i="2"/>
  <c r="BV24" i="2"/>
  <c r="BT25" i="2"/>
  <c r="BU25" i="2"/>
  <c r="BV25" i="2"/>
  <c r="BT26" i="2"/>
  <c r="BU26" i="2"/>
  <c r="BV26" i="2"/>
  <c r="BT27" i="2"/>
  <c r="BU27" i="2"/>
  <c r="BV27" i="2"/>
  <c r="BT28" i="2"/>
  <c r="BU28" i="2"/>
  <c r="BV28" i="2"/>
  <c r="BT29" i="2"/>
  <c r="BU29" i="2"/>
  <c r="BV29" i="2"/>
  <c r="BT30" i="2"/>
  <c r="BU30" i="2"/>
  <c r="BV30" i="2"/>
  <c r="BT31" i="2"/>
  <c r="BU31" i="2"/>
  <c r="BV31" i="2"/>
  <c r="BT32" i="2"/>
  <c r="BU32" i="2"/>
  <c r="BV32" i="2"/>
  <c r="BT33" i="2"/>
  <c r="BU33" i="2"/>
  <c r="BV33" i="2"/>
  <c r="BT34" i="2"/>
  <c r="BU34" i="2"/>
  <c r="BV34" i="2"/>
  <c r="BT35" i="2"/>
  <c r="BU35" i="2"/>
  <c r="BV35" i="2"/>
  <c r="BT36" i="2"/>
  <c r="BU36" i="2"/>
  <c r="BV36" i="2"/>
  <c r="BT37" i="2"/>
  <c r="BU37" i="2"/>
  <c r="BV37" i="2"/>
  <c r="BT38" i="2"/>
  <c r="BU38" i="2"/>
  <c r="BV38" i="2"/>
  <c r="BT39" i="2"/>
  <c r="BU39" i="2"/>
  <c r="BV39" i="2"/>
  <c r="BT40" i="2"/>
  <c r="BU40" i="2"/>
  <c r="BV40" i="2"/>
  <c r="BT41" i="2"/>
  <c r="BU41" i="2"/>
  <c r="BV41" i="2"/>
  <c r="BT42" i="2"/>
  <c r="BU42" i="2"/>
  <c r="BV42" i="2"/>
  <c r="BT43" i="2"/>
  <c r="BU43" i="2"/>
  <c r="BV43" i="2"/>
  <c r="BT44" i="2"/>
  <c r="BU44" i="2"/>
  <c r="BV44" i="2"/>
  <c r="BT45" i="2"/>
  <c r="BU45" i="2"/>
  <c r="BV45" i="2"/>
  <c r="BT46" i="2"/>
  <c r="BU46" i="2"/>
  <c r="BV46" i="2"/>
  <c r="BT47" i="2"/>
  <c r="BU47" i="2"/>
  <c r="BV47" i="2"/>
  <c r="BT48" i="2"/>
  <c r="BU48" i="2"/>
  <c r="BV48" i="2"/>
  <c r="BT49" i="2"/>
  <c r="BU49" i="2"/>
  <c r="BV49" i="2"/>
  <c r="BT50" i="2"/>
  <c r="BU50" i="2"/>
  <c r="BV50" i="2"/>
  <c r="BT51" i="2"/>
  <c r="BU51" i="2"/>
  <c r="BV51" i="2"/>
  <c r="BT52" i="2"/>
  <c r="BU52" i="2"/>
  <c r="BV52" i="2"/>
  <c r="BT53" i="2"/>
  <c r="BU53" i="2"/>
  <c r="BV53" i="2"/>
  <c r="BT54" i="2"/>
  <c r="BU54" i="2"/>
  <c r="BV54" i="2"/>
  <c r="BT55" i="2"/>
  <c r="BU55" i="2"/>
  <c r="BV55" i="2"/>
  <c r="BT56" i="2"/>
  <c r="BU56" i="2"/>
  <c r="BV56" i="2"/>
  <c r="BT57" i="2"/>
  <c r="BU57" i="2"/>
  <c r="BV57" i="2"/>
  <c r="BT58" i="2"/>
  <c r="BU58" i="2"/>
  <c r="BV58" i="2"/>
  <c r="BT59" i="2"/>
  <c r="BU59" i="2"/>
  <c r="BV59" i="2"/>
  <c r="BT60" i="2"/>
  <c r="BU60" i="2"/>
  <c r="BV60" i="2"/>
  <c r="BT61" i="2"/>
  <c r="BU61" i="2"/>
  <c r="BV61" i="2"/>
  <c r="BT62" i="2"/>
  <c r="BU62" i="2"/>
  <c r="BV62" i="2"/>
  <c r="BT63" i="2"/>
  <c r="BU63" i="2"/>
  <c r="BV63" i="2"/>
  <c r="BT64" i="2"/>
  <c r="BU64" i="2"/>
  <c r="BV64" i="2"/>
  <c r="BT65" i="2"/>
  <c r="BU65" i="2"/>
  <c r="BV65" i="2"/>
  <c r="BT66" i="2"/>
  <c r="BU66" i="2"/>
  <c r="BV66" i="2"/>
  <c r="BT67" i="2"/>
  <c r="BU67" i="2"/>
  <c r="BV67" i="2"/>
  <c r="BT68" i="2"/>
  <c r="BU68" i="2"/>
  <c r="BV68" i="2"/>
  <c r="BT69" i="2"/>
  <c r="BU69" i="2"/>
  <c r="BV69" i="2"/>
  <c r="BT70" i="2"/>
  <c r="BU70" i="2"/>
  <c r="BV70" i="2"/>
  <c r="BT71" i="2"/>
  <c r="BU71" i="2"/>
  <c r="BV71" i="2"/>
  <c r="BT72" i="2"/>
  <c r="BU72" i="2"/>
  <c r="BV72" i="2"/>
  <c r="BT73" i="2"/>
  <c r="BU73" i="2"/>
  <c r="BV73" i="2"/>
  <c r="BT74" i="2"/>
  <c r="BU74" i="2"/>
  <c r="BV74" i="2"/>
  <c r="BT75" i="2"/>
  <c r="BU75" i="2"/>
  <c r="BV75" i="2"/>
  <c r="BT76" i="2"/>
  <c r="BU76" i="2"/>
  <c r="BV76" i="2"/>
  <c r="BT77" i="2"/>
  <c r="BU77" i="2"/>
  <c r="BV77" i="2"/>
  <c r="BT78" i="2"/>
  <c r="BU78" i="2"/>
  <c r="BV78" i="2"/>
  <c r="BT79" i="2"/>
  <c r="BU79" i="2"/>
  <c r="BV79" i="2"/>
  <c r="BT80" i="2"/>
  <c r="BU80" i="2"/>
  <c r="BV80" i="2"/>
  <c r="BT81" i="2"/>
  <c r="BU81" i="2"/>
  <c r="BV81" i="2"/>
  <c r="BT82" i="2"/>
  <c r="BU82" i="2"/>
  <c r="BV82" i="2"/>
  <c r="BT83" i="2"/>
  <c r="BU83" i="2"/>
  <c r="BV83" i="2"/>
  <c r="BT84" i="2"/>
  <c r="BU84" i="2"/>
  <c r="BV84" i="2"/>
  <c r="BT85" i="2"/>
  <c r="BU85" i="2"/>
  <c r="BV85" i="2"/>
  <c r="BT86" i="2"/>
  <c r="BU86" i="2"/>
  <c r="BV86" i="2"/>
  <c r="BT87" i="2"/>
  <c r="BU87" i="2"/>
  <c r="BV87" i="2"/>
  <c r="BT88" i="2"/>
  <c r="BU88" i="2"/>
  <c r="BV88" i="2"/>
  <c r="BT89" i="2"/>
  <c r="BU89" i="2"/>
  <c r="BV89" i="2"/>
  <c r="BT90" i="2"/>
  <c r="BU90" i="2"/>
  <c r="BV90" i="2"/>
  <c r="BT91" i="2"/>
  <c r="BU91" i="2"/>
  <c r="BV91" i="2"/>
  <c r="BT92" i="2"/>
  <c r="BU92" i="2"/>
  <c r="BV92" i="2"/>
  <c r="BT93" i="2"/>
  <c r="BU93" i="2"/>
  <c r="BV93" i="2"/>
  <c r="BT94" i="2"/>
  <c r="BU94" i="2"/>
  <c r="BV94" i="2"/>
  <c r="BT95" i="2"/>
  <c r="BU95" i="2"/>
  <c r="BV95" i="2"/>
  <c r="BT96" i="2"/>
  <c r="BU96" i="2"/>
  <c r="BV96" i="2"/>
  <c r="BT97" i="2"/>
  <c r="BU97" i="2"/>
  <c r="BV97" i="2"/>
  <c r="BT98" i="2"/>
  <c r="BU98" i="2"/>
  <c r="BV98" i="2"/>
  <c r="BT99" i="2"/>
  <c r="BU99" i="2"/>
  <c r="BV99" i="2"/>
  <c r="BT100" i="2"/>
  <c r="BU100" i="2"/>
  <c r="BV100" i="2"/>
  <c r="BT101" i="2"/>
  <c r="BU101" i="2"/>
  <c r="BV101" i="2"/>
  <c r="BT102" i="2"/>
  <c r="BU102" i="2"/>
  <c r="BV102" i="2"/>
  <c r="BT103" i="2"/>
  <c r="BU103" i="2"/>
  <c r="BV103" i="2"/>
  <c r="BT104" i="2"/>
  <c r="BU104" i="2"/>
  <c r="BV104" i="2"/>
  <c r="BT105" i="2"/>
  <c r="BU105" i="2"/>
  <c r="BV105" i="2"/>
  <c r="BT106" i="2"/>
  <c r="BU106" i="2"/>
  <c r="BV106" i="2"/>
  <c r="BT107" i="2"/>
  <c r="BU107" i="2"/>
  <c r="BV107" i="2"/>
  <c r="BT108" i="2"/>
  <c r="BU108" i="2"/>
  <c r="BV108" i="2"/>
  <c r="BT109" i="2"/>
  <c r="BU109" i="2"/>
  <c r="BV109" i="2"/>
  <c r="BT110" i="2"/>
  <c r="BU110" i="2"/>
  <c r="BV110" i="2"/>
  <c r="BT111" i="2"/>
  <c r="BU111" i="2"/>
  <c r="BV111" i="2"/>
  <c r="BT112" i="2"/>
  <c r="BU112" i="2"/>
  <c r="BV112" i="2"/>
  <c r="BT113" i="2"/>
  <c r="BU113" i="2"/>
  <c r="BV113" i="2"/>
  <c r="BT114" i="2"/>
  <c r="BU114" i="2"/>
  <c r="BV114" i="2"/>
  <c r="BT115" i="2"/>
  <c r="BU115" i="2"/>
  <c r="BV115" i="2"/>
  <c r="BV9" i="2"/>
  <c r="BU9" i="2"/>
  <c r="BT9" i="2"/>
  <c r="BT6" i="2"/>
  <c r="BU6" i="2"/>
  <c r="BV6" i="2"/>
  <c r="BT7" i="2"/>
  <c r="BU7" i="2"/>
  <c r="BV7" i="2"/>
  <c r="BV5" i="2"/>
  <c r="BU5" i="2"/>
  <c r="BT5" i="2"/>
  <c r="BS10" i="2"/>
  <c r="BS11" i="2"/>
  <c r="BS12" i="2"/>
  <c r="BS13" i="2"/>
  <c r="BS14" i="2"/>
  <c r="BS15" i="2"/>
  <c r="BS16" i="2"/>
  <c r="BS17" i="2"/>
  <c r="BS18" i="2"/>
  <c r="BS19" i="2"/>
  <c r="BS20" i="2"/>
  <c r="BS21" i="2"/>
  <c r="BS22" i="2"/>
  <c r="BS23" i="2"/>
  <c r="BS24" i="2"/>
  <c r="BS25" i="2"/>
  <c r="BS26" i="2"/>
  <c r="BS27" i="2"/>
  <c r="BS28" i="2"/>
  <c r="BS29" i="2"/>
  <c r="BS30" i="2"/>
  <c r="BS31" i="2"/>
  <c r="BS32" i="2"/>
  <c r="BS33" i="2"/>
  <c r="BS34" i="2"/>
  <c r="BS35" i="2"/>
  <c r="BS36" i="2"/>
  <c r="BS37" i="2"/>
  <c r="BS38" i="2"/>
  <c r="BS39" i="2"/>
  <c r="BS40" i="2"/>
  <c r="BS41" i="2"/>
  <c r="BS42" i="2"/>
  <c r="BS43" i="2"/>
  <c r="BS44" i="2"/>
  <c r="BS45" i="2"/>
  <c r="BS46" i="2"/>
  <c r="BS47" i="2"/>
  <c r="BS48" i="2"/>
  <c r="BS49" i="2"/>
  <c r="BS50" i="2"/>
  <c r="BS51" i="2"/>
  <c r="BS52" i="2"/>
  <c r="BS53" i="2"/>
  <c r="BS54" i="2"/>
  <c r="BS55" i="2"/>
  <c r="BS56" i="2"/>
  <c r="BS57" i="2"/>
  <c r="BS58" i="2"/>
  <c r="BS59" i="2"/>
  <c r="BS60" i="2"/>
  <c r="BS61" i="2"/>
  <c r="BS62" i="2"/>
  <c r="BS63" i="2"/>
  <c r="BS64" i="2"/>
  <c r="BS65" i="2"/>
  <c r="BS66" i="2"/>
  <c r="BS67" i="2"/>
  <c r="BS68" i="2"/>
  <c r="BS69" i="2"/>
  <c r="BS70" i="2"/>
  <c r="BS71" i="2"/>
  <c r="BS72" i="2"/>
  <c r="BS73" i="2"/>
  <c r="BS74" i="2"/>
  <c r="BS75" i="2"/>
  <c r="BS76" i="2"/>
  <c r="BS77" i="2"/>
  <c r="BS78" i="2"/>
  <c r="BS79" i="2"/>
  <c r="BS80" i="2"/>
  <c r="BS81" i="2"/>
  <c r="BS82" i="2"/>
  <c r="BS83" i="2"/>
  <c r="BS84" i="2"/>
  <c r="BS85" i="2"/>
  <c r="BS86" i="2"/>
  <c r="BS87" i="2"/>
  <c r="BS88" i="2"/>
  <c r="BS89" i="2"/>
  <c r="BS90" i="2"/>
  <c r="BS91" i="2"/>
  <c r="BS92" i="2"/>
  <c r="BS93" i="2"/>
  <c r="BS94" i="2"/>
  <c r="BS95" i="2"/>
  <c r="BS96" i="2"/>
  <c r="BS97" i="2"/>
  <c r="BS98" i="2"/>
  <c r="BS99" i="2"/>
  <c r="BS100" i="2"/>
  <c r="BS101" i="2"/>
  <c r="BS102" i="2"/>
  <c r="BS103" i="2"/>
  <c r="BS104" i="2"/>
  <c r="BS105" i="2"/>
  <c r="BS106" i="2"/>
  <c r="BS107" i="2"/>
  <c r="BS108" i="2"/>
  <c r="BS109" i="2"/>
  <c r="BS110" i="2"/>
  <c r="BS111" i="2"/>
  <c r="BS112" i="2"/>
  <c r="BS113" i="2"/>
  <c r="BS114" i="2"/>
  <c r="BS115" i="2"/>
  <c r="BS9" i="2"/>
  <c r="BS6" i="2"/>
  <c r="BS7" i="2"/>
  <c r="BS5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R35" i="2"/>
  <c r="BR36" i="2"/>
  <c r="BR37" i="2"/>
  <c r="BR38" i="2"/>
  <c r="BR39" i="2"/>
  <c r="BR40" i="2"/>
  <c r="BR41" i="2"/>
  <c r="BR42" i="2"/>
  <c r="BR43" i="2"/>
  <c r="BR44" i="2"/>
  <c r="BR45" i="2"/>
  <c r="BR46" i="2"/>
  <c r="BR47" i="2"/>
  <c r="BR48" i="2"/>
  <c r="BR49" i="2"/>
  <c r="BR50" i="2"/>
  <c r="BR51" i="2"/>
  <c r="BR52" i="2"/>
  <c r="BR53" i="2"/>
  <c r="BR54" i="2"/>
  <c r="BR55" i="2"/>
  <c r="BR56" i="2"/>
  <c r="BR57" i="2"/>
  <c r="BR58" i="2"/>
  <c r="BR59" i="2"/>
  <c r="BR60" i="2"/>
  <c r="BR61" i="2"/>
  <c r="BR62" i="2"/>
  <c r="BR63" i="2"/>
  <c r="BR64" i="2"/>
  <c r="BR65" i="2"/>
  <c r="BR66" i="2"/>
  <c r="BR67" i="2"/>
  <c r="BR68" i="2"/>
  <c r="BR69" i="2"/>
  <c r="BR70" i="2"/>
  <c r="BR71" i="2"/>
  <c r="BR72" i="2"/>
  <c r="BR73" i="2"/>
  <c r="BR74" i="2"/>
  <c r="BR75" i="2"/>
  <c r="BR76" i="2"/>
  <c r="BR77" i="2"/>
  <c r="BR78" i="2"/>
  <c r="BR79" i="2"/>
  <c r="BR80" i="2"/>
  <c r="BR81" i="2"/>
  <c r="BR82" i="2"/>
  <c r="BR83" i="2"/>
  <c r="BR84" i="2"/>
  <c r="BR85" i="2"/>
  <c r="BR86" i="2"/>
  <c r="BR87" i="2"/>
  <c r="BR88" i="2"/>
  <c r="BR89" i="2"/>
  <c r="BR90" i="2"/>
  <c r="BR91" i="2"/>
  <c r="BR92" i="2"/>
  <c r="BR93" i="2"/>
  <c r="BR94" i="2"/>
  <c r="BR95" i="2"/>
  <c r="BR96" i="2"/>
  <c r="BR97" i="2"/>
  <c r="BR98" i="2"/>
  <c r="BR99" i="2"/>
  <c r="BR100" i="2"/>
  <c r="BR101" i="2"/>
  <c r="BR102" i="2"/>
  <c r="BR103" i="2"/>
  <c r="BR104" i="2"/>
  <c r="BR105" i="2"/>
  <c r="BR106" i="2"/>
  <c r="BR107" i="2"/>
  <c r="BR108" i="2"/>
  <c r="BR109" i="2"/>
  <c r="BR110" i="2"/>
  <c r="BR111" i="2"/>
  <c r="BR112" i="2"/>
  <c r="BR113" i="2"/>
  <c r="BR114" i="2"/>
  <c r="BR115" i="2"/>
  <c r="BR9" i="2"/>
  <c r="BR6" i="2"/>
  <c r="BR7" i="2"/>
  <c r="BR5" i="2"/>
  <c r="BQ11" i="2"/>
  <c r="BQ12" i="2"/>
  <c r="BQ13" i="2"/>
  <c r="BQ14" i="2"/>
  <c r="BQ15" i="2"/>
  <c r="BQ16" i="2"/>
  <c r="BQ17" i="2"/>
  <c r="BQ18" i="2"/>
  <c r="BQ19" i="2"/>
  <c r="BQ20" i="2"/>
  <c r="BQ21" i="2"/>
  <c r="BQ22" i="2"/>
  <c r="BQ23" i="2"/>
  <c r="BQ24" i="2"/>
  <c r="BQ25" i="2"/>
  <c r="BQ26" i="2"/>
  <c r="BQ27" i="2"/>
  <c r="BQ28" i="2"/>
  <c r="BQ29" i="2"/>
  <c r="BQ30" i="2"/>
  <c r="BQ31" i="2"/>
  <c r="BQ32" i="2"/>
  <c r="BQ33" i="2"/>
  <c r="BQ34" i="2"/>
  <c r="BQ35" i="2"/>
  <c r="BQ36" i="2"/>
  <c r="BQ37" i="2"/>
  <c r="BQ38" i="2"/>
  <c r="BQ39" i="2"/>
  <c r="BQ40" i="2"/>
  <c r="BQ41" i="2"/>
  <c r="BQ42" i="2"/>
  <c r="BQ43" i="2"/>
  <c r="BQ44" i="2"/>
  <c r="BQ45" i="2"/>
  <c r="BQ46" i="2"/>
  <c r="BQ47" i="2"/>
  <c r="BQ48" i="2"/>
  <c r="BQ49" i="2"/>
  <c r="BQ50" i="2"/>
  <c r="BQ51" i="2"/>
  <c r="BQ52" i="2"/>
  <c r="BQ53" i="2"/>
  <c r="BQ54" i="2"/>
  <c r="BQ55" i="2"/>
  <c r="BQ56" i="2"/>
  <c r="BQ57" i="2"/>
  <c r="BQ58" i="2"/>
  <c r="BQ59" i="2"/>
  <c r="BQ60" i="2"/>
  <c r="BQ61" i="2"/>
  <c r="BQ62" i="2"/>
  <c r="BQ63" i="2"/>
  <c r="BQ64" i="2"/>
  <c r="BQ65" i="2"/>
  <c r="BQ66" i="2"/>
  <c r="BQ67" i="2"/>
  <c r="BQ68" i="2"/>
  <c r="BQ69" i="2"/>
  <c r="BQ70" i="2"/>
  <c r="BQ71" i="2"/>
  <c r="BQ72" i="2"/>
  <c r="BQ73" i="2"/>
  <c r="BQ74" i="2"/>
  <c r="BQ75" i="2"/>
  <c r="BQ76" i="2"/>
  <c r="BQ77" i="2"/>
  <c r="BQ78" i="2"/>
  <c r="BQ79" i="2"/>
  <c r="BQ80" i="2"/>
  <c r="BQ81" i="2"/>
  <c r="BQ82" i="2"/>
  <c r="BQ83" i="2"/>
  <c r="BQ84" i="2"/>
  <c r="BQ85" i="2"/>
  <c r="BQ86" i="2"/>
  <c r="BQ87" i="2"/>
  <c r="BQ88" i="2"/>
  <c r="BQ89" i="2"/>
  <c r="BQ90" i="2"/>
  <c r="BQ91" i="2"/>
  <c r="BQ92" i="2"/>
  <c r="BQ93" i="2"/>
  <c r="BQ94" i="2"/>
  <c r="BQ95" i="2"/>
  <c r="BQ96" i="2"/>
  <c r="BQ97" i="2"/>
  <c r="BQ98" i="2"/>
  <c r="BQ99" i="2"/>
  <c r="BQ100" i="2"/>
  <c r="BQ101" i="2"/>
  <c r="BQ102" i="2"/>
  <c r="BQ103" i="2"/>
  <c r="BQ104" i="2"/>
  <c r="BQ105" i="2"/>
  <c r="BQ106" i="2"/>
  <c r="BQ107" i="2"/>
  <c r="BQ108" i="2"/>
  <c r="BQ109" i="2"/>
  <c r="BQ110" i="2"/>
  <c r="BQ111" i="2"/>
  <c r="BQ112" i="2"/>
  <c r="BQ113" i="2"/>
  <c r="BQ114" i="2"/>
  <c r="BQ115" i="2"/>
  <c r="BQ10" i="2"/>
  <c r="BQ9" i="2"/>
  <c r="BQ6" i="2"/>
  <c r="BQ7" i="2"/>
  <c r="BQ5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23" i="2"/>
  <c r="BP24" i="2"/>
  <c r="BP25" i="2"/>
  <c r="BP26" i="2"/>
  <c r="BP27" i="2"/>
  <c r="BP28" i="2"/>
  <c r="BP29" i="2"/>
  <c r="BP30" i="2"/>
  <c r="BP31" i="2"/>
  <c r="BP32" i="2"/>
  <c r="BP33" i="2"/>
  <c r="BP34" i="2"/>
  <c r="BP35" i="2"/>
  <c r="BP36" i="2"/>
  <c r="BP37" i="2"/>
  <c r="BP38" i="2"/>
  <c r="BP39" i="2"/>
  <c r="BP40" i="2"/>
  <c r="BP41" i="2"/>
  <c r="BP42" i="2"/>
  <c r="BP43" i="2"/>
  <c r="BP44" i="2"/>
  <c r="BP45" i="2"/>
  <c r="BP46" i="2"/>
  <c r="BP47" i="2"/>
  <c r="BP48" i="2"/>
  <c r="BP49" i="2"/>
  <c r="BP50" i="2"/>
  <c r="BP51" i="2"/>
  <c r="BP52" i="2"/>
  <c r="BP53" i="2"/>
  <c r="BP54" i="2"/>
  <c r="BP55" i="2"/>
  <c r="BP56" i="2"/>
  <c r="BP57" i="2"/>
  <c r="BP58" i="2"/>
  <c r="BP59" i="2"/>
  <c r="BP60" i="2"/>
  <c r="BP61" i="2"/>
  <c r="BP62" i="2"/>
  <c r="BP63" i="2"/>
  <c r="BP64" i="2"/>
  <c r="BP65" i="2"/>
  <c r="BP66" i="2"/>
  <c r="BP67" i="2"/>
  <c r="BP68" i="2"/>
  <c r="BP69" i="2"/>
  <c r="BP70" i="2"/>
  <c r="BP71" i="2"/>
  <c r="BP72" i="2"/>
  <c r="BP73" i="2"/>
  <c r="BP74" i="2"/>
  <c r="BP75" i="2"/>
  <c r="BP76" i="2"/>
  <c r="BP77" i="2"/>
  <c r="BP78" i="2"/>
  <c r="BP79" i="2"/>
  <c r="BP80" i="2"/>
  <c r="BP81" i="2"/>
  <c r="BP82" i="2"/>
  <c r="BP83" i="2"/>
  <c r="BP84" i="2"/>
  <c r="BP85" i="2"/>
  <c r="BP86" i="2"/>
  <c r="BP87" i="2"/>
  <c r="BP88" i="2"/>
  <c r="BP89" i="2"/>
  <c r="BP90" i="2"/>
  <c r="BP91" i="2"/>
  <c r="BP92" i="2"/>
  <c r="BP93" i="2"/>
  <c r="BP94" i="2"/>
  <c r="BP95" i="2"/>
  <c r="BP96" i="2"/>
  <c r="BP97" i="2"/>
  <c r="BP98" i="2"/>
  <c r="BP99" i="2"/>
  <c r="BP100" i="2"/>
  <c r="BP101" i="2"/>
  <c r="BP102" i="2"/>
  <c r="BP103" i="2"/>
  <c r="BP104" i="2"/>
  <c r="BP105" i="2"/>
  <c r="BP106" i="2"/>
  <c r="BP107" i="2"/>
  <c r="BP108" i="2"/>
  <c r="BP109" i="2"/>
  <c r="BP110" i="2"/>
  <c r="BP111" i="2"/>
  <c r="BP112" i="2"/>
  <c r="BP113" i="2"/>
  <c r="BP114" i="2"/>
  <c r="BP115" i="2"/>
  <c r="BP9" i="2"/>
  <c r="BP7" i="2"/>
  <c r="BN30" i="2"/>
  <c r="BN31" i="2"/>
  <c r="BN32" i="2"/>
  <c r="BN33" i="2"/>
  <c r="BN34" i="2"/>
  <c r="BN35" i="2"/>
  <c r="BN36" i="2"/>
  <c r="BN37" i="2"/>
  <c r="BN38" i="2"/>
  <c r="BN39" i="2"/>
  <c r="BN40" i="2"/>
  <c r="BN41" i="2"/>
  <c r="BN42" i="2"/>
  <c r="BN43" i="2"/>
  <c r="BN44" i="2"/>
  <c r="BN45" i="2"/>
  <c r="BN46" i="2"/>
  <c r="BN47" i="2"/>
  <c r="BN48" i="2"/>
  <c r="BN49" i="2"/>
  <c r="BN50" i="2"/>
  <c r="BN51" i="2"/>
  <c r="BN52" i="2"/>
  <c r="BN53" i="2"/>
  <c r="BN54" i="2"/>
  <c r="BN55" i="2"/>
  <c r="BN56" i="2"/>
  <c r="BN57" i="2"/>
  <c r="BN58" i="2"/>
  <c r="BN59" i="2"/>
  <c r="BN60" i="2"/>
  <c r="BN61" i="2"/>
  <c r="BN62" i="2"/>
  <c r="BN63" i="2"/>
  <c r="BN64" i="2"/>
  <c r="BN65" i="2"/>
  <c r="BN66" i="2"/>
  <c r="BN67" i="2"/>
  <c r="BN68" i="2"/>
  <c r="BN69" i="2"/>
  <c r="BN70" i="2"/>
  <c r="BN71" i="2"/>
  <c r="BN72" i="2"/>
  <c r="BN73" i="2"/>
  <c r="BN74" i="2"/>
  <c r="BN75" i="2"/>
  <c r="BN76" i="2"/>
  <c r="BN77" i="2"/>
  <c r="BN78" i="2"/>
  <c r="BN79" i="2"/>
  <c r="BN80" i="2"/>
  <c r="BN81" i="2"/>
  <c r="BN82" i="2"/>
  <c r="BN83" i="2"/>
  <c r="BN84" i="2"/>
  <c r="BN85" i="2"/>
  <c r="BN86" i="2"/>
  <c r="BN87" i="2"/>
  <c r="BN88" i="2"/>
  <c r="BN89" i="2"/>
  <c r="BN90" i="2"/>
  <c r="BN91" i="2"/>
  <c r="BN92" i="2"/>
  <c r="BN93" i="2"/>
  <c r="BN94" i="2"/>
  <c r="BN95" i="2"/>
  <c r="BN96" i="2"/>
  <c r="BN97" i="2"/>
  <c r="BN98" i="2"/>
  <c r="BN99" i="2"/>
  <c r="BN100" i="2"/>
  <c r="BN101" i="2"/>
  <c r="BN102" i="2"/>
  <c r="BN103" i="2"/>
  <c r="BN104" i="2"/>
  <c r="BN105" i="2"/>
  <c r="BN106" i="2"/>
  <c r="BN107" i="2"/>
  <c r="BN108" i="2"/>
  <c r="BN109" i="2"/>
  <c r="BN110" i="2"/>
  <c r="BN111" i="2"/>
  <c r="BN112" i="2"/>
  <c r="BN113" i="2"/>
  <c r="BN114" i="2"/>
  <c r="BN115" i="2"/>
  <c r="BN29" i="2"/>
  <c r="BN23" i="2"/>
  <c r="BN24" i="2"/>
  <c r="BN25" i="2"/>
  <c r="BN26" i="2"/>
  <c r="BN27" i="2"/>
  <c r="BN28" i="2"/>
  <c r="BN10" i="2"/>
  <c r="BN11" i="2"/>
  <c r="BN12" i="2"/>
  <c r="BN13" i="2"/>
  <c r="BN14" i="2"/>
  <c r="BN15" i="2"/>
  <c r="BN16" i="2"/>
  <c r="BN17" i="2"/>
  <c r="BN18" i="2"/>
  <c r="BN19" i="2"/>
  <c r="BN20" i="2"/>
  <c r="BN21" i="2"/>
  <c r="BN22" i="2"/>
  <c r="BN9" i="2"/>
  <c r="BO10" i="2"/>
  <c r="BO11" i="2"/>
  <c r="BO12" i="2"/>
  <c r="BO13" i="2"/>
  <c r="BO14" i="2"/>
  <c r="BO15" i="2"/>
  <c r="BO16" i="2"/>
  <c r="BO17" i="2"/>
  <c r="BO18" i="2"/>
  <c r="BO19" i="2"/>
  <c r="BO20" i="2"/>
  <c r="BO21" i="2"/>
  <c r="BO22" i="2"/>
  <c r="BO23" i="2"/>
  <c r="BO24" i="2"/>
  <c r="BO25" i="2"/>
  <c r="BO26" i="2"/>
  <c r="BO27" i="2"/>
  <c r="BO28" i="2"/>
  <c r="BO29" i="2"/>
  <c r="BO30" i="2"/>
  <c r="BO31" i="2"/>
  <c r="BO32" i="2"/>
  <c r="BO33" i="2"/>
  <c r="BO34" i="2"/>
  <c r="BO35" i="2"/>
  <c r="BO36" i="2"/>
  <c r="BO37" i="2"/>
  <c r="BO38" i="2"/>
  <c r="BO39" i="2"/>
  <c r="BO40" i="2"/>
  <c r="BO41" i="2"/>
  <c r="BO42" i="2"/>
  <c r="BO43" i="2"/>
  <c r="BO44" i="2"/>
  <c r="BO45" i="2"/>
  <c r="BO46" i="2"/>
  <c r="BO47" i="2"/>
  <c r="BO48" i="2"/>
  <c r="BO49" i="2"/>
  <c r="BO50" i="2"/>
  <c r="BO51" i="2"/>
  <c r="BO52" i="2"/>
  <c r="BO53" i="2"/>
  <c r="BO54" i="2"/>
  <c r="BO55" i="2"/>
  <c r="BO56" i="2"/>
  <c r="BO57" i="2"/>
  <c r="BO58" i="2"/>
  <c r="BO59" i="2"/>
  <c r="BO60" i="2"/>
  <c r="BO61" i="2"/>
  <c r="BO62" i="2"/>
  <c r="BO63" i="2"/>
  <c r="BO64" i="2"/>
  <c r="BO65" i="2"/>
  <c r="BO66" i="2"/>
  <c r="BO67" i="2"/>
  <c r="BO68" i="2"/>
  <c r="BO69" i="2"/>
  <c r="BO70" i="2"/>
  <c r="BO71" i="2"/>
  <c r="BO72" i="2"/>
  <c r="BO73" i="2"/>
  <c r="BO74" i="2"/>
  <c r="BO75" i="2"/>
  <c r="BO76" i="2"/>
  <c r="BO77" i="2"/>
  <c r="BO78" i="2"/>
  <c r="BO79" i="2"/>
  <c r="BO80" i="2"/>
  <c r="BO81" i="2"/>
  <c r="BO82" i="2"/>
  <c r="BO83" i="2"/>
  <c r="BO84" i="2"/>
  <c r="BO85" i="2"/>
  <c r="BO86" i="2"/>
  <c r="BO87" i="2"/>
  <c r="BO88" i="2"/>
  <c r="BO89" i="2"/>
  <c r="BO90" i="2"/>
  <c r="BO91" i="2"/>
  <c r="BO92" i="2"/>
  <c r="BO93" i="2"/>
  <c r="BO94" i="2"/>
  <c r="BO95" i="2"/>
  <c r="BO96" i="2"/>
  <c r="BO97" i="2"/>
  <c r="BO98" i="2"/>
  <c r="BO99" i="2"/>
  <c r="BO100" i="2"/>
  <c r="BO101" i="2"/>
  <c r="BO102" i="2"/>
  <c r="BO103" i="2"/>
  <c r="BO104" i="2"/>
  <c r="BO105" i="2"/>
  <c r="BO106" i="2"/>
  <c r="BO107" i="2"/>
  <c r="BO108" i="2"/>
  <c r="BO109" i="2"/>
  <c r="BO110" i="2"/>
  <c r="BO111" i="2"/>
  <c r="BO112" i="2"/>
  <c r="BO113" i="2"/>
  <c r="BO114" i="2"/>
  <c r="BO115" i="2"/>
  <c r="BO9" i="2"/>
  <c r="BN7" i="2"/>
  <c r="BN6" i="2"/>
  <c r="BP6" i="2"/>
  <c r="BP5" i="2"/>
  <c r="BW5" i="2" s="1"/>
  <c r="BO7" i="2"/>
  <c r="BO6" i="2"/>
  <c r="BO5" i="2"/>
  <c r="BW479" i="2" l="1"/>
  <c r="BU479" i="2"/>
  <c r="BU478" i="2"/>
  <c r="BW478" i="2"/>
  <c r="BW477" i="2"/>
  <c r="BU477" i="2"/>
  <c r="BW476" i="2"/>
  <c r="BU476" i="2"/>
  <c r="BU475" i="2"/>
  <c r="BW475" i="2"/>
  <c r="BW474" i="2"/>
  <c r="BU474" i="2"/>
  <c r="BW455" i="2"/>
  <c r="BU455" i="2"/>
  <c r="BU439" i="2"/>
  <c r="BW439" i="2"/>
  <c r="BW467" i="2"/>
  <c r="BU467" i="2"/>
  <c r="BU451" i="2"/>
  <c r="BW451" i="2"/>
  <c r="BU415" i="2"/>
  <c r="BW415" i="2"/>
  <c r="BU472" i="2"/>
  <c r="BW472" i="2"/>
  <c r="BW470" i="2"/>
  <c r="BU470" i="2"/>
  <c r="BU454" i="2"/>
  <c r="BW454" i="2"/>
  <c r="BW452" i="2"/>
  <c r="BU452" i="2"/>
  <c r="BU436" i="2"/>
  <c r="BW436" i="2"/>
  <c r="BW434" i="2"/>
  <c r="BU434" i="2"/>
  <c r="BU418" i="2"/>
  <c r="BW418" i="2"/>
  <c r="BW416" i="2"/>
  <c r="BU416" i="2"/>
  <c r="BW419" i="2"/>
  <c r="BU419" i="2"/>
  <c r="BU457" i="2"/>
  <c r="BW457" i="2"/>
  <c r="BU421" i="2"/>
  <c r="BW421" i="2"/>
  <c r="BU460" i="2"/>
  <c r="BW460" i="2"/>
  <c r="BW458" i="2"/>
  <c r="BU458" i="2"/>
  <c r="BU442" i="2"/>
  <c r="BW442" i="2"/>
  <c r="BW440" i="2"/>
  <c r="BU440" i="2"/>
  <c r="BU424" i="2"/>
  <c r="BW424" i="2"/>
  <c r="BW422" i="2"/>
  <c r="BU422" i="2"/>
  <c r="BU463" i="2"/>
  <c r="BW463" i="2"/>
  <c r="BW461" i="2"/>
  <c r="BU461" i="2"/>
  <c r="BU445" i="2"/>
  <c r="BW445" i="2"/>
  <c r="BW443" i="2"/>
  <c r="BU443" i="2"/>
  <c r="BU427" i="2"/>
  <c r="BW427" i="2"/>
  <c r="BW425" i="2"/>
  <c r="BU425" i="2"/>
  <c r="BU466" i="2"/>
  <c r="BW466" i="2"/>
  <c r="BW464" i="2"/>
  <c r="BU464" i="2"/>
  <c r="BU448" i="2"/>
  <c r="BW448" i="2"/>
  <c r="BW446" i="2"/>
  <c r="BU446" i="2"/>
  <c r="BU430" i="2"/>
  <c r="BW430" i="2"/>
  <c r="BW428" i="2"/>
  <c r="BU428" i="2"/>
  <c r="BW437" i="2"/>
  <c r="BU437" i="2"/>
  <c r="BU469" i="2"/>
  <c r="BW469" i="2"/>
  <c r="BW449" i="2"/>
  <c r="BU449" i="2"/>
  <c r="BU433" i="2"/>
  <c r="BW433" i="2"/>
  <c r="BW431" i="2"/>
  <c r="BU431" i="2"/>
  <c r="BU444" i="2"/>
  <c r="BW471" i="2"/>
  <c r="BW468" i="2"/>
  <c r="BW465" i="2"/>
  <c r="BW462" i="2"/>
  <c r="BW459" i="2"/>
  <c r="BW456" i="2"/>
  <c r="BW453" i="2"/>
  <c r="BW450" i="2"/>
  <c r="BW447" i="2"/>
  <c r="BW441" i="2"/>
  <c r="BW438" i="2"/>
  <c r="BW435" i="2"/>
  <c r="BW432" i="2"/>
  <c r="BW429" i="2"/>
  <c r="BW426" i="2"/>
  <c r="BW423" i="2"/>
  <c r="BW420" i="2"/>
  <c r="BW417" i="2"/>
  <c r="BW399" i="2"/>
  <c r="BU399" i="2"/>
  <c r="BU400" i="2"/>
  <c r="BW400" i="2"/>
  <c r="BU401" i="2"/>
  <c r="BW401" i="2"/>
  <c r="BW414" i="2"/>
  <c r="BU414" i="2"/>
  <c r="BU398" i="2"/>
  <c r="BW398" i="2"/>
  <c r="BW411" i="2"/>
  <c r="BU411" i="2"/>
  <c r="BU412" i="2"/>
  <c r="BW412" i="2"/>
  <c r="BU413" i="2"/>
  <c r="BW413" i="2"/>
  <c r="BW408" i="2"/>
  <c r="BU408" i="2"/>
  <c r="BW409" i="2"/>
  <c r="BU409" i="2"/>
  <c r="BW405" i="2"/>
  <c r="BU405" i="2"/>
  <c r="BW406" i="2"/>
  <c r="BU406" i="2"/>
  <c r="BU410" i="2"/>
  <c r="BW410" i="2"/>
  <c r="BW402" i="2"/>
  <c r="BU402" i="2"/>
  <c r="BU403" i="2"/>
  <c r="BW403" i="2"/>
  <c r="BU404" i="2"/>
  <c r="BW404" i="2"/>
  <c r="BU407" i="2"/>
  <c r="BW407" i="2"/>
  <c r="BU390" i="2"/>
  <c r="BW390" i="2"/>
  <c r="BU393" i="2"/>
  <c r="BW393" i="2"/>
  <c r="BW391" i="2"/>
  <c r="BU391" i="2"/>
  <c r="BU396" i="2"/>
  <c r="BW396" i="2"/>
  <c r="BW394" i="2"/>
  <c r="BU394" i="2"/>
  <c r="BW395" i="2"/>
  <c r="BW392" i="2"/>
  <c r="BW380" i="2"/>
  <c r="BU380" i="2"/>
  <c r="BW389" i="2"/>
  <c r="BU389" i="2"/>
  <c r="BU387" i="2"/>
  <c r="BU379" i="2" s="1"/>
  <c r="BW387" i="2"/>
  <c r="BW386" i="2"/>
  <c r="BU386" i="2"/>
  <c r="BU384" i="2"/>
  <c r="BW384" i="2"/>
  <c r="BW381" i="2"/>
  <c r="BU381" i="2"/>
  <c r="BW383" i="2"/>
  <c r="BU383" i="2"/>
  <c r="BW382" i="2"/>
  <c r="BW388" i="2"/>
  <c r="BW385" i="2"/>
  <c r="BW376" i="2"/>
  <c r="BU376" i="2"/>
  <c r="BU375" i="2"/>
  <c r="BW375" i="2"/>
  <c r="BU374" i="2"/>
  <c r="BW374" i="2"/>
  <c r="BU378" i="2"/>
  <c r="BW378" i="2"/>
  <c r="BU377" i="2"/>
  <c r="BW377" i="2"/>
  <c r="BW373" i="2"/>
  <c r="BU373" i="2"/>
  <c r="BU372" i="2"/>
  <c r="BW372" i="2"/>
  <c r="BW371" i="2"/>
  <c r="BU371" i="2"/>
  <c r="BU370" i="2"/>
  <c r="BW370" i="2"/>
  <c r="BW369" i="2"/>
  <c r="BU369" i="2"/>
  <c r="BW366" i="2"/>
  <c r="BU366" i="2"/>
  <c r="BU365" i="2"/>
  <c r="BW365" i="2"/>
  <c r="BU363" i="2"/>
  <c r="BW363" i="2"/>
  <c r="BU360" i="2"/>
  <c r="BW360" i="2"/>
  <c r="BU362" i="2"/>
  <c r="BW362" i="2"/>
  <c r="BU359" i="2"/>
  <c r="BW359" i="2"/>
  <c r="BU358" i="2"/>
  <c r="BU361" i="2"/>
  <c r="BU364" i="2"/>
  <c r="BW355" i="2"/>
  <c r="BU355" i="2"/>
  <c r="BU354" i="2"/>
  <c r="BW354" i="2"/>
  <c r="BW352" i="2"/>
  <c r="BU352" i="2"/>
  <c r="BU351" i="2"/>
  <c r="BW351" i="2"/>
  <c r="BW356" i="2"/>
  <c r="BW353" i="2"/>
  <c r="BW350" i="2"/>
  <c r="BU350" i="2"/>
  <c r="BW346" i="2"/>
  <c r="BU346" i="2"/>
  <c r="BW345" i="2"/>
  <c r="BU345" i="2"/>
  <c r="BW344" i="2"/>
  <c r="BU344" i="2"/>
  <c r="BW342" i="2"/>
  <c r="BU342" i="2"/>
  <c r="BW341" i="2"/>
  <c r="BU341" i="2"/>
  <c r="BW339" i="2"/>
  <c r="BU339" i="2"/>
  <c r="BW338" i="2"/>
  <c r="BU338" i="2"/>
  <c r="BW337" i="2"/>
  <c r="BU337" i="2"/>
  <c r="BW336" i="2"/>
  <c r="BU336" i="2"/>
  <c r="BW335" i="2"/>
  <c r="BU335" i="2"/>
  <c r="BW333" i="2"/>
  <c r="BU333" i="2"/>
  <c r="BW332" i="2"/>
  <c r="BU332" i="2"/>
  <c r="BU331" i="2"/>
  <c r="BW330" i="2"/>
  <c r="BU330" i="2"/>
  <c r="BW329" i="2"/>
  <c r="BU329" i="2"/>
  <c r="BW327" i="2"/>
  <c r="BU327" i="2"/>
  <c r="BW326" i="2"/>
  <c r="BU326" i="2"/>
  <c r="BU325" i="2"/>
  <c r="BW324" i="2"/>
  <c r="BU324" i="2"/>
  <c r="BW323" i="2"/>
  <c r="BU323" i="2"/>
  <c r="BU319" i="2"/>
  <c r="BW319" i="2"/>
  <c r="BU316" i="2"/>
  <c r="BW316" i="2"/>
  <c r="BW305" i="2"/>
  <c r="BU305" i="2"/>
  <c r="BW320" i="2"/>
  <c r="BU320" i="2"/>
  <c r="BW317" i="2"/>
  <c r="BU317" i="2"/>
  <c r="BU310" i="2"/>
  <c r="BW310" i="2"/>
  <c r="BW314" i="2"/>
  <c r="BU314" i="2"/>
  <c r="BU307" i="2"/>
  <c r="BW307" i="2"/>
  <c r="BW311" i="2"/>
  <c r="BU311" i="2"/>
  <c r="BU304" i="2"/>
  <c r="BW304" i="2"/>
  <c r="BU313" i="2"/>
  <c r="BW313" i="2"/>
  <c r="BW308" i="2"/>
  <c r="BU308" i="2"/>
  <c r="BW318" i="2"/>
  <c r="BW315" i="2"/>
  <c r="BW312" i="2"/>
  <c r="BW309" i="2"/>
  <c r="BW306" i="2"/>
  <c r="BW303" i="2"/>
  <c r="BU303" i="2"/>
  <c r="BW293" i="2"/>
  <c r="BU293" i="2"/>
  <c r="BW296" i="2"/>
  <c r="BU296" i="2"/>
  <c r="BW290" i="2"/>
  <c r="BU290" i="2"/>
  <c r="BW284" i="2"/>
  <c r="BU284" i="2"/>
  <c r="BW278" i="2"/>
  <c r="BU278" i="2"/>
  <c r="BW272" i="2"/>
  <c r="BU272" i="2"/>
  <c r="BW266" i="2"/>
  <c r="BU266" i="2"/>
  <c r="BW281" i="2"/>
  <c r="BU281" i="2"/>
  <c r="BW275" i="2"/>
  <c r="BU275" i="2"/>
  <c r="BW299" i="2"/>
  <c r="BU299" i="2"/>
  <c r="BW287" i="2"/>
  <c r="BU287" i="2"/>
  <c r="BW269" i="2"/>
  <c r="BU269" i="2"/>
  <c r="BU294" i="2"/>
  <c r="BU285" i="2"/>
  <c r="BW300" i="2"/>
  <c r="BW297" i="2"/>
  <c r="BW291" i="2"/>
  <c r="BW288" i="2"/>
  <c r="BW282" i="2"/>
  <c r="BW279" i="2"/>
  <c r="BW276" i="2"/>
  <c r="BW273" i="2"/>
  <c r="BW270" i="2"/>
  <c r="BW267" i="2"/>
  <c r="BU264" i="2"/>
  <c r="BW262" i="2"/>
  <c r="BU262" i="2"/>
  <c r="BU255" i="2"/>
  <c r="BW255" i="2"/>
  <c r="BW256" i="2"/>
  <c r="BU256" i="2"/>
  <c r="BU258" i="2"/>
  <c r="BW258" i="2"/>
  <c r="BW259" i="2"/>
  <c r="BU259" i="2"/>
  <c r="BU261" i="2"/>
  <c r="BW261" i="2"/>
  <c r="BW260" i="2"/>
  <c r="BW257" i="2"/>
  <c r="BW254" i="2"/>
  <c r="BW502" i="2" s="1"/>
  <c r="BU254" i="2"/>
  <c r="BU502" i="2" s="1"/>
  <c r="BU250" i="2"/>
  <c r="BW250" i="2"/>
  <c r="BU247" i="2"/>
  <c r="BW247" i="2"/>
  <c r="BU244" i="2"/>
  <c r="BW244" i="2"/>
  <c r="BW251" i="2"/>
  <c r="BU251" i="2"/>
  <c r="BU248" i="2"/>
  <c r="BW248" i="2"/>
  <c r="BW245" i="2"/>
  <c r="BU245" i="2"/>
  <c r="BW243" i="2"/>
  <c r="BU243" i="2"/>
  <c r="BW240" i="2"/>
  <c r="BU240" i="2"/>
  <c r="BW239" i="2"/>
  <c r="BU239" i="2"/>
  <c r="BW238" i="2"/>
  <c r="BU238" i="2"/>
  <c r="BW237" i="2"/>
  <c r="BU237" i="2"/>
  <c r="BU229" i="2"/>
  <c r="BW229" i="2"/>
  <c r="BU223" i="2"/>
  <c r="BW223" i="2"/>
  <c r="BW206" i="2"/>
  <c r="BU206" i="2"/>
  <c r="BU200" i="2"/>
  <c r="BW200" i="2"/>
  <c r="BW215" i="2"/>
  <c r="BU215" i="2"/>
  <c r="BU212" i="2"/>
  <c r="BW212" i="2"/>
  <c r="BU209" i="2"/>
  <c r="BW209" i="2"/>
  <c r="BW233" i="2"/>
  <c r="BU233" i="2"/>
  <c r="BW230" i="2"/>
  <c r="BU230" i="2"/>
  <c r="BW224" i="2"/>
  <c r="BU224" i="2"/>
  <c r="BW221" i="2"/>
  <c r="BU221" i="2"/>
  <c r="BW203" i="2"/>
  <c r="BU203" i="2"/>
  <c r="BU232" i="2"/>
  <c r="BW232" i="2"/>
  <c r="BW227" i="2"/>
  <c r="BU227" i="2"/>
  <c r="BW218" i="2"/>
  <c r="BU218" i="2"/>
  <c r="BW235" i="2"/>
  <c r="BW226" i="2"/>
  <c r="BW220" i="2"/>
  <c r="BW217" i="2"/>
  <c r="BW214" i="2"/>
  <c r="BW211" i="2"/>
  <c r="BW208" i="2"/>
  <c r="BW205" i="2"/>
  <c r="BW202" i="2"/>
  <c r="BW199" i="2"/>
  <c r="BU198" i="2"/>
  <c r="BW198" i="2"/>
  <c r="BU195" i="2"/>
  <c r="BW195" i="2"/>
  <c r="BU171" i="2"/>
  <c r="BW171" i="2"/>
  <c r="BU192" i="2"/>
  <c r="BW192" i="2"/>
  <c r="BU189" i="2"/>
  <c r="BW189" i="2"/>
  <c r="BU186" i="2"/>
  <c r="BW186" i="2"/>
  <c r="BU183" i="2"/>
  <c r="BW183" i="2"/>
  <c r="BU180" i="2"/>
  <c r="BW180" i="2"/>
  <c r="BU177" i="2"/>
  <c r="BW177" i="2"/>
  <c r="BU174" i="2"/>
  <c r="BW174" i="2"/>
  <c r="BW193" i="2"/>
  <c r="BU193" i="2"/>
  <c r="BW190" i="2"/>
  <c r="BU190" i="2"/>
  <c r="BW187" i="2"/>
  <c r="BU187" i="2"/>
  <c r="BW184" i="2"/>
  <c r="BU184" i="2"/>
  <c r="BW181" i="2"/>
  <c r="BU181" i="2"/>
  <c r="BW178" i="2"/>
  <c r="BU178" i="2"/>
  <c r="BW175" i="2"/>
  <c r="BU175" i="2"/>
  <c r="BW172" i="2"/>
  <c r="BU172" i="2"/>
  <c r="BU170" i="2"/>
  <c r="BW170" i="2"/>
  <c r="BU165" i="2"/>
  <c r="BW165" i="2"/>
  <c r="BW163" i="2"/>
  <c r="BU163" i="2"/>
  <c r="BW166" i="2"/>
  <c r="BU166" i="2"/>
  <c r="BU162" i="2"/>
  <c r="BW162" i="2"/>
  <c r="BW167" i="2"/>
  <c r="BW164" i="2"/>
  <c r="BW168" i="2"/>
  <c r="BU161" i="2"/>
  <c r="BW161" i="2"/>
  <c r="BW159" i="2"/>
  <c r="BU159" i="2"/>
  <c r="BU158" i="2"/>
  <c r="BW158" i="2"/>
  <c r="BU157" i="2"/>
  <c r="BW157" i="2"/>
  <c r="BU154" i="2"/>
  <c r="BW154" i="2"/>
  <c r="BU153" i="2"/>
  <c r="BW153" i="2"/>
  <c r="BU152" i="2"/>
  <c r="BW152" i="2"/>
  <c r="BU149" i="2"/>
  <c r="BW149" i="2"/>
  <c r="BU146" i="2"/>
  <c r="BW146" i="2"/>
  <c r="BW144" i="2"/>
  <c r="BU143" i="2"/>
  <c r="BW143" i="2"/>
  <c r="BU141" i="2"/>
  <c r="BW141" i="2"/>
  <c r="BW139" i="2"/>
  <c r="BU139" i="2"/>
  <c r="BW135" i="2"/>
  <c r="BU135" i="2"/>
  <c r="BW129" i="2"/>
  <c r="BU129" i="2"/>
  <c r="BW123" i="2"/>
  <c r="BU123" i="2"/>
  <c r="BW132" i="2"/>
  <c r="BU132" i="2"/>
  <c r="BW126" i="2"/>
  <c r="BU126" i="2"/>
  <c r="BW120" i="2"/>
  <c r="BU120" i="2"/>
  <c r="BW136" i="2"/>
  <c r="BW133" i="2"/>
  <c r="BW130" i="2"/>
  <c r="BW127" i="2"/>
  <c r="BW124" i="2"/>
  <c r="BW121" i="2"/>
  <c r="BW119" i="2"/>
  <c r="BU118" i="2"/>
  <c r="BW118" i="2"/>
  <c r="M92" i="3"/>
  <c r="K67" i="3"/>
  <c r="K66" i="3"/>
  <c r="E66" i="3"/>
  <c r="K65" i="3"/>
  <c r="E65" i="3"/>
  <c r="B65" i="3"/>
  <c r="K64" i="3"/>
  <c r="E64" i="3"/>
  <c r="B64" i="3"/>
  <c r="K63" i="3"/>
  <c r="E63" i="3"/>
  <c r="M45" i="3"/>
  <c r="M44" i="3"/>
  <c r="M43" i="3"/>
  <c r="M41" i="3"/>
  <c r="H38" i="3"/>
  <c r="E38" i="3"/>
  <c r="B38" i="3"/>
  <c r="M37" i="3"/>
  <c r="H37" i="3"/>
  <c r="E37" i="3"/>
  <c r="B37" i="3"/>
  <c r="H36" i="3"/>
  <c r="E36" i="3"/>
  <c r="B36" i="3"/>
  <c r="M35" i="3"/>
  <c r="H35" i="3"/>
  <c r="E35" i="3"/>
  <c r="B35" i="3"/>
  <c r="H34" i="3"/>
  <c r="E34" i="3"/>
  <c r="B34" i="3"/>
  <c r="E13" i="3"/>
  <c r="E12" i="3"/>
  <c r="E11" i="3"/>
  <c r="E10" i="3"/>
  <c r="E9" i="3"/>
  <c r="H8" i="3"/>
  <c r="E8" i="3"/>
  <c r="B8" i="3"/>
  <c r="H7" i="3"/>
  <c r="E7" i="3"/>
  <c r="B7" i="3"/>
  <c r="H6" i="3"/>
  <c r="E6" i="3"/>
  <c r="B6" i="3"/>
  <c r="H5" i="3"/>
  <c r="E5" i="3"/>
  <c r="B5" i="3"/>
  <c r="H4" i="3"/>
  <c r="BM593" i="2"/>
  <c r="BL593" i="2"/>
  <c r="BK593" i="2"/>
  <c r="BJ593" i="2"/>
  <c r="BI593" i="2"/>
  <c r="BH593" i="2"/>
  <c r="BG593" i="2"/>
  <c r="BF593" i="2"/>
  <c r="BE593" i="2"/>
  <c r="BD593" i="2"/>
  <c r="BC593" i="2"/>
  <c r="BB593" i="2"/>
  <c r="BA593" i="2"/>
  <c r="AZ593" i="2"/>
  <c r="AY593" i="2"/>
  <c r="AX593" i="2"/>
  <c r="AW593" i="2"/>
  <c r="AV593" i="2"/>
  <c r="AU593" i="2"/>
  <c r="AT593" i="2"/>
  <c r="AS593" i="2"/>
  <c r="AR593" i="2"/>
  <c r="AQ593" i="2"/>
  <c r="AP593" i="2"/>
  <c r="AO593" i="2"/>
  <c r="AN593" i="2"/>
  <c r="AM593" i="2"/>
  <c r="AL593" i="2"/>
  <c r="AK593" i="2"/>
  <c r="AJ593" i="2"/>
  <c r="AI593" i="2"/>
  <c r="AH593" i="2"/>
  <c r="AG593" i="2"/>
  <c r="AF593" i="2"/>
  <c r="AE593" i="2"/>
  <c r="AD593" i="2"/>
  <c r="AC593" i="2"/>
  <c r="AB593" i="2"/>
  <c r="AA593" i="2"/>
  <c r="N593" i="2"/>
  <c r="M593" i="2"/>
  <c r="L593" i="2"/>
  <c r="H593" i="2"/>
  <c r="F593" i="2"/>
  <c r="E593" i="2"/>
  <c r="BM591" i="2"/>
  <c r="BL591" i="2"/>
  <c r="BK591" i="2"/>
  <c r="BJ591" i="2"/>
  <c r="BI591" i="2"/>
  <c r="BH591" i="2"/>
  <c r="BG591" i="2"/>
  <c r="BF591" i="2"/>
  <c r="BE591" i="2"/>
  <c r="BD591" i="2"/>
  <c r="BC591" i="2"/>
  <c r="BB591" i="2"/>
  <c r="BA591" i="2"/>
  <c r="AZ591" i="2"/>
  <c r="AY591" i="2"/>
  <c r="AX591" i="2"/>
  <c r="AW591" i="2"/>
  <c r="AV591" i="2"/>
  <c r="AU591" i="2"/>
  <c r="AT591" i="2"/>
  <c r="AS591" i="2"/>
  <c r="AR591" i="2"/>
  <c r="AQ591" i="2"/>
  <c r="AP591" i="2"/>
  <c r="AO591" i="2"/>
  <c r="AN591" i="2"/>
  <c r="AM591" i="2"/>
  <c r="AL591" i="2"/>
  <c r="AK591" i="2"/>
  <c r="AJ591" i="2"/>
  <c r="AI591" i="2"/>
  <c r="AH591" i="2"/>
  <c r="AG591" i="2"/>
  <c r="AF591" i="2"/>
  <c r="AE591" i="2"/>
  <c r="AD591" i="2"/>
  <c r="AC591" i="2"/>
  <c r="AB591" i="2"/>
  <c r="AA591" i="2"/>
  <c r="N591" i="2"/>
  <c r="M591" i="2"/>
  <c r="L591" i="2"/>
  <c r="H591" i="2"/>
  <c r="F591" i="2"/>
  <c r="E591" i="2"/>
  <c r="BM590" i="2"/>
  <c r="BL590" i="2"/>
  <c r="BK590" i="2"/>
  <c r="BJ590" i="2"/>
  <c r="BI590" i="2"/>
  <c r="BH590" i="2"/>
  <c r="BG590" i="2"/>
  <c r="BF590" i="2"/>
  <c r="BE590" i="2"/>
  <c r="BD590" i="2"/>
  <c r="BC590" i="2"/>
  <c r="BB590" i="2"/>
  <c r="BA590" i="2"/>
  <c r="AZ590" i="2"/>
  <c r="AY590" i="2"/>
  <c r="AX590" i="2"/>
  <c r="AW590" i="2"/>
  <c r="AV590" i="2"/>
  <c r="AU590" i="2"/>
  <c r="AT590" i="2"/>
  <c r="AS590" i="2"/>
  <c r="AR590" i="2"/>
  <c r="AQ590" i="2"/>
  <c r="AP590" i="2"/>
  <c r="AO590" i="2"/>
  <c r="AN590" i="2"/>
  <c r="AM590" i="2"/>
  <c r="AL590" i="2"/>
  <c r="AK590" i="2"/>
  <c r="AJ590" i="2"/>
  <c r="AI590" i="2"/>
  <c r="AH590" i="2"/>
  <c r="AG590" i="2"/>
  <c r="AF590" i="2"/>
  <c r="AE590" i="2"/>
  <c r="AD590" i="2"/>
  <c r="AC590" i="2"/>
  <c r="AB590" i="2"/>
  <c r="AA590" i="2"/>
  <c r="N590" i="2"/>
  <c r="M590" i="2"/>
  <c r="L590" i="2"/>
  <c r="H590" i="2"/>
  <c r="F590" i="2"/>
  <c r="E590" i="2"/>
  <c r="BM589" i="2"/>
  <c r="BL589" i="2"/>
  <c r="BK589" i="2"/>
  <c r="BJ589" i="2"/>
  <c r="BI589" i="2"/>
  <c r="BH589" i="2"/>
  <c r="BG589" i="2"/>
  <c r="BF589" i="2"/>
  <c r="BE589" i="2"/>
  <c r="BD589" i="2"/>
  <c r="BC589" i="2"/>
  <c r="BB589" i="2"/>
  <c r="BA589" i="2"/>
  <c r="AZ589" i="2"/>
  <c r="AY589" i="2"/>
  <c r="AX589" i="2"/>
  <c r="AW589" i="2"/>
  <c r="AV589" i="2"/>
  <c r="AU589" i="2"/>
  <c r="AT589" i="2"/>
  <c r="AS589" i="2"/>
  <c r="AR589" i="2"/>
  <c r="AQ589" i="2"/>
  <c r="AP589" i="2"/>
  <c r="AO589" i="2"/>
  <c r="AN589" i="2"/>
  <c r="AM589" i="2"/>
  <c r="AL589" i="2"/>
  <c r="AK589" i="2"/>
  <c r="AJ589" i="2"/>
  <c r="AI589" i="2"/>
  <c r="AH589" i="2"/>
  <c r="AG589" i="2"/>
  <c r="AF589" i="2"/>
  <c r="AE589" i="2"/>
  <c r="AD589" i="2"/>
  <c r="AC589" i="2"/>
  <c r="AB589" i="2"/>
  <c r="AA589" i="2"/>
  <c r="N589" i="2"/>
  <c r="M589" i="2"/>
  <c r="L589" i="2"/>
  <c r="H589" i="2"/>
  <c r="F589" i="2"/>
  <c r="E589" i="2"/>
  <c r="BM588" i="2"/>
  <c r="BL588" i="2"/>
  <c r="BK588" i="2"/>
  <c r="BJ588" i="2"/>
  <c r="BI588" i="2"/>
  <c r="BH588" i="2"/>
  <c r="BG588" i="2"/>
  <c r="BF588" i="2"/>
  <c r="BE588" i="2"/>
  <c r="BD588" i="2"/>
  <c r="BC588" i="2"/>
  <c r="BB588" i="2"/>
  <c r="BA588" i="2"/>
  <c r="AZ588" i="2"/>
  <c r="AY588" i="2"/>
  <c r="AX588" i="2"/>
  <c r="AW588" i="2"/>
  <c r="AV588" i="2"/>
  <c r="AU588" i="2"/>
  <c r="AT588" i="2"/>
  <c r="AS588" i="2"/>
  <c r="AR588" i="2"/>
  <c r="AQ588" i="2"/>
  <c r="AP588" i="2"/>
  <c r="AO588" i="2"/>
  <c r="AN588" i="2"/>
  <c r="AM588" i="2"/>
  <c r="AL588" i="2"/>
  <c r="AK588" i="2"/>
  <c r="AJ588" i="2"/>
  <c r="AI588" i="2"/>
  <c r="AH588" i="2"/>
  <c r="AG588" i="2"/>
  <c r="AF588" i="2"/>
  <c r="AE588" i="2"/>
  <c r="AD588" i="2"/>
  <c r="AC588" i="2"/>
  <c r="AB588" i="2"/>
  <c r="AA588" i="2"/>
  <c r="N588" i="2"/>
  <c r="M588" i="2"/>
  <c r="L588" i="2"/>
  <c r="H588" i="2"/>
  <c r="F588" i="2"/>
  <c r="E588" i="2"/>
  <c r="BM587" i="2"/>
  <c r="BL587" i="2"/>
  <c r="BK587" i="2"/>
  <c r="BJ587" i="2"/>
  <c r="BI587" i="2"/>
  <c r="BH587" i="2"/>
  <c r="BG587" i="2"/>
  <c r="BF587" i="2"/>
  <c r="BE587" i="2"/>
  <c r="BD587" i="2"/>
  <c r="BC587" i="2"/>
  <c r="BB587" i="2"/>
  <c r="BA587" i="2"/>
  <c r="AZ587" i="2"/>
  <c r="AY587" i="2"/>
  <c r="AX587" i="2"/>
  <c r="AW587" i="2"/>
  <c r="AV587" i="2"/>
  <c r="AU587" i="2"/>
  <c r="AT587" i="2"/>
  <c r="AS587" i="2"/>
  <c r="AR587" i="2"/>
  <c r="AQ587" i="2"/>
  <c r="AP587" i="2"/>
  <c r="AO587" i="2"/>
  <c r="AN587" i="2"/>
  <c r="AM587" i="2"/>
  <c r="AL587" i="2"/>
  <c r="AK587" i="2"/>
  <c r="AJ587" i="2"/>
  <c r="AI587" i="2"/>
  <c r="AH587" i="2"/>
  <c r="AG587" i="2"/>
  <c r="AF587" i="2"/>
  <c r="AE587" i="2"/>
  <c r="AD587" i="2"/>
  <c r="AC587" i="2"/>
  <c r="AB587" i="2"/>
  <c r="AA587" i="2"/>
  <c r="N587" i="2"/>
  <c r="M587" i="2"/>
  <c r="L587" i="2"/>
  <c r="H587" i="2"/>
  <c r="F587" i="2"/>
  <c r="E587" i="2"/>
  <c r="BM586" i="2"/>
  <c r="BL586" i="2"/>
  <c r="BK586" i="2"/>
  <c r="BJ586" i="2"/>
  <c r="BI586" i="2"/>
  <c r="BH586" i="2"/>
  <c r="BG586" i="2"/>
  <c r="BF586" i="2"/>
  <c r="BE586" i="2"/>
  <c r="BD586" i="2"/>
  <c r="BC586" i="2"/>
  <c r="BB586" i="2"/>
  <c r="BA586" i="2"/>
  <c r="AZ586" i="2"/>
  <c r="AY586" i="2"/>
  <c r="AX586" i="2"/>
  <c r="AW586" i="2"/>
  <c r="AV586" i="2"/>
  <c r="AU586" i="2"/>
  <c r="AT586" i="2"/>
  <c r="AS586" i="2"/>
  <c r="AR586" i="2"/>
  <c r="AQ586" i="2"/>
  <c r="AP586" i="2"/>
  <c r="AO586" i="2"/>
  <c r="AN586" i="2"/>
  <c r="AM586" i="2"/>
  <c r="AL586" i="2"/>
  <c r="AK586" i="2"/>
  <c r="AJ586" i="2"/>
  <c r="AI586" i="2"/>
  <c r="AH586" i="2"/>
  <c r="AG586" i="2"/>
  <c r="AF586" i="2"/>
  <c r="AE586" i="2"/>
  <c r="AD586" i="2"/>
  <c r="AC586" i="2"/>
  <c r="AB586" i="2"/>
  <c r="AA586" i="2"/>
  <c r="N586" i="2"/>
  <c r="M586" i="2"/>
  <c r="L586" i="2"/>
  <c r="H586" i="2"/>
  <c r="F586" i="2"/>
  <c r="E586" i="2"/>
  <c r="BM585" i="2"/>
  <c r="BL585" i="2"/>
  <c r="BK585" i="2"/>
  <c r="BJ585" i="2"/>
  <c r="BI585" i="2"/>
  <c r="BH585" i="2"/>
  <c r="BG585" i="2"/>
  <c r="BF585" i="2"/>
  <c r="BE585" i="2"/>
  <c r="BD585" i="2"/>
  <c r="BC585" i="2"/>
  <c r="BB585" i="2"/>
  <c r="BA585" i="2"/>
  <c r="AZ585" i="2"/>
  <c r="AY585" i="2"/>
  <c r="AX585" i="2"/>
  <c r="AW585" i="2"/>
  <c r="AV585" i="2"/>
  <c r="AU585" i="2"/>
  <c r="AT585" i="2"/>
  <c r="AS585" i="2"/>
  <c r="AR585" i="2"/>
  <c r="AQ585" i="2"/>
  <c r="AP585" i="2"/>
  <c r="AO585" i="2"/>
  <c r="AN585" i="2"/>
  <c r="AM585" i="2"/>
  <c r="AL585" i="2"/>
  <c r="AK585" i="2"/>
  <c r="AJ585" i="2"/>
  <c r="AI585" i="2"/>
  <c r="AH585" i="2"/>
  <c r="AG585" i="2"/>
  <c r="AF585" i="2"/>
  <c r="AE585" i="2"/>
  <c r="AD585" i="2"/>
  <c r="AC585" i="2"/>
  <c r="AB585" i="2"/>
  <c r="AA585" i="2"/>
  <c r="N585" i="2"/>
  <c r="M585" i="2"/>
  <c r="L585" i="2"/>
  <c r="H585" i="2"/>
  <c r="F585" i="2"/>
  <c r="E585" i="2"/>
  <c r="BM584" i="2"/>
  <c r="BL584" i="2"/>
  <c r="BK584" i="2"/>
  <c r="BJ584" i="2"/>
  <c r="BI584" i="2"/>
  <c r="BH584" i="2"/>
  <c r="BG584" i="2"/>
  <c r="BF584" i="2"/>
  <c r="BE584" i="2"/>
  <c r="BD584" i="2"/>
  <c r="BC584" i="2"/>
  <c r="BB584" i="2"/>
  <c r="BA584" i="2"/>
  <c r="AZ584" i="2"/>
  <c r="AY584" i="2"/>
  <c r="AX584" i="2"/>
  <c r="AW584" i="2"/>
  <c r="AV584" i="2"/>
  <c r="AU584" i="2"/>
  <c r="AT584" i="2"/>
  <c r="AS584" i="2"/>
  <c r="AR584" i="2"/>
  <c r="AQ584" i="2"/>
  <c r="AP584" i="2"/>
  <c r="AO584" i="2"/>
  <c r="AN584" i="2"/>
  <c r="AM584" i="2"/>
  <c r="AL584" i="2"/>
  <c r="AK584" i="2"/>
  <c r="AJ584" i="2"/>
  <c r="AI584" i="2"/>
  <c r="AH584" i="2"/>
  <c r="AG584" i="2"/>
  <c r="AF584" i="2"/>
  <c r="AE584" i="2"/>
  <c r="AD584" i="2"/>
  <c r="AC584" i="2"/>
  <c r="AB584" i="2"/>
  <c r="AA584" i="2"/>
  <c r="N584" i="2"/>
  <c r="M584" i="2"/>
  <c r="L584" i="2"/>
  <c r="H584" i="2"/>
  <c r="F584" i="2"/>
  <c r="E584" i="2"/>
  <c r="BM582" i="2"/>
  <c r="BL582" i="2"/>
  <c r="BK582" i="2"/>
  <c r="BJ582" i="2"/>
  <c r="BI582" i="2"/>
  <c r="BH582" i="2"/>
  <c r="BG582" i="2"/>
  <c r="BF582" i="2"/>
  <c r="BE582" i="2"/>
  <c r="BD582" i="2"/>
  <c r="BC582" i="2"/>
  <c r="BB582" i="2"/>
  <c r="BA582" i="2"/>
  <c r="AZ582" i="2"/>
  <c r="AY582" i="2"/>
  <c r="AX582" i="2"/>
  <c r="AW582" i="2"/>
  <c r="AV582" i="2"/>
  <c r="AU582" i="2"/>
  <c r="AT582" i="2"/>
  <c r="AS582" i="2"/>
  <c r="AR582" i="2"/>
  <c r="AQ582" i="2"/>
  <c r="AP582" i="2"/>
  <c r="AO582" i="2"/>
  <c r="AN582" i="2"/>
  <c r="AM582" i="2"/>
  <c r="AL582" i="2"/>
  <c r="AK582" i="2"/>
  <c r="AJ582" i="2"/>
  <c r="AI582" i="2"/>
  <c r="AH582" i="2"/>
  <c r="AG582" i="2"/>
  <c r="AF582" i="2"/>
  <c r="AE582" i="2"/>
  <c r="AD582" i="2"/>
  <c r="AC582" i="2"/>
  <c r="AB582" i="2"/>
  <c r="AA582" i="2"/>
  <c r="N582" i="2"/>
  <c r="M582" i="2"/>
  <c r="L582" i="2"/>
  <c r="H582" i="2"/>
  <c r="F582" i="2"/>
  <c r="E582" i="2"/>
  <c r="BM581" i="2"/>
  <c r="BL581" i="2"/>
  <c r="BK581" i="2"/>
  <c r="BJ581" i="2"/>
  <c r="BI581" i="2"/>
  <c r="BH581" i="2"/>
  <c r="BG581" i="2"/>
  <c r="BF581" i="2"/>
  <c r="BE581" i="2"/>
  <c r="BD581" i="2"/>
  <c r="BC581" i="2"/>
  <c r="BB581" i="2"/>
  <c r="BA581" i="2"/>
  <c r="AZ581" i="2"/>
  <c r="AY581" i="2"/>
  <c r="AX581" i="2"/>
  <c r="AW581" i="2"/>
  <c r="AV581" i="2"/>
  <c r="AU581" i="2"/>
  <c r="AT581" i="2"/>
  <c r="AS581" i="2"/>
  <c r="AR581" i="2"/>
  <c r="AQ581" i="2"/>
  <c r="AP581" i="2"/>
  <c r="AO581" i="2"/>
  <c r="AN581" i="2"/>
  <c r="AM581" i="2"/>
  <c r="AL581" i="2"/>
  <c r="AK581" i="2"/>
  <c r="AJ581" i="2"/>
  <c r="AI581" i="2"/>
  <c r="AH581" i="2"/>
  <c r="AG581" i="2"/>
  <c r="AF581" i="2"/>
  <c r="AE581" i="2"/>
  <c r="AD581" i="2"/>
  <c r="AC581" i="2"/>
  <c r="AB581" i="2"/>
  <c r="AA581" i="2"/>
  <c r="N581" i="2"/>
  <c r="M581" i="2"/>
  <c r="L581" i="2"/>
  <c r="H581" i="2"/>
  <c r="F581" i="2"/>
  <c r="E581" i="2"/>
  <c r="BM580" i="2"/>
  <c r="BL580" i="2"/>
  <c r="BK580" i="2"/>
  <c r="BJ580" i="2"/>
  <c r="BI580" i="2"/>
  <c r="BH580" i="2"/>
  <c r="BG580" i="2"/>
  <c r="BF580" i="2"/>
  <c r="BE580" i="2"/>
  <c r="BD580" i="2"/>
  <c r="BC580" i="2"/>
  <c r="BB580" i="2"/>
  <c r="BA580" i="2"/>
  <c r="AZ580" i="2"/>
  <c r="AY580" i="2"/>
  <c r="AX580" i="2"/>
  <c r="AW580" i="2"/>
  <c r="AV580" i="2"/>
  <c r="AU580" i="2"/>
  <c r="AT580" i="2"/>
  <c r="AS580" i="2"/>
  <c r="AR580" i="2"/>
  <c r="AQ580" i="2"/>
  <c r="AP580" i="2"/>
  <c r="AO580" i="2"/>
  <c r="AN580" i="2"/>
  <c r="AM580" i="2"/>
  <c r="AL580" i="2"/>
  <c r="AK580" i="2"/>
  <c r="AJ580" i="2"/>
  <c r="AI580" i="2"/>
  <c r="AH580" i="2"/>
  <c r="AG580" i="2"/>
  <c r="AF580" i="2"/>
  <c r="AE580" i="2"/>
  <c r="AD580" i="2"/>
  <c r="AC580" i="2"/>
  <c r="AB580" i="2"/>
  <c r="AA580" i="2"/>
  <c r="N580" i="2"/>
  <c r="M580" i="2"/>
  <c r="L580" i="2"/>
  <c r="H580" i="2"/>
  <c r="F580" i="2"/>
  <c r="E580" i="2"/>
  <c r="BM578" i="2"/>
  <c r="BL578" i="2"/>
  <c r="BK578" i="2"/>
  <c r="BJ578" i="2"/>
  <c r="BI578" i="2"/>
  <c r="BH578" i="2"/>
  <c r="BG578" i="2"/>
  <c r="BF578" i="2"/>
  <c r="BE578" i="2"/>
  <c r="BD578" i="2"/>
  <c r="BC578" i="2"/>
  <c r="BB578" i="2"/>
  <c r="BA578" i="2"/>
  <c r="AZ578" i="2"/>
  <c r="AY578" i="2"/>
  <c r="AX578" i="2"/>
  <c r="AW578" i="2"/>
  <c r="AV578" i="2"/>
  <c r="AU578" i="2"/>
  <c r="AT578" i="2"/>
  <c r="AS578" i="2"/>
  <c r="AR578" i="2"/>
  <c r="AQ578" i="2"/>
  <c r="AO578" i="2"/>
  <c r="AN578" i="2"/>
  <c r="AM578" i="2"/>
  <c r="AL578" i="2"/>
  <c r="AK578" i="2"/>
  <c r="AJ578" i="2"/>
  <c r="AI578" i="2"/>
  <c r="AH578" i="2"/>
  <c r="AG578" i="2"/>
  <c r="AF578" i="2"/>
  <c r="AE578" i="2"/>
  <c r="AD578" i="2"/>
  <c r="AC578" i="2"/>
  <c r="AB578" i="2"/>
  <c r="AA578" i="2"/>
  <c r="N578" i="2"/>
  <c r="M578" i="2"/>
  <c r="L578" i="2"/>
  <c r="H578" i="2"/>
  <c r="F578" i="2"/>
  <c r="E578" i="2"/>
  <c r="BM577" i="2"/>
  <c r="BL577" i="2"/>
  <c r="BK577" i="2"/>
  <c r="BJ577" i="2"/>
  <c r="BI577" i="2"/>
  <c r="BH577" i="2"/>
  <c r="BG577" i="2"/>
  <c r="BF577" i="2"/>
  <c r="BE577" i="2"/>
  <c r="BD577" i="2"/>
  <c r="BC577" i="2"/>
  <c r="BB577" i="2"/>
  <c r="BA577" i="2"/>
  <c r="AZ577" i="2"/>
  <c r="AX577" i="2"/>
  <c r="AW577" i="2"/>
  <c r="AV577" i="2"/>
  <c r="AU577" i="2"/>
  <c r="AT577" i="2"/>
  <c r="AS577" i="2"/>
  <c r="AR577" i="2"/>
  <c r="AQ577" i="2"/>
  <c r="AO577" i="2"/>
  <c r="AN577" i="2"/>
  <c r="AM577" i="2"/>
  <c r="AL577" i="2"/>
  <c r="AK577" i="2"/>
  <c r="AJ577" i="2"/>
  <c r="AI577" i="2"/>
  <c r="AH577" i="2"/>
  <c r="AF577" i="2"/>
  <c r="AD577" i="2"/>
  <c r="AC577" i="2"/>
  <c r="AB577" i="2"/>
  <c r="AA577" i="2"/>
  <c r="N577" i="2"/>
  <c r="M577" i="2"/>
  <c r="L577" i="2"/>
  <c r="H577" i="2"/>
  <c r="F577" i="2"/>
  <c r="E577" i="2"/>
  <c r="BM575" i="2"/>
  <c r="BL575" i="2"/>
  <c r="BK575" i="2"/>
  <c r="BJ575" i="2"/>
  <c r="BI575" i="2"/>
  <c r="BH575" i="2"/>
  <c r="BG575" i="2"/>
  <c r="BF575" i="2"/>
  <c r="BE575" i="2"/>
  <c r="BD575" i="2"/>
  <c r="BC575" i="2"/>
  <c r="BB575" i="2"/>
  <c r="BA575" i="2"/>
  <c r="AY575" i="2"/>
  <c r="AX575" i="2"/>
  <c r="AW575" i="2"/>
  <c r="AV575" i="2"/>
  <c r="AU575" i="2"/>
  <c r="AT575" i="2"/>
  <c r="AS575" i="2"/>
  <c r="AR575" i="2"/>
  <c r="AQ575" i="2"/>
  <c r="AP575" i="2"/>
  <c r="AO575" i="2"/>
  <c r="AN575" i="2"/>
  <c r="AM575" i="2"/>
  <c r="AL575" i="2"/>
  <c r="AK575" i="2"/>
  <c r="AJ575" i="2"/>
  <c r="AI575" i="2"/>
  <c r="AH575" i="2"/>
  <c r="AG575" i="2"/>
  <c r="AF575" i="2"/>
  <c r="AE575" i="2"/>
  <c r="AD575" i="2"/>
  <c r="AC575" i="2"/>
  <c r="AB575" i="2"/>
  <c r="AA575" i="2"/>
  <c r="N575" i="2"/>
  <c r="M575" i="2"/>
  <c r="L575" i="2"/>
  <c r="H575" i="2"/>
  <c r="F575" i="2"/>
  <c r="E575" i="2"/>
  <c r="BM574" i="2"/>
  <c r="BL574" i="2"/>
  <c r="BK574" i="2"/>
  <c r="BJ574" i="2"/>
  <c r="BI574" i="2"/>
  <c r="BH574" i="2"/>
  <c r="BG574" i="2"/>
  <c r="BF574" i="2"/>
  <c r="BE574" i="2"/>
  <c r="BD574" i="2"/>
  <c r="BC574" i="2"/>
  <c r="BB574" i="2"/>
  <c r="BA574" i="2"/>
  <c r="AZ574" i="2"/>
  <c r="AY574" i="2"/>
  <c r="AX574" i="2"/>
  <c r="AW574" i="2"/>
  <c r="AV574" i="2"/>
  <c r="AU574" i="2"/>
  <c r="AT574" i="2"/>
  <c r="AS574" i="2"/>
  <c r="AR574" i="2"/>
  <c r="AQ574" i="2"/>
  <c r="AP574" i="2"/>
  <c r="AO574" i="2"/>
  <c r="AN574" i="2"/>
  <c r="AM574" i="2"/>
  <c r="AL574" i="2"/>
  <c r="AK574" i="2"/>
  <c r="AJ574" i="2"/>
  <c r="AI574" i="2"/>
  <c r="AH574" i="2"/>
  <c r="AG574" i="2"/>
  <c r="AF574" i="2"/>
  <c r="AE574" i="2"/>
  <c r="AD574" i="2"/>
  <c r="AC574" i="2"/>
  <c r="AB574" i="2"/>
  <c r="AA574" i="2"/>
  <c r="N574" i="2"/>
  <c r="M574" i="2"/>
  <c r="L574" i="2"/>
  <c r="H574" i="2"/>
  <c r="F574" i="2"/>
  <c r="E574" i="2"/>
  <c r="BM573" i="2"/>
  <c r="BL573" i="2"/>
  <c r="BK573" i="2"/>
  <c r="BJ573" i="2"/>
  <c r="BI573" i="2"/>
  <c r="BH573" i="2"/>
  <c r="BG573" i="2"/>
  <c r="BF573" i="2"/>
  <c r="BE573" i="2"/>
  <c r="BD573" i="2"/>
  <c r="BC573" i="2"/>
  <c r="BB573" i="2"/>
  <c r="BA573" i="2"/>
  <c r="AZ573" i="2"/>
  <c r="AX573" i="2"/>
  <c r="AW573" i="2"/>
  <c r="AU573" i="2"/>
  <c r="AT573" i="2"/>
  <c r="AS573" i="2"/>
  <c r="AR573" i="2"/>
  <c r="AQ573" i="2"/>
  <c r="AP573" i="2"/>
  <c r="AO573" i="2"/>
  <c r="AN573" i="2"/>
  <c r="AL573" i="2"/>
  <c r="AK573" i="2"/>
  <c r="AJ573" i="2"/>
  <c r="AI573" i="2"/>
  <c r="AH573" i="2"/>
  <c r="AG573" i="2"/>
  <c r="AF573" i="2"/>
  <c r="AD573" i="2"/>
  <c r="AC573" i="2"/>
  <c r="AB573" i="2"/>
  <c r="AA573" i="2"/>
  <c r="N573" i="2"/>
  <c r="M573" i="2"/>
  <c r="L573" i="2"/>
  <c r="H573" i="2"/>
  <c r="F573" i="2"/>
  <c r="E573" i="2"/>
  <c r="BM571" i="2"/>
  <c r="BL571" i="2"/>
  <c r="BK571" i="2"/>
  <c r="BJ571" i="2"/>
  <c r="BI571" i="2"/>
  <c r="BH571" i="2"/>
  <c r="BG571" i="2"/>
  <c r="BF571" i="2"/>
  <c r="BE571" i="2"/>
  <c r="BD571" i="2"/>
  <c r="BC571" i="2"/>
  <c r="BB571" i="2"/>
  <c r="BA571" i="2"/>
  <c r="AZ571" i="2"/>
  <c r="AX571" i="2"/>
  <c r="AW571" i="2"/>
  <c r="AU571" i="2"/>
  <c r="AT571" i="2"/>
  <c r="AS571" i="2"/>
  <c r="AR571" i="2"/>
  <c r="AQ571" i="2"/>
  <c r="AP571" i="2"/>
  <c r="AO571" i="2"/>
  <c r="AN571" i="2"/>
  <c r="AM571" i="2"/>
  <c r="AL571" i="2"/>
  <c r="AK571" i="2"/>
  <c r="AJ571" i="2"/>
  <c r="AI571" i="2"/>
  <c r="AH571" i="2"/>
  <c r="AG571" i="2"/>
  <c r="AF571" i="2"/>
  <c r="AE571" i="2"/>
  <c r="AD571" i="2"/>
  <c r="AC571" i="2"/>
  <c r="AB571" i="2"/>
  <c r="AA571" i="2"/>
  <c r="N571" i="2"/>
  <c r="M571" i="2"/>
  <c r="L571" i="2"/>
  <c r="H571" i="2"/>
  <c r="F571" i="2"/>
  <c r="E571" i="2"/>
  <c r="BM569" i="2"/>
  <c r="BL569" i="2"/>
  <c r="BK569" i="2"/>
  <c r="BJ569" i="2"/>
  <c r="BI569" i="2"/>
  <c r="BH569" i="2"/>
  <c r="BG569" i="2"/>
  <c r="BF569" i="2"/>
  <c r="BE569" i="2"/>
  <c r="BD569" i="2"/>
  <c r="BC569" i="2"/>
  <c r="BB569" i="2"/>
  <c r="BA569" i="2"/>
  <c r="AZ569" i="2"/>
  <c r="AY569" i="2"/>
  <c r="AX569" i="2"/>
  <c r="AW569" i="2"/>
  <c r="AV569" i="2"/>
  <c r="AU569" i="2"/>
  <c r="AT569" i="2"/>
  <c r="AS569" i="2"/>
  <c r="AR569" i="2"/>
  <c r="AQ569" i="2"/>
  <c r="AP569" i="2"/>
  <c r="AO569" i="2"/>
  <c r="AN569" i="2"/>
  <c r="AM569" i="2"/>
  <c r="AL569" i="2"/>
  <c r="AK569" i="2"/>
  <c r="AJ569" i="2"/>
  <c r="AI569" i="2"/>
  <c r="AH569" i="2"/>
  <c r="AG569" i="2"/>
  <c r="AF569" i="2"/>
  <c r="AE569" i="2"/>
  <c r="AD569" i="2"/>
  <c r="AC569" i="2"/>
  <c r="AB569" i="2"/>
  <c r="AA569" i="2"/>
  <c r="N569" i="2"/>
  <c r="M569" i="2"/>
  <c r="L569" i="2"/>
  <c r="H569" i="2"/>
  <c r="F569" i="2"/>
  <c r="E569" i="2"/>
  <c r="BM568" i="2"/>
  <c r="BL568" i="2"/>
  <c r="BK568" i="2"/>
  <c r="BJ568" i="2"/>
  <c r="BI568" i="2"/>
  <c r="BH568" i="2"/>
  <c r="BG568" i="2"/>
  <c r="BF568" i="2"/>
  <c r="BE568" i="2"/>
  <c r="BD568" i="2"/>
  <c r="BC568" i="2"/>
  <c r="BB568" i="2"/>
  <c r="BA568" i="2"/>
  <c r="AZ568" i="2"/>
  <c r="AX568" i="2"/>
  <c r="AW568" i="2"/>
  <c r="AV568" i="2"/>
  <c r="AU568" i="2"/>
  <c r="AT568" i="2"/>
  <c r="AS568" i="2"/>
  <c r="AR568" i="2"/>
  <c r="AQ568" i="2"/>
  <c r="AP568" i="2"/>
  <c r="AO568" i="2"/>
  <c r="AN568" i="2"/>
  <c r="AM568" i="2"/>
  <c r="AL568" i="2"/>
  <c r="AK568" i="2"/>
  <c r="AJ568" i="2"/>
  <c r="AI568" i="2"/>
  <c r="AH568" i="2"/>
  <c r="AG568" i="2"/>
  <c r="AF568" i="2"/>
  <c r="AE568" i="2"/>
  <c r="AD568" i="2"/>
  <c r="AC568" i="2"/>
  <c r="AB568" i="2"/>
  <c r="AA568" i="2"/>
  <c r="N568" i="2"/>
  <c r="L568" i="2"/>
  <c r="H568" i="2"/>
  <c r="F568" i="2"/>
  <c r="E568" i="2"/>
  <c r="BM567" i="2"/>
  <c r="BL567" i="2"/>
  <c r="BK567" i="2"/>
  <c r="BJ567" i="2"/>
  <c r="BI567" i="2"/>
  <c r="BH567" i="2"/>
  <c r="BG567" i="2"/>
  <c r="BF567" i="2"/>
  <c r="BE567" i="2"/>
  <c r="BD567" i="2"/>
  <c r="BC567" i="2"/>
  <c r="BB567" i="2"/>
  <c r="BA567" i="2"/>
  <c r="AZ567" i="2"/>
  <c r="AY567" i="2"/>
  <c r="AX567" i="2"/>
  <c r="AW567" i="2"/>
  <c r="AV567" i="2"/>
  <c r="AU567" i="2"/>
  <c r="AT567" i="2"/>
  <c r="AS567" i="2"/>
  <c r="AR567" i="2"/>
  <c r="AQ567" i="2"/>
  <c r="AP567" i="2"/>
  <c r="AO567" i="2"/>
  <c r="AN567" i="2"/>
  <c r="AM567" i="2"/>
  <c r="AL567" i="2"/>
  <c r="AK567" i="2"/>
  <c r="AJ567" i="2"/>
  <c r="AI567" i="2"/>
  <c r="AH567" i="2"/>
  <c r="AG567" i="2"/>
  <c r="AF567" i="2"/>
  <c r="AE567" i="2"/>
  <c r="AD567" i="2"/>
  <c r="AC567" i="2"/>
  <c r="AB567" i="2"/>
  <c r="AA567" i="2"/>
  <c r="N567" i="2"/>
  <c r="M567" i="2"/>
  <c r="L567" i="2"/>
  <c r="H567" i="2"/>
  <c r="F567" i="2"/>
  <c r="E567" i="2"/>
  <c r="BM566" i="2"/>
  <c r="BL566" i="2"/>
  <c r="BK566" i="2"/>
  <c r="BJ566" i="2"/>
  <c r="BI566" i="2"/>
  <c r="BH566" i="2"/>
  <c r="BG566" i="2"/>
  <c r="BF566" i="2"/>
  <c r="BE566" i="2"/>
  <c r="BD566" i="2"/>
  <c r="BC566" i="2"/>
  <c r="BB566" i="2"/>
  <c r="BA566" i="2"/>
  <c r="AZ566" i="2"/>
  <c r="AY566" i="2"/>
  <c r="AX566" i="2"/>
  <c r="AW566" i="2"/>
  <c r="AV566" i="2"/>
  <c r="AU566" i="2"/>
  <c r="AT566" i="2"/>
  <c r="AS566" i="2"/>
  <c r="AR566" i="2"/>
  <c r="AQ566" i="2"/>
  <c r="AP566" i="2"/>
  <c r="AO566" i="2"/>
  <c r="AN566" i="2"/>
  <c r="AM566" i="2"/>
  <c r="AL566" i="2"/>
  <c r="AK566" i="2"/>
  <c r="AJ566" i="2"/>
  <c r="AI566" i="2"/>
  <c r="AH566" i="2"/>
  <c r="AG566" i="2"/>
  <c r="AF566" i="2"/>
  <c r="AE566" i="2"/>
  <c r="AD566" i="2"/>
  <c r="AC566" i="2"/>
  <c r="AB566" i="2"/>
  <c r="AA566" i="2"/>
  <c r="N566" i="2"/>
  <c r="M566" i="2"/>
  <c r="L566" i="2"/>
  <c r="H566" i="2"/>
  <c r="F566" i="2"/>
  <c r="E566" i="2"/>
  <c r="BM565" i="2"/>
  <c r="BL565" i="2"/>
  <c r="BK565" i="2"/>
  <c r="BJ565" i="2"/>
  <c r="BI565" i="2"/>
  <c r="BH565" i="2"/>
  <c r="BG565" i="2"/>
  <c r="BF565" i="2"/>
  <c r="BE565" i="2"/>
  <c r="BD565" i="2"/>
  <c r="BC565" i="2"/>
  <c r="BB565" i="2"/>
  <c r="BA565" i="2"/>
  <c r="AY565" i="2"/>
  <c r="AX565" i="2"/>
  <c r="AW565" i="2"/>
  <c r="AV565" i="2"/>
  <c r="AU565" i="2"/>
  <c r="AT565" i="2"/>
  <c r="AS565" i="2"/>
  <c r="AR565" i="2"/>
  <c r="AQ565" i="2"/>
  <c r="AP565" i="2"/>
  <c r="AO565" i="2"/>
  <c r="AN565" i="2"/>
  <c r="AM565" i="2"/>
  <c r="AL565" i="2"/>
  <c r="AK565" i="2"/>
  <c r="AJ565" i="2"/>
  <c r="AI565" i="2"/>
  <c r="AH565" i="2"/>
  <c r="AG565" i="2"/>
  <c r="AF565" i="2"/>
  <c r="AE565" i="2"/>
  <c r="AD565" i="2"/>
  <c r="AC565" i="2"/>
  <c r="AB565" i="2"/>
  <c r="AA565" i="2"/>
  <c r="N565" i="2"/>
  <c r="L565" i="2"/>
  <c r="H565" i="2"/>
  <c r="F565" i="2"/>
  <c r="E565" i="2"/>
  <c r="BM564" i="2"/>
  <c r="BL564" i="2"/>
  <c r="BK564" i="2"/>
  <c r="BJ564" i="2"/>
  <c r="BI564" i="2"/>
  <c r="BH564" i="2"/>
  <c r="BG564" i="2"/>
  <c r="BF564" i="2"/>
  <c r="BE564" i="2"/>
  <c r="BD564" i="2"/>
  <c r="BC564" i="2"/>
  <c r="BB564" i="2"/>
  <c r="BA564" i="2"/>
  <c r="AZ564" i="2"/>
  <c r="AY564" i="2"/>
  <c r="AX564" i="2"/>
  <c r="AW564" i="2"/>
  <c r="AV564" i="2"/>
  <c r="AU564" i="2"/>
  <c r="AT564" i="2"/>
  <c r="AS564" i="2"/>
  <c r="AR564" i="2"/>
  <c r="AQ564" i="2"/>
  <c r="AP564" i="2"/>
  <c r="AO564" i="2"/>
  <c r="AN564" i="2"/>
  <c r="AM564" i="2"/>
  <c r="AL564" i="2"/>
  <c r="AK564" i="2"/>
  <c r="AJ564" i="2"/>
  <c r="AI564" i="2"/>
  <c r="AH564" i="2"/>
  <c r="AG564" i="2"/>
  <c r="AF564" i="2"/>
  <c r="AE564" i="2"/>
  <c r="AD564" i="2"/>
  <c r="AC564" i="2"/>
  <c r="AB564" i="2"/>
  <c r="AA564" i="2"/>
  <c r="N564" i="2"/>
  <c r="M564" i="2"/>
  <c r="L564" i="2"/>
  <c r="H564" i="2"/>
  <c r="F564" i="2"/>
  <c r="E564" i="2"/>
  <c r="BM563" i="2"/>
  <c r="BL563" i="2"/>
  <c r="BK563" i="2"/>
  <c r="BJ563" i="2"/>
  <c r="BI563" i="2"/>
  <c r="BH563" i="2"/>
  <c r="BG563" i="2"/>
  <c r="BF563" i="2"/>
  <c r="BE563" i="2"/>
  <c r="BD563" i="2"/>
  <c r="BC563" i="2"/>
  <c r="BB563" i="2"/>
  <c r="BA563" i="2"/>
  <c r="AZ563" i="2"/>
  <c r="AY563" i="2"/>
  <c r="AX563" i="2"/>
  <c r="AW563" i="2"/>
  <c r="AV563" i="2"/>
  <c r="AU563" i="2"/>
  <c r="AT563" i="2"/>
  <c r="AS563" i="2"/>
  <c r="AR563" i="2"/>
  <c r="AQ563" i="2"/>
  <c r="AP563" i="2"/>
  <c r="AO563" i="2"/>
  <c r="AN563" i="2"/>
  <c r="AM563" i="2"/>
  <c r="AL563" i="2"/>
  <c r="AK563" i="2"/>
  <c r="AJ563" i="2"/>
  <c r="AI563" i="2"/>
  <c r="AH563" i="2"/>
  <c r="AG563" i="2"/>
  <c r="AF563" i="2"/>
  <c r="AE563" i="2"/>
  <c r="AD563" i="2"/>
  <c r="AC563" i="2"/>
  <c r="AB563" i="2"/>
  <c r="AA563" i="2"/>
  <c r="N563" i="2"/>
  <c r="M563" i="2"/>
  <c r="L563" i="2"/>
  <c r="F563" i="2"/>
  <c r="E563" i="2"/>
  <c r="BM562" i="2"/>
  <c r="BL562" i="2"/>
  <c r="BK562" i="2"/>
  <c r="BJ562" i="2"/>
  <c r="BI562" i="2"/>
  <c r="BH562" i="2"/>
  <c r="BG562" i="2"/>
  <c r="BF562" i="2"/>
  <c r="BE562" i="2"/>
  <c r="BD562" i="2"/>
  <c r="BC562" i="2"/>
  <c r="BB562" i="2"/>
  <c r="BA562" i="2"/>
  <c r="AZ562" i="2"/>
  <c r="AY562" i="2"/>
  <c r="AX562" i="2"/>
  <c r="AW562" i="2"/>
  <c r="AV562" i="2"/>
  <c r="AU562" i="2"/>
  <c r="AT562" i="2"/>
  <c r="AS562" i="2"/>
  <c r="AR562" i="2"/>
  <c r="AQ562" i="2"/>
  <c r="AP562" i="2"/>
  <c r="AO562" i="2"/>
  <c r="AN562" i="2"/>
  <c r="AM562" i="2"/>
  <c r="AL562" i="2"/>
  <c r="AK562" i="2"/>
  <c r="AJ562" i="2"/>
  <c r="AI562" i="2"/>
  <c r="AH562" i="2"/>
  <c r="AG562" i="2"/>
  <c r="AF562" i="2"/>
  <c r="AE562" i="2"/>
  <c r="AD562" i="2"/>
  <c r="AC562" i="2"/>
  <c r="AB562" i="2"/>
  <c r="AA562" i="2"/>
  <c r="N562" i="2"/>
  <c r="L562" i="2"/>
  <c r="F562" i="2"/>
  <c r="E562" i="2"/>
  <c r="BM561" i="2"/>
  <c r="BL561" i="2"/>
  <c r="BK561" i="2"/>
  <c r="BJ561" i="2"/>
  <c r="BI561" i="2"/>
  <c r="BH561" i="2"/>
  <c r="BG561" i="2"/>
  <c r="BF561" i="2"/>
  <c r="BE561" i="2"/>
  <c r="BD561" i="2"/>
  <c r="BC561" i="2"/>
  <c r="BB561" i="2"/>
  <c r="BA561" i="2"/>
  <c r="AZ561" i="2"/>
  <c r="AX561" i="2"/>
  <c r="AW561" i="2"/>
  <c r="AU561" i="2"/>
  <c r="AT561" i="2"/>
  <c r="AR561" i="2"/>
  <c r="AQ561" i="2"/>
  <c r="AO561" i="2"/>
  <c r="AN561" i="2"/>
  <c r="AM561" i="2"/>
  <c r="AL561" i="2"/>
  <c r="AK561" i="2"/>
  <c r="AJ561" i="2"/>
  <c r="AI561" i="2"/>
  <c r="AH561" i="2"/>
  <c r="AG561" i="2"/>
  <c r="AF561" i="2"/>
  <c r="AE561" i="2"/>
  <c r="AD561" i="2"/>
  <c r="AC561" i="2"/>
  <c r="AB561" i="2"/>
  <c r="AA561" i="2"/>
  <c r="N561" i="2"/>
  <c r="M561" i="2"/>
  <c r="L561" i="2"/>
  <c r="F561" i="2"/>
  <c r="E561" i="2"/>
  <c r="BM560" i="2"/>
  <c r="BL560" i="2"/>
  <c r="BK560" i="2"/>
  <c r="BJ560" i="2"/>
  <c r="BI560" i="2"/>
  <c r="BH560" i="2"/>
  <c r="BG560" i="2"/>
  <c r="BF560" i="2"/>
  <c r="BE560" i="2"/>
  <c r="BD560" i="2"/>
  <c r="BC560" i="2"/>
  <c r="BB560" i="2"/>
  <c r="BA560" i="2"/>
  <c r="AZ560" i="2"/>
  <c r="AY560" i="2"/>
  <c r="AX560" i="2"/>
  <c r="AW560" i="2"/>
  <c r="AV560" i="2"/>
  <c r="AU560" i="2"/>
  <c r="AT560" i="2"/>
  <c r="AS560" i="2"/>
  <c r="AR560" i="2"/>
  <c r="AQ560" i="2"/>
  <c r="AP560" i="2"/>
  <c r="AO560" i="2"/>
  <c r="AN560" i="2"/>
  <c r="AM560" i="2"/>
  <c r="AL560" i="2"/>
  <c r="AK560" i="2"/>
  <c r="AJ560" i="2"/>
  <c r="AI560" i="2"/>
  <c r="AH560" i="2"/>
  <c r="AG560" i="2"/>
  <c r="AF560" i="2"/>
  <c r="AE560" i="2"/>
  <c r="AD560" i="2"/>
  <c r="AC560" i="2"/>
  <c r="AB560" i="2"/>
  <c r="AA560" i="2"/>
  <c r="N560" i="2"/>
  <c r="M560" i="2"/>
  <c r="L560" i="2"/>
  <c r="F560" i="2"/>
  <c r="E560" i="2"/>
  <c r="BM559" i="2"/>
  <c r="BL559" i="2"/>
  <c r="BK559" i="2"/>
  <c r="BJ559" i="2"/>
  <c r="BI559" i="2"/>
  <c r="BH559" i="2"/>
  <c r="BG559" i="2"/>
  <c r="BF559" i="2"/>
  <c r="BE559" i="2"/>
  <c r="BD559" i="2"/>
  <c r="BC559" i="2"/>
  <c r="BB559" i="2"/>
  <c r="BA559" i="2"/>
  <c r="AZ559" i="2"/>
  <c r="AY559" i="2"/>
  <c r="AX559" i="2"/>
  <c r="AW559" i="2"/>
  <c r="AV559" i="2"/>
  <c r="AU559" i="2"/>
  <c r="AT559" i="2"/>
  <c r="AS559" i="2"/>
  <c r="AR559" i="2"/>
  <c r="AQ559" i="2"/>
  <c r="AP559" i="2"/>
  <c r="AO559" i="2"/>
  <c r="AN559" i="2"/>
  <c r="AM559" i="2"/>
  <c r="AL559" i="2"/>
  <c r="AK559" i="2"/>
  <c r="AJ559" i="2"/>
  <c r="AI559" i="2"/>
  <c r="AH559" i="2"/>
  <c r="AG559" i="2"/>
  <c r="AF559" i="2"/>
  <c r="AE559" i="2"/>
  <c r="AD559" i="2"/>
  <c r="AC559" i="2"/>
  <c r="AB559" i="2"/>
  <c r="AA559" i="2"/>
  <c r="N559" i="2"/>
  <c r="M559" i="2"/>
  <c r="L559" i="2"/>
  <c r="F559" i="2"/>
  <c r="E559" i="2"/>
  <c r="BM557" i="2"/>
  <c r="BL557" i="2"/>
  <c r="BK557" i="2"/>
  <c r="BJ557" i="2"/>
  <c r="BI557" i="2"/>
  <c r="BH557" i="2"/>
  <c r="BG557" i="2"/>
  <c r="BF557" i="2"/>
  <c r="BE557" i="2"/>
  <c r="BD557" i="2"/>
  <c r="BC557" i="2"/>
  <c r="BB557" i="2"/>
  <c r="BA557" i="2"/>
  <c r="AZ557" i="2"/>
  <c r="AY557" i="2"/>
  <c r="AX557" i="2"/>
  <c r="AW557" i="2"/>
  <c r="AV557" i="2"/>
  <c r="AU557" i="2"/>
  <c r="AT557" i="2"/>
  <c r="AS557" i="2"/>
  <c r="AR557" i="2"/>
  <c r="AQ557" i="2"/>
  <c r="AP557" i="2"/>
  <c r="AO557" i="2"/>
  <c r="AN557" i="2"/>
  <c r="AM557" i="2"/>
  <c r="AL557" i="2"/>
  <c r="AK557" i="2"/>
  <c r="AJ557" i="2"/>
  <c r="AI557" i="2"/>
  <c r="AH557" i="2"/>
  <c r="AG557" i="2"/>
  <c r="AF557" i="2"/>
  <c r="AE557" i="2"/>
  <c r="AD557" i="2"/>
  <c r="AC557" i="2"/>
  <c r="AB557" i="2"/>
  <c r="AA557" i="2"/>
  <c r="N557" i="2"/>
  <c r="M557" i="2"/>
  <c r="L557" i="2"/>
  <c r="F557" i="2"/>
  <c r="E557" i="2"/>
  <c r="BM556" i="2"/>
  <c r="BL556" i="2"/>
  <c r="BK556" i="2"/>
  <c r="BJ556" i="2"/>
  <c r="BI556" i="2"/>
  <c r="BH556" i="2"/>
  <c r="BG556" i="2"/>
  <c r="BF556" i="2"/>
  <c r="BE556" i="2"/>
  <c r="BD556" i="2"/>
  <c r="BC556" i="2"/>
  <c r="BB556" i="2"/>
  <c r="BA556" i="2"/>
  <c r="AZ556" i="2"/>
  <c r="AY556" i="2"/>
  <c r="AX556" i="2"/>
  <c r="AW556" i="2"/>
  <c r="AV556" i="2"/>
  <c r="AU556" i="2"/>
  <c r="AT556" i="2"/>
  <c r="AS556" i="2"/>
  <c r="AR556" i="2"/>
  <c r="AQ556" i="2"/>
  <c r="AP556" i="2"/>
  <c r="AO556" i="2"/>
  <c r="AN556" i="2"/>
  <c r="AM556" i="2"/>
  <c r="AL556" i="2"/>
  <c r="AK556" i="2"/>
  <c r="AJ556" i="2"/>
  <c r="AI556" i="2"/>
  <c r="AH556" i="2"/>
  <c r="AG556" i="2"/>
  <c r="AF556" i="2"/>
  <c r="AE556" i="2"/>
  <c r="AD556" i="2"/>
  <c r="AC556" i="2"/>
  <c r="AB556" i="2"/>
  <c r="AA556" i="2"/>
  <c r="N556" i="2"/>
  <c r="M556" i="2"/>
  <c r="L556" i="2"/>
  <c r="F556" i="2"/>
  <c r="E556" i="2"/>
  <c r="BM555" i="2"/>
  <c r="BL555" i="2"/>
  <c r="BK555" i="2"/>
  <c r="BJ555" i="2"/>
  <c r="BI555" i="2"/>
  <c r="BH555" i="2"/>
  <c r="BG555" i="2"/>
  <c r="BF555" i="2"/>
  <c r="BE555" i="2"/>
  <c r="BD555" i="2"/>
  <c r="BC555" i="2"/>
  <c r="BB555" i="2"/>
  <c r="BA555" i="2"/>
  <c r="AZ555" i="2"/>
  <c r="AY555" i="2"/>
  <c r="AX555" i="2"/>
  <c r="AW555" i="2"/>
  <c r="AV555" i="2"/>
  <c r="AU555" i="2"/>
  <c r="AT555" i="2"/>
  <c r="AS555" i="2"/>
  <c r="AR555" i="2"/>
  <c r="AQ555" i="2"/>
  <c r="AP555" i="2"/>
  <c r="AO555" i="2"/>
  <c r="AN555" i="2"/>
  <c r="AM555" i="2"/>
  <c r="AL555" i="2"/>
  <c r="AK555" i="2"/>
  <c r="AJ555" i="2"/>
  <c r="AI555" i="2"/>
  <c r="AH555" i="2"/>
  <c r="AG555" i="2"/>
  <c r="AF555" i="2"/>
  <c r="AE555" i="2"/>
  <c r="AD555" i="2"/>
  <c r="AC555" i="2"/>
  <c r="AB555" i="2"/>
  <c r="AA555" i="2"/>
  <c r="N555" i="2"/>
  <c r="M555" i="2"/>
  <c r="L555" i="2"/>
  <c r="F555" i="2"/>
  <c r="E555" i="2"/>
  <c r="BM554" i="2"/>
  <c r="BL554" i="2"/>
  <c r="BK554" i="2"/>
  <c r="BJ554" i="2"/>
  <c r="BI554" i="2"/>
  <c r="BH554" i="2"/>
  <c r="BG554" i="2"/>
  <c r="BF554" i="2"/>
  <c r="BE554" i="2"/>
  <c r="BD554" i="2"/>
  <c r="BC554" i="2"/>
  <c r="BB554" i="2"/>
  <c r="BA554" i="2"/>
  <c r="AZ554" i="2"/>
  <c r="AY554" i="2"/>
  <c r="AX554" i="2"/>
  <c r="AW554" i="2"/>
  <c r="AV554" i="2"/>
  <c r="AU554" i="2"/>
  <c r="AT554" i="2"/>
  <c r="AS554" i="2"/>
  <c r="AR554" i="2"/>
  <c r="AQ554" i="2"/>
  <c r="AP554" i="2"/>
  <c r="AO554" i="2"/>
  <c r="AN554" i="2"/>
  <c r="AM554" i="2"/>
  <c r="AL554" i="2"/>
  <c r="AK554" i="2"/>
  <c r="AJ554" i="2"/>
  <c r="AI554" i="2"/>
  <c r="AH554" i="2"/>
  <c r="AG554" i="2"/>
  <c r="AF554" i="2"/>
  <c r="AE554" i="2"/>
  <c r="AD554" i="2"/>
  <c r="AC554" i="2"/>
  <c r="AB554" i="2"/>
  <c r="AA554" i="2"/>
  <c r="N554" i="2"/>
  <c r="M554" i="2"/>
  <c r="L554" i="2"/>
  <c r="F554" i="2"/>
  <c r="E554" i="2"/>
  <c r="BM553" i="2"/>
  <c r="BL553" i="2"/>
  <c r="BK553" i="2"/>
  <c r="BJ553" i="2"/>
  <c r="BI553" i="2"/>
  <c r="BH553" i="2"/>
  <c r="BG553" i="2"/>
  <c r="BF553" i="2"/>
  <c r="BE553" i="2"/>
  <c r="BD553" i="2"/>
  <c r="BC553" i="2"/>
  <c r="BB553" i="2"/>
  <c r="BA553" i="2"/>
  <c r="AY553" i="2"/>
  <c r="AX553" i="2"/>
  <c r="AW553" i="2"/>
  <c r="AV553" i="2"/>
  <c r="AU553" i="2"/>
  <c r="AS553" i="2"/>
  <c r="AR553" i="2"/>
  <c r="AQ553" i="2"/>
  <c r="AP553" i="2"/>
  <c r="AO553" i="2"/>
  <c r="AN553" i="2"/>
  <c r="AM553" i="2"/>
  <c r="AL553" i="2"/>
  <c r="AJ553" i="2"/>
  <c r="AI553" i="2"/>
  <c r="AH553" i="2"/>
  <c r="AG553" i="2"/>
  <c r="AF553" i="2"/>
  <c r="AE553" i="2"/>
  <c r="AD553" i="2"/>
  <c r="AC553" i="2"/>
  <c r="AB553" i="2"/>
  <c r="AA553" i="2"/>
  <c r="N553" i="2"/>
  <c r="M553" i="2"/>
  <c r="L553" i="2"/>
  <c r="F553" i="2"/>
  <c r="E553" i="2"/>
  <c r="BM552" i="2"/>
  <c r="BL552" i="2"/>
  <c r="BK552" i="2"/>
  <c r="BJ552" i="2"/>
  <c r="BI552" i="2"/>
  <c r="BH552" i="2"/>
  <c r="BG552" i="2"/>
  <c r="BF552" i="2"/>
  <c r="BE552" i="2"/>
  <c r="BD552" i="2"/>
  <c r="BC552" i="2"/>
  <c r="BB552" i="2"/>
  <c r="BA552" i="2"/>
  <c r="AZ552" i="2"/>
  <c r="AW552" i="2"/>
  <c r="AU552" i="2"/>
  <c r="AT552" i="2"/>
  <c r="AS552" i="2"/>
  <c r="AR552" i="2"/>
  <c r="AO552" i="2"/>
  <c r="AN552" i="2"/>
  <c r="AM552" i="2"/>
  <c r="AL552" i="2"/>
  <c r="AJ552" i="2"/>
  <c r="AI552" i="2"/>
  <c r="AH552" i="2"/>
  <c r="AG552" i="2"/>
  <c r="AF552" i="2"/>
  <c r="AD552" i="2"/>
  <c r="AC552" i="2"/>
  <c r="AA552" i="2"/>
  <c r="M552" i="2"/>
  <c r="L552" i="2"/>
  <c r="F552" i="2"/>
  <c r="E552" i="2"/>
  <c r="BM551" i="2"/>
  <c r="BL551" i="2"/>
  <c r="BK551" i="2"/>
  <c r="BJ551" i="2"/>
  <c r="BI551" i="2"/>
  <c r="BH551" i="2"/>
  <c r="BG551" i="2"/>
  <c r="BF551" i="2"/>
  <c r="BE551" i="2"/>
  <c r="BD551" i="2"/>
  <c r="BC551" i="2"/>
  <c r="BB551" i="2"/>
  <c r="BA551" i="2"/>
  <c r="AZ551" i="2"/>
  <c r="AY551" i="2"/>
  <c r="AX551" i="2"/>
  <c r="AW551" i="2"/>
  <c r="AV551" i="2"/>
  <c r="AU551" i="2"/>
  <c r="AT551" i="2"/>
  <c r="AS551" i="2"/>
  <c r="AR551" i="2"/>
  <c r="AQ551" i="2"/>
  <c r="AP551" i="2"/>
  <c r="AO551" i="2"/>
  <c r="AN551" i="2"/>
  <c r="AM551" i="2"/>
  <c r="AL551" i="2"/>
  <c r="AK551" i="2"/>
  <c r="AJ551" i="2"/>
  <c r="AI551" i="2"/>
  <c r="AH551" i="2"/>
  <c r="AG551" i="2"/>
  <c r="AF551" i="2"/>
  <c r="AE551" i="2"/>
  <c r="AD551" i="2"/>
  <c r="AC551" i="2"/>
  <c r="AB551" i="2"/>
  <c r="AA551" i="2"/>
  <c r="N551" i="2"/>
  <c r="M551" i="2"/>
  <c r="L551" i="2"/>
  <c r="F551" i="2"/>
  <c r="E551" i="2"/>
  <c r="BM550" i="2"/>
  <c r="BL550" i="2"/>
  <c r="BK550" i="2"/>
  <c r="BJ550" i="2"/>
  <c r="BI550" i="2"/>
  <c r="BH550" i="2"/>
  <c r="BG550" i="2"/>
  <c r="BF550" i="2"/>
  <c r="BE550" i="2"/>
  <c r="BD550" i="2"/>
  <c r="BC550" i="2"/>
  <c r="BB550" i="2"/>
  <c r="BA550" i="2"/>
  <c r="AZ550" i="2"/>
  <c r="AY550" i="2"/>
  <c r="AX550" i="2"/>
  <c r="AW550" i="2"/>
  <c r="AV550" i="2"/>
  <c r="AU550" i="2"/>
  <c r="AT550" i="2"/>
  <c r="AS550" i="2"/>
  <c r="AR550" i="2"/>
  <c r="AQ550" i="2"/>
  <c r="AP550" i="2"/>
  <c r="AO550" i="2"/>
  <c r="AN550" i="2"/>
  <c r="AM550" i="2"/>
  <c r="AL550" i="2"/>
  <c r="AK550" i="2"/>
  <c r="AJ550" i="2"/>
  <c r="AI550" i="2"/>
  <c r="AH550" i="2"/>
  <c r="AG550" i="2"/>
  <c r="AF550" i="2"/>
  <c r="AE550" i="2"/>
  <c r="AD550" i="2"/>
  <c r="AC550" i="2"/>
  <c r="AB550" i="2"/>
  <c r="AA550" i="2"/>
  <c r="N550" i="2"/>
  <c r="M550" i="2"/>
  <c r="L550" i="2"/>
  <c r="F550" i="2"/>
  <c r="E550" i="2"/>
  <c r="BM549" i="2"/>
  <c r="BL549" i="2"/>
  <c r="BK549" i="2"/>
  <c r="BJ549" i="2"/>
  <c r="BI549" i="2"/>
  <c r="BH549" i="2"/>
  <c r="BG549" i="2"/>
  <c r="BF549" i="2"/>
  <c r="BE549" i="2"/>
  <c r="BD549" i="2"/>
  <c r="BC549" i="2"/>
  <c r="BB549" i="2"/>
  <c r="BA549" i="2"/>
  <c r="AZ549" i="2"/>
  <c r="AX549" i="2"/>
  <c r="AV549" i="2"/>
  <c r="AU549" i="2"/>
  <c r="AT549" i="2"/>
  <c r="AS549" i="2"/>
  <c r="AR549" i="2"/>
  <c r="AO549" i="2"/>
  <c r="AN549" i="2"/>
  <c r="AM549" i="2"/>
  <c r="AL549" i="2"/>
  <c r="AK549" i="2"/>
  <c r="AJ549" i="2"/>
  <c r="AI549" i="2"/>
  <c r="AH549" i="2"/>
  <c r="AG549" i="2"/>
  <c r="AF549" i="2"/>
  <c r="AD549" i="2"/>
  <c r="AC549" i="2"/>
  <c r="AB549" i="2"/>
  <c r="AA549" i="2"/>
  <c r="N549" i="2"/>
  <c r="M549" i="2"/>
  <c r="L549" i="2"/>
  <c r="F549" i="2"/>
  <c r="E549" i="2"/>
  <c r="BM548" i="2"/>
  <c r="BL548" i="2"/>
  <c r="BK548" i="2"/>
  <c r="BJ548" i="2"/>
  <c r="BI548" i="2"/>
  <c r="BH548" i="2"/>
  <c r="BG548" i="2"/>
  <c r="BF548" i="2"/>
  <c r="BE548" i="2"/>
  <c r="BD548" i="2"/>
  <c r="BC548" i="2"/>
  <c r="BB548" i="2"/>
  <c r="BA548" i="2"/>
  <c r="AX548" i="2"/>
  <c r="AW548" i="2"/>
  <c r="AU548" i="2"/>
  <c r="AT548" i="2"/>
  <c r="AS548" i="2"/>
  <c r="AR548" i="2"/>
  <c r="AO548" i="2"/>
  <c r="AM548" i="2"/>
  <c r="AL548" i="2"/>
  <c r="AK548" i="2"/>
  <c r="AJ548" i="2"/>
  <c r="AI548" i="2"/>
  <c r="AH548" i="2"/>
  <c r="AG548" i="2"/>
  <c r="AF548" i="2"/>
  <c r="AE548" i="2"/>
  <c r="AD548" i="2"/>
  <c r="AC548" i="2"/>
  <c r="AA548" i="2"/>
  <c r="N548" i="2"/>
  <c r="M548" i="2"/>
  <c r="L548" i="2"/>
  <c r="F548" i="2"/>
  <c r="E548" i="2"/>
  <c r="BM545" i="2"/>
  <c r="BL545" i="2"/>
  <c r="BK545" i="2"/>
  <c r="BJ545" i="2"/>
  <c r="BI545" i="2"/>
  <c r="BH545" i="2"/>
  <c r="BG545" i="2"/>
  <c r="BF545" i="2"/>
  <c r="BE545" i="2"/>
  <c r="BD545" i="2"/>
  <c r="BC545" i="2"/>
  <c r="BB545" i="2"/>
  <c r="BA545" i="2"/>
  <c r="AZ545" i="2"/>
  <c r="AX545" i="2"/>
  <c r="AW545" i="2"/>
  <c r="AU545" i="2"/>
  <c r="AT545" i="2"/>
  <c r="AS545" i="2"/>
  <c r="AR545" i="2"/>
  <c r="AQ545" i="2"/>
  <c r="AO545" i="2"/>
  <c r="AN545" i="2"/>
  <c r="AM545" i="2"/>
  <c r="AL545" i="2"/>
  <c r="AK545" i="2"/>
  <c r="AJ545" i="2"/>
  <c r="AI545" i="2"/>
  <c r="AH545" i="2"/>
  <c r="AG545" i="2"/>
  <c r="AF545" i="2"/>
  <c r="AE545" i="2"/>
  <c r="AD545" i="2"/>
  <c r="AC545" i="2"/>
  <c r="AB545" i="2"/>
  <c r="AA545" i="2"/>
  <c r="M545" i="2"/>
  <c r="L545" i="2"/>
  <c r="F545" i="2"/>
  <c r="E545" i="2"/>
  <c r="BM544" i="2"/>
  <c r="BL544" i="2"/>
  <c r="BK544" i="2"/>
  <c r="BJ544" i="2"/>
  <c r="BI544" i="2"/>
  <c r="BH544" i="2"/>
  <c r="BG544" i="2"/>
  <c r="BF544" i="2"/>
  <c r="BE544" i="2"/>
  <c r="BD544" i="2"/>
  <c r="BC544" i="2"/>
  <c r="BB544" i="2"/>
  <c r="BA544" i="2"/>
  <c r="AZ544" i="2"/>
  <c r="AX544" i="2"/>
  <c r="AW544" i="2"/>
  <c r="AU544" i="2"/>
  <c r="AT544" i="2"/>
  <c r="AR544" i="2"/>
  <c r="AQ544" i="2"/>
  <c r="AP544" i="2"/>
  <c r="AO544" i="2"/>
  <c r="AN544" i="2"/>
  <c r="AM544" i="2"/>
  <c r="AL544" i="2"/>
  <c r="AK544" i="2"/>
  <c r="AJ544" i="2"/>
  <c r="AI544" i="2"/>
  <c r="AH544" i="2"/>
  <c r="AG544" i="2"/>
  <c r="AF544" i="2"/>
  <c r="AE544" i="2"/>
  <c r="AD544" i="2"/>
  <c r="AC544" i="2"/>
  <c r="AB544" i="2"/>
  <c r="AA544" i="2"/>
  <c r="M544" i="2"/>
  <c r="L544" i="2"/>
  <c r="F544" i="2"/>
  <c r="E544" i="2"/>
  <c r="BM543" i="2"/>
  <c r="BL543" i="2"/>
  <c r="BK543" i="2"/>
  <c r="BJ543" i="2"/>
  <c r="BI543" i="2"/>
  <c r="BH543" i="2"/>
  <c r="BG543" i="2"/>
  <c r="BF543" i="2"/>
  <c r="BE543" i="2"/>
  <c r="BD543" i="2"/>
  <c r="BC543" i="2"/>
  <c r="BB543" i="2"/>
  <c r="BA543" i="2"/>
  <c r="AZ543" i="2"/>
  <c r="AX543" i="2"/>
  <c r="AW543" i="2"/>
  <c r="AU543" i="2"/>
  <c r="AT543" i="2"/>
  <c r="AS543" i="2"/>
  <c r="AR543" i="2"/>
  <c r="AQ543" i="2"/>
  <c r="AP543" i="2"/>
  <c r="AO543" i="2"/>
  <c r="AN543" i="2"/>
  <c r="AM543" i="2"/>
  <c r="AL543" i="2"/>
  <c r="AK543" i="2"/>
  <c r="AJ543" i="2"/>
  <c r="AI543" i="2"/>
  <c r="AH543" i="2"/>
  <c r="AG543" i="2"/>
  <c r="AF543" i="2"/>
  <c r="AE543" i="2"/>
  <c r="AD543" i="2"/>
  <c r="AC543" i="2"/>
  <c r="AB543" i="2"/>
  <c r="AA543" i="2"/>
  <c r="M543" i="2"/>
  <c r="L543" i="2"/>
  <c r="E543" i="2"/>
  <c r="BM541" i="2"/>
  <c r="BL541" i="2"/>
  <c r="BK541" i="2"/>
  <c r="BJ541" i="2"/>
  <c r="BI541" i="2"/>
  <c r="BH541" i="2"/>
  <c r="BG541" i="2"/>
  <c r="BF541" i="2"/>
  <c r="BE541" i="2"/>
  <c r="BD541" i="2"/>
  <c r="BC541" i="2"/>
  <c r="BB541" i="2"/>
  <c r="AY541" i="2"/>
  <c r="AV541" i="2"/>
  <c r="AU541" i="2"/>
  <c r="AS541" i="2"/>
  <c r="AP541" i="2"/>
  <c r="AN541" i="2"/>
  <c r="AM541" i="2"/>
  <c r="AL541" i="2"/>
  <c r="AJ541" i="2"/>
  <c r="AI541" i="2"/>
  <c r="AG541" i="2"/>
  <c r="AF541" i="2"/>
  <c r="AE541" i="2"/>
  <c r="AD541" i="2"/>
  <c r="AC541" i="2"/>
  <c r="AB541" i="2"/>
  <c r="AA541" i="2"/>
  <c r="L541" i="2"/>
  <c r="F541" i="2"/>
  <c r="E541" i="2"/>
  <c r="BM540" i="2"/>
  <c r="BL540" i="2"/>
  <c r="BK540" i="2"/>
  <c r="BJ540" i="2"/>
  <c r="BI540" i="2"/>
  <c r="BH540" i="2"/>
  <c r="BG540" i="2"/>
  <c r="BF540" i="2"/>
  <c r="BE540" i="2"/>
  <c r="BD540" i="2"/>
  <c r="BC540" i="2"/>
  <c r="BB540" i="2"/>
  <c r="BA540" i="2"/>
  <c r="AZ540" i="2"/>
  <c r="AY540" i="2"/>
  <c r="AX540" i="2"/>
  <c r="AW540" i="2"/>
  <c r="AV540" i="2"/>
  <c r="AU540" i="2"/>
  <c r="AT540" i="2"/>
  <c r="AS540" i="2"/>
  <c r="AR540" i="2"/>
  <c r="AQ540" i="2"/>
  <c r="AP540" i="2"/>
  <c r="AO540" i="2"/>
  <c r="AN540" i="2"/>
  <c r="AM540" i="2"/>
  <c r="AL540" i="2"/>
  <c r="AK540" i="2"/>
  <c r="AJ540" i="2"/>
  <c r="AI540" i="2"/>
  <c r="AH540" i="2"/>
  <c r="AG540" i="2"/>
  <c r="AF540" i="2"/>
  <c r="AE540" i="2"/>
  <c r="AD540" i="2"/>
  <c r="AC540" i="2"/>
  <c r="AB540" i="2"/>
  <c r="AA540" i="2"/>
  <c r="N540" i="2"/>
  <c r="M540" i="2"/>
  <c r="L540" i="2"/>
  <c r="F540" i="2"/>
  <c r="E540" i="2"/>
  <c r="F539" i="2"/>
  <c r="E539" i="2"/>
  <c r="BM538" i="2"/>
  <c r="BL538" i="2"/>
  <c r="BK538" i="2"/>
  <c r="BJ538" i="2"/>
  <c r="BI538" i="2"/>
  <c r="BH538" i="2"/>
  <c r="BG538" i="2"/>
  <c r="BF538" i="2"/>
  <c r="BE538" i="2"/>
  <c r="BD538" i="2"/>
  <c r="BC538" i="2"/>
  <c r="BB538" i="2"/>
  <c r="BA538" i="2"/>
  <c r="AZ538" i="2"/>
  <c r="AY538" i="2"/>
  <c r="AX538" i="2"/>
  <c r="AW538" i="2"/>
  <c r="AV538" i="2"/>
  <c r="AU538" i="2"/>
  <c r="AT538" i="2"/>
  <c r="AS538" i="2"/>
  <c r="AR538" i="2"/>
  <c r="AQ538" i="2"/>
  <c r="AP538" i="2"/>
  <c r="AO538" i="2"/>
  <c r="AN538" i="2"/>
  <c r="AM538" i="2"/>
  <c r="AL538" i="2"/>
  <c r="AK538" i="2"/>
  <c r="AJ538" i="2"/>
  <c r="AI538" i="2"/>
  <c r="AH538" i="2"/>
  <c r="AG538" i="2"/>
  <c r="AF538" i="2"/>
  <c r="AE538" i="2"/>
  <c r="AD538" i="2"/>
  <c r="AC538" i="2"/>
  <c r="AB538" i="2"/>
  <c r="AA538" i="2"/>
  <c r="N538" i="2"/>
  <c r="M538" i="2"/>
  <c r="L538" i="2"/>
  <c r="F538" i="2"/>
  <c r="E538" i="2"/>
  <c r="BM536" i="2"/>
  <c r="BL536" i="2"/>
  <c r="BK536" i="2"/>
  <c r="BJ536" i="2"/>
  <c r="BI536" i="2"/>
  <c r="BH536" i="2"/>
  <c r="BG536" i="2"/>
  <c r="BF536" i="2"/>
  <c r="BE536" i="2"/>
  <c r="BD536" i="2"/>
  <c r="BC536" i="2"/>
  <c r="BB536" i="2"/>
  <c r="BA536" i="2"/>
  <c r="AZ536" i="2"/>
  <c r="AY536" i="2"/>
  <c r="AX536" i="2"/>
  <c r="AW536" i="2"/>
  <c r="AV536" i="2"/>
  <c r="AU536" i="2"/>
  <c r="AT536" i="2"/>
  <c r="AS536" i="2"/>
  <c r="AR536" i="2"/>
  <c r="AQ536" i="2"/>
  <c r="AP536" i="2"/>
  <c r="AO536" i="2"/>
  <c r="AN536" i="2"/>
  <c r="AM536" i="2"/>
  <c r="AL536" i="2"/>
  <c r="AK536" i="2"/>
  <c r="AJ536" i="2"/>
  <c r="AI536" i="2"/>
  <c r="AH536" i="2"/>
  <c r="AG536" i="2"/>
  <c r="AF536" i="2"/>
  <c r="AE536" i="2"/>
  <c r="AD536" i="2"/>
  <c r="AC536" i="2"/>
  <c r="AB536" i="2"/>
  <c r="AA536" i="2"/>
  <c r="N536" i="2"/>
  <c r="M536" i="2"/>
  <c r="L536" i="2"/>
  <c r="F536" i="2"/>
  <c r="E536" i="2"/>
  <c r="F535" i="2"/>
  <c r="E535" i="2"/>
  <c r="F534" i="2"/>
  <c r="E534" i="2"/>
  <c r="BM533" i="2"/>
  <c r="BL533" i="2"/>
  <c r="BK533" i="2"/>
  <c r="BJ533" i="2"/>
  <c r="BI533" i="2"/>
  <c r="BH533" i="2"/>
  <c r="BG533" i="2"/>
  <c r="BF533" i="2"/>
  <c r="BE533" i="2"/>
  <c r="BD533" i="2"/>
  <c r="BC533" i="2"/>
  <c r="BB533" i="2"/>
  <c r="BA533" i="2"/>
  <c r="AZ533" i="2"/>
  <c r="AY533" i="2"/>
  <c r="AX533" i="2"/>
  <c r="AW533" i="2"/>
  <c r="AV533" i="2"/>
  <c r="AU533" i="2"/>
  <c r="AT533" i="2"/>
  <c r="AS533" i="2"/>
  <c r="AR533" i="2"/>
  <c r="AQ533" i="2"/>
  <c r="AP533" i="2"/>
  <c r="AO533" i="2"/>
  <c r="AN533" i="2"/>
  <c r="AM533" i="2"/>
  <c r="AL533" i="2"/>
  <c r="AK533" i="2"/>
  <c r="AJ533" i="2"/>
  <c r="AI533" i="2"/>
  <c r="AH533" i="2"/>
  <c r="AG533" i="2"/>
  <c r="AF533" i="2"/>
  <c r="AE533" i="2"/>
  <c r="AD533" i="2"/>
  <c r="AC533" i="2"/>
  <c r="AB533" i="2"/>
  <c r="AA533" i="2"/>
  <c r="N533" i="2"/>
  <c r="M533" i="2"/>
  <c r="L533" i="2"/>
  <c r="F533" i="2"/>
  <c r="E533" i="2"/>
  <c r="BM532" i="2"/>
  <c r="BL532" i="2"/>
  <c r="BK532" i="2"/>
  <c r="BJ532" i="2"/>
  <c r="BI532" i="2"/>
  <c r="BH532" i="2"/>
  <c r="BG532" i="2"/>
  <c r="BF532" i="2"/>
  <c r="BE532" i="2"/>
  <c r="BD532" i="2"/>
  <c r="BC532" i="2"/>
  <c r="BB532" i="2"/>
  <c r="BA532" i="2"/>
  <c r="AZ532" i="2"/>
  <c r="AY532" i="2"/>
  <c r="AX532" i="2"/>
  <c r="AW532" i="2"/>
  <c r="AV532" i="2"/>
  <c r="AU532" i="2"/>
  <c r="AT532" i="2"/>
  <c r="AS532" i="2"/>
  <c r="AR532" i="2"/>
  <c r="AQ532" i="2"/>
  <c r="AP532" i="2"/>
  <c r="AO532" i="2"/>
  <c r="AN532" i="2"/>
  <c r="AM532" i="2"/>
  <c r="AL532" i="2"/>
  <c r="AK532" i="2"/>
  <c r="AJ532" i="2"/>
  <c r="AI532" i="2"/>
  <c r="AH532" i="2"/>
  <c r="AG532" i="2"/>
  <c r="AF532" i="2"/>
  <c r="AE532" i="2"/>
  <c r="AD532" i="2"/>
  <c r="AC532" i="2"/>
  <c r="AB532" i="2"/>
  <c r="AA532" i="2"/>
  <c r="N532" i="2"/>
  <c r="M532" i="2"/>
  <c r="L532" i="2"/>
  <c r="F532" i="2"/>
  <c r="E532" i="2"/>
  <c r="BM531" i="2"/>
  <c r="BL531" i="2"/>
  <c r="BK531" i="2"/>
  <c r="BJ531" i="2"/>
  <c r="BI531" i="2"/>
  <c r="BH531" i="2"/>
  <c r="BG531" i="2"/>
  <c r="BF531" i="2"/>
  <c r="BE531" i="2"/>
  <c r="BD531" i="2"/>
  <c r="BC531" i="2"/>
  <c r="BB531" i="2"/>
  <c r="BA531" i="2"/>
  <c r="AZ531" i="2"/>
  <c r="AX531" i="2"/>
  <c r="AW531" i="2"/>
  <c r="AU531" i="2"/>
  <c r="AT531" i="2"/>
  <c r="AS531" i="2"/>
  <c r="AR531" i="2"/>
  <c r="AQ531" i="2"/>
  <c r="AP531" i="2"/>
  <c r="AO531" i="2"/>
  <c r="AN531" i="2"/>
  <c r="AM531" i="2"/>
  <c r="AL531" i="2"/>
  <c r="AK531" i="2"/>
  <c r="AJ531" i="2"/>
  <c r="AI531" i="2"/>
  <c r="AH531" i="2"/>
  <c r="AG531" i="2"/>
  <c r="AF531" i="2"/>
  <c r="AE531" i="2"/>
  <c r="AD531" i="2"/>
  <c r="AC531" i="2"/>
  <c r="AB531" i="2"/>
  <c r="AA531" i="2"/>
  <c r="N531" i="2"/>
  <c r="M531" i="2"/>
  <c r="L531" i="2"/>
  <c r="F531" i="2"/>
  <c r="E531" i="2"/>
  <c r="BM530" i="2"/>
  <c r="BL530" i="2"/>
  <c r="BK530" i="2"/>
  <c r="BJ530" i="2"/>
  <c r="BI530" i="2"/>
  <c r="BH530" i="2"/>
  <c r="BG530" i="2"/>
  <c r="BF530" i="2"/>
  <c r="BE530" i="2"/>
  <c r="BD530" i="2"/>
  <c r="BC530" i="2"/>
  <c r="BB530" i="2"/>
  <c r="BA530" i="2"/>
  <c r="AZ530" i="2"/>
  <c r="AY530" i="2"/>
  <c r="AX530" i="2"/>
  <c r="AW530" i="2"/>
  <c r="AV530" i="2"/>
  <c r="AU530" i="2"/>
  <c r="AT530" i="2"/>
  <c r="AS530" i="2"/>
  <c r="AR530" i="2"/>
  <c r="AQ530" i="2"/>
  <c r="AP530" i="2"/>
  <c r="AO530" i="2"/>
  <c r="AN530" i="2"/>
  <c r="AM530" i="2"/>
  <c r="AL530" i="2"/>
  <c r="AK530" i="2"/>
  <c r="AJ530" i="2"/>
  <c r="AI530" i="2"/>
  <c r="AH530" i="2"/>
  <c r="AG530" i="2"/>
  <c r="AF530" i="2"/>
  <c r="AE530" i="2"/>
  <c r="AD530" i="2"/>
  <c r="AC530" i="2"/>
  <c r="AB530" i="2"/>
  <c r="AA530" i="2"/>
  <c r="N530" i="2"/>
  <c r="M530" i="2"/>
  <c r="L530" i="2"/>
  <c r="F530" i="2"/>
  <c r="E530" i="2"/>
  <c r="F529" i="2"/>
  <c r="E529" i="2"/>
  <c r="BM528" i="2"/>
  <c r="BL528" i="2"/>
  <c r="BK528" i="2"/>
  <c r="BJ528" i="2"/>
  <c r="BI528" i="2"/>
  <c r="BH528" i="2"/>
  <c r="BG528" i="2"/>
  <c r="BF528" i="2"/>
  <c r="BE528" i="2"/>
  <c r="BD528" i="2"/>
  <c r="BC528" i="2"/>
  <c r="BB528" i="2"/>
  <c r="BA528" i="2"/>
  <c r="AZ528" i="2"/>
  <c r="AY528" i="2"/>
  <c r="AX528" i="2"/>
  <c r="AW528" i="2"/>
  <c r="AV528" i="2"/>
  <c r="AU528" i="2"/>
  <c r="AT528" i="2"/>
  <c r="AS528" i="2"/>
  <c r="AR528" i="2"/>
  <c r="AQ528" i="2"/>
  <c r="AP528" i="2"/>
  <c r="AO528" i="2"/>
  <c r="AN528" i="2"/>
  <c r="AM528" i="2"/>
  <c r="AL528" i="2"/>
  <c r="AK528" i="2"/>
  <c r="AJ528" i="2"/>
  <c r="AI528" i="2"/>
  <c r="AH528" i="2"/>
  <c r="AG528" i="2"/>
  <c r="AF528" i="2"/>
  <c r="AE528" i="2"/>
  <c r="AD528" i="2"/>
  <c r="AC528" i="2"/>
  <c r="AB528" i="2"/>
  <c r="AA528" i="2"/>
  <c r="N528" i="2"/>
  <c r="M528" i="2"/>
  <c r="L528" i="2"/>
  <c r="F528" i="2"/>
  <c r="F527" i="2"/>
  <c r="E527" i="2"/>
  <c r="BM526" i="2"/>
  <c r="BL526" i="2"/>
  <c r="BK526" i="2"/>
  <c r="BJ526" i="2"/>
  <c r="BI526" i="2"/>
  <c r="BH526" i="2"/>
  <c r="BG526" i="2"/>
  <c r="BF526" i="2"/>
  <c r="BE526" i="2"/>
  <c r="BD526" i="2"/>
  <c r="BC526" i="2"/>
  <c r="BB526" i="2"/>
  <c r="BA526" i="2"/>
  <c r="AZ526" i="2"/>
  <c r="AY526" i="2"/>
  <c r="AX526" i="2"/>
  <c r="AW526" i="2"/>
  <c r="AV526" i="2"/>
  <c r="AU526" i="2"/>
  <c r="AT526" i="2"/>
  <c r="AS526" i="2"/>
  <c r="AR526" i="2"/>
  <c r="AQ526" i="2"/>
  <c r="AP526" i="2"/>
  <c r="AO526" i="2"/>
  <c r="AN526" i="2"/>
  <c r="AM526" i="2"/>
  <c r="AL526" i="2"/>
  <c r="AK526" i="2"/>
  <c r="AJ526" i="2"/>
  <c r="AI526" i="2"/>
  <c r="AH526" i="2"/>
  <c r="AG526" i="2"/>
  <c r="AF526" i="2"/>
  <c r="AE526" i="2"/>
  <c r="AD526" i="2"/>
  <c r="AC526" i="2"/>
  <c r="AB526" i="2"/>
  <c r="AA526" i="2"/>
  <c r="N526" i="2"/>
  <c r="M526" i="2"/>
  <c r="L526" i="2"/>
  <c r="F526" i="2"/>
  <c r="E526" i="2"/>
  <c r="F525" i="2"/>
  <c r="BB500" i="2"/>
  <c r="F524" i="2"/>
  <c r="E524" i="2"/>
  <c r="F523" i="2"/>
  <c r="E523" i="2"/>
  <c r="BM522" i="2"/>
  <c r="BL522" i="2"/>
  <c r="BK522" i="2"/>
  <c r="BJ522" i="2"/>
  <c r="BI522" i="2"/>
  <c r="BH522" i="2"/>
  <c r="BG522" i="2"/>
  <c r="BF522" i="2"/>
  <c r="BE522" i="2"/>
  <c r="BD522" i="2"/>
  <c r="BC522" i="2"/>
  <c r="BB522" i="2"/>
  <c r="BA522" i="2"/>
  <c r="AZ522" i="2"/>
  <c r="AY522" i="2"/>
  <c r="AX522" i="2"/>
  <c r="AW522" i="2"/>
  <c r="AV522" i="2"/>
  <c r="AU522" i="2"/>
  <c r="AT522" i="2"/>
  <c r="AS522" i="2"/>
  <c r="AR522" i="2"/>
  <c r="AQ522" i="2"/>
  <c r="AP522" i="2"/>
  <c r="AO522" i="2"/>
  <c r="AN522" i="2"/>
  <c r="AM522" i="2"/>
  <c r="AL522" i="2"/>
  <c r="AK522" i="2"/>
  <c r="AJ522" i="2"/>
  <c r="AI522" i="2"/>
  <c r="AH522" i="2"/>
  <c r="AG522" i="2"/>
  <c r="AF522" i="2"/>
  <c r="AE522" i="2"/>
  <c r="AD522" i="2"/>
  <c r="AC522" i="2"/>
  <c r="AB522" i="2"/>
  <c r="AA522" i="2"/>
  <c r="N522" i="2"/>
  <c r="M522" i="2"/>
  <c r="L522" i="2"/>
  <c r="F522" i="2"/>
  <c r="E522" i="2"/>
  <c r="BM520" i="2"/>
  <c r="BL520" i="2"/>
  <c r="BK520" i="2"/>
  <c r="BJ520" i="2"/>
  <c r="BI520" i="2"/>
  <c r="BH520" i="2"/>
  <c r="BG520" i="2"/>
  <c r="BF520" i="2"/>
  <c r="BE520" i="2"/>
  <c r="BD520" i="2"/>
  <c r="BC520" i="2"/>
  <c r="BB520" i="2"/>
  <c r="BA520" i="2"/>
  <c r="AZ520" i="2"/>
  <c r="AY520" i="2"/>
  <c r="AX520" i="2"/>
  <c r="AW520" i="2"/>
  <c r="AV520" i="2"/>
  <c r="AU520" i="2"/>
  <c r="AT520" i="2"/>
  <c r="AS520" i="2"/>
  <c r="AR520" i="2"/>
  <c r="AQ520" i="2"/>
  <c r="AP520" i="2"/>
  <c r="AO520" i="2"/>
  <c r="AN520" i="2"/>
  <c r="AM520" i="2"/>
  <c r="AL520" i="2"/>
  <c r="AK520" i="2"/>
  <c r="AJ520" i="2"/>
  <c r="AI520" i="2"/>
  <c r="AH520" i="2"/>
  <c r="AG520" i="2"/>
  <c r="AF520" i="2"/>
  <c r="AE520" i="2"/>
  <c r="AD520" i="2"/>
  <c r="AC520" i="2"/>
  <c r="AB520" i="2"/>
  <c r="AA520" i="2"/>
  <c r="N520" i="2"/>
  <c r="M520" i="2"/>
  <c r="L520" i="2"/>
  <c r="F520" i="2"/>
  <c r="E520" i="2"/>
  <c r="BM519" i="2"/>
  <c r="BL519" i="2"/>
  <c r="BK519" i="2"/>
  <c r="BJ519" i="2"/>
  <c r="BI519" i="2"/>
  <c r="BH519" i="2"/>
  <c r="BG519" i="2"/>
  <c r="BF519" i="2"/>
  <c r="BE519" i="2"/>
  <c r="BD519" i="2"/>
  <c r="BC519" i="2"/>
  <c r="BB519" i="2"/>
  <c r="BA519" i="2"/>
  <c r="AZ519" i="2"/>
  <c r="AY519" i="2"/>
  <c r="AX519" i="2"/>
  <c r="AW519" i="2"/>
  <c r="AV519" i="2"/>
  <c r="AU519" i="2"/>
  <c r="AT519" i="2"/>
  <c r="AS519" i="2"/>
  <c r="AR519" i="2"/>
  <c r="AQ519" i="2"/>
  <c r="AP519" i="2"/>
  <c r="AO519" i="2"/>
  <c r="AN519" i="2"/>
  <c r="AM519" i="2"/>
  <c r="AL519" i="2"/>
  <c r="AK519" i="2"/>
  <c r="AJ519" i="2"/>
  <c r="AI519" i="2"/>
  <c r="AH519" i="2"/>
  <c r="AG519" i="2"/>
  <c r="AF519" i="2"/>
  <c r="AE519" i="2"/>
  <c r="AD519" i="2"/>
  <c r="AC519" i="2"/>
  <c r="AB519" i="2"/>
  <c r="AA519" i="2"/>
  <c r="N519" i="2"/>
  <c r="L519" i="2"/>
  <c r="F519" i="2"/>
  <c r="BM518" i="2"/>
  <c r="BL518" i="2"/>
  <c r="BK518" i="2"/>
  <c r="BJ518" i="2"/>
  <c r="BI518" i="2"/>
  <c r="BH518" i="2"/>
  <c r="BG518" i="2"/>
  <c r="BF518" i="2"/>
  <c r="BE518" i="2"/>
  <c r="BD518" i="2"/>
  <c r="BC518" i="2"/>
  <c r="BB518" i="2"/>
  <c r="BA518" i="2"/>
  <c r="AZ518" i="2"/>
  <c r="AY518" i="2"/>
  <c r="AX518" i="2"/>
  <c r="AW518" i="2"/>
  <c r="AV518" i="2"/>
  <c r="AU518" i="2"/>
  <c r="AT518" i="2"/>
  <c r="AS518" i="2"/>
  <c r="AR518" i="2"/>
  <c r="AQ518" i="2"/>
  <c r="AP518" i="2"/>
  <c r="AO518" i="2"/>
  <c r="AN518" i="2"/>
  <c r="AM518" i="2"/>
  <c r="AL518" i="2"/>
  <c r="AK518" i="2"/>
  <c r="AJ518" i="2"/>
  <c r="AI518" i="2"/>
  <c r="AH518" i="2"/>
  <c r="AG518" i="2"/>
  <c r="AF518" i="2"/>
  <c r="AE518" i="2"/>
  <c r="AD518" i="2"/>
  <c r="AC518" i="2"/>
  <c r="AB518" i="2"/>
  <c r="AA518" i="2"/>
  <c r="N518" i="2"/>
  <c r="M518" i="2"/>
  <c r="L518" i="2"/>
  <c r="F518" i="2"/>
  <c r="E518" i="2"/>
  <c r="BM517" i="2"/>
  <c r="BL517" i="2"/>
  <c r="BK517" i="2"/>
  <c r="BJ517" i="2"/>
  <c r="BI517" i="2"/>
  <c r="BH517" i="2"/>
  <c r="BG517" i="2"/>
  <c r="BF517" i="2"/>
  <c r="BE517" i="2"/>
  <c r="BD517" i="2"/>
  <c r="BC517" i="2"/>
  <c r="BB517" i="2"/>
  <c r="BA517" i="2"/>
  <c r="AZ517" i="2"/>
  <c r="AY517" i="2"/>
  <c r="AX517" i="2"/>
  <c r="AW517" i="2"/>
  <c r="AV517" i="2"/>
  <c r="AU517" i="2"/>
  <c r="AT517" i="2"/>
  <c r="AS517" i="2"/>
  <c r="AR517" i="2"/>
  <c r="AQ517" i="2"/>
  <c r="AP517" i="2"/>
  <c r="AO517" i="2"/>
  <c r="AN517" i="2"/>
  <c r="AM517" i="2"/>
  <c r="AL517" i="2"/>
  <c r="AK517" i="2"/>
  <c r="AJ517" i="2"/>
  <c r="AI517" i="2"/>
  <c r="AH517" i="2"/>
  <c r="AG517" i="2"/>
  <c r="AF517" i="2"/>
  <c r="AE517" i="2"/>
  <c r="AD517" i="2"/>
  <c r="AC517" i="2"/>
  <c r="AB517" i="2"/>
  <c r="AA517" i="2"/>
  <c r="N517" i="2"/>
  <c r="M517" i="2"/>
  <c r="L517" i="2"/>
  <c r="F517" i="2"/>
  <c r="E517" i="2"/>
  <c r="F516" i="2"/>
  <c r="E516" i="2"/>
  <c r="F515" i="2"/>
  <c r="E515" i="2"/>
  <c r="F514" i="2"/>
  <c r="E514" i="2"/>
  <c r="F513" i="2"/>
  <c r="E513" i="2"/>
  <c r="BM512" i="2"/>
  <c r="BL512" i="2"/>
  <c r="BK512" i="2"/>
  <c r="BJ512" i="2"/>
  <c r="BI512" i="2"/>
  <c r="BH512" i="2"/>
  <c r="BG512" i="2"/>
  <c r="BF512" i="2"/>
  <c r="BE512" i="2"/>
  <c r="BD512" i="2"/>
  <c r="BC512" i="2"/>
  <c r="BB512" i="2"/>
  <c r="BA512" i="2"/>
  <c r="AZ512" i="2"/>
  <c r="AY512" i="2"/>
  <c r="AX512" i="2"/>
  <c r="AW512" i="2"/>
  <c r="AV512" i="2"/>
  <c r="AU512" i="2"/>
  <c r="AT512" i="2"/>
  <c r="AS512" i="2"/>
  <c r="AR512" i="2"/>
  <c r="AQ512" i="2"/>
  <c r="AP512" i="2"/>
  <c r="AO512" i="2"/>
  <c r="AN512" i="2"/>
  <c r="AM512" i="2"/>
  <c r="AL512" i="2"/>
  <c r="AK512" i="2"/>
  <c r="AJ512" i="2"/>
  <c r="AI512" i="2"/>
  <c r="AH512" i="2"/>
  <c r="AG512" i="2"/>
  <c r="AF512" i="2"/>
  <c r="AE512" i="2"/>
  <c r="AD512" i="2"/>
  <c r="AC512" i="2"/>
  <c r="AB512" i="2"/>
  <c r="AA512" i="2"/>
  <c r="N512" i="2"/>
  <c r="M512" i="2"/>
  <c r="L512" i="2"/>
  <c r="F512" i="2"/>
  <c r="BM511" i="2"/>
  <c r="BL511" i="2"/>
  <c r="BK511" i="2"/>
  <c r="BJ511" i="2"/>
  <c r="BI511" i="2"/>
  <c r="BH511" i="2"/>
  <c r="BG511" i="2"/>
  <c r="BF511" i="2"/>
  <c r="BE511" i="2"/>
  <c r="BD511" i="2"/>
  <c r="BC511" i="2"/>
  <c r="BB511" i="2"/>
  <c r="BA511" i="2"/>
  <c r="AZ511" i="2"/>
  <c r="AW511" i="2"/>
  <c r="AU511" i="2"/>
  <c r="AT511" i="2"/>
  <c r="AR511" i="2"/>
  <c r="AQ511" i="2"/>
  <c r="AP511" i="2"/>
  <c r="AO511" i="2"/>
  <c r="AN511" i="2"/>
  <c r="AL511" i="2"/>
  <c r="AK511" i="2"/>
  <c r="AI511" i="2"/>
  <c r="AH511" i="2"/>
  <c r="AF511" i="2"/>
  <c r="AE511" i="2"/>
  <c r="AD511" i="2"/>
  <c r="AC511" i="2"/>
  <c r="AB511" i="2"/>
  <c r="AA511" i="2"/>
  <c r="M511" i="2"/>
  <c r="L511" i="2"/>
  <c r="F511" i="2"/>
  <c r="E511" i="2"/>
  <c r="BM510" i="2"/>
  <c r="BL510" i="2"/>
  <c r="BK510" i="2"/>
  <c r="BJ510" i="2"/>
  <c r="BI510" i="2"/>
  <c r="BH510" i="2"/>
  <c r="BG510" i="2"/>
  <c r="BF510" i="2"/>
  <c r="BE510" i="2"/>
  <c r="BD510" i="2"/>
  <c r="BC510" i="2"/>
  <c r="BB510" i="2"/>
  <c r="BA510" i="2"/>
  <c r="AZ510" i="2"/>
  <c r="AY510" i="2"/>
  <c r="AX510" i="2"/>
  <c r="AW510" i="2"/>
  <c r="AV510" i="2"/>
  <c r="AU510" i="2"/>
  <c r="AT510" i="2"/>
  <c r="AS510" i="2"/>
  <c r="AR510" i="2"/>
  <c r="AQ510" i="2"/>
  <c r="AP510" i="2"/>
  <c r="AO510" i="2"/>
  <c r="AN510" i="2"/>
  <c r="AM510" i="2"/>
  <c r="AL510" i="2"/>
  <c r="AK510" i="2"/>
  <c r="AJ510" i="2"/>
  <c r="AI510" i="2"/>
  <c r="AH510" i="2"/>
  <c r="AG510" i="2"/>
  <c r="AF510" i="2"/>
  <c r="AE510" i="2"/>
  <c r="AD510" i="2"/>
  <c r="AC510" i="2"/>
  <c r="AB510" i="2"/>
  <c r="AA510" i="2"/>
  <c r="N510" i="2"/>
  <c r="M510" i="2"/>
  <c r="L510" i="2"/>
  <c r="H500" i="2"/>
  <c r="F510" i="2"/>
  <c r="E510" i="2"/>
  <c r="BM509" i="2"/>
  <c r="BL509" i="2"/>
  <c r="BK509" i="2"/>
  <c r="BJ509" i="2"/>
  <c r="BI509" i="2"/>
  <c r="BH509" i="2"/>
  <c r="BG509" i="2"/>
  <c r="BF509" i="2"/>
  <c r="BE509" i="2"/>
  <c r="BD509" i="2"/>
  <c r="BC509" i="2"/>
  <c r="BB509" i="2"/>
  <c r="BA509" i="2"/>
  <c r="AZ509" i="2"/>
  <c r="AY509" i="2"/>
  <c r="AX509" i="2"/>
  <c r="AW509" i="2"/>
  <c r="AV509" i="2"/>
  <c r="AU509" i="2"/>
  <c r="AT509" i="2"/>
  <c r="AS509" i="2"/>
  <c r="AR509" i="2"/>
  <c r="AQ509" i="2"/>
  <c r="AP509" i="2"/>
  <c r="AO509" i="2"/>
  <c r="AN509" i="2"/>
  <c r="AM509" i="2"/>
  <c r="AL509" i="2"/>
  <c r="AK509" i="2"/>
  <c r="AJ509" i="2"/>
  <c r="AI509" i="2"/>
  <c r="AH509" i="2"/>
  <c r="AG509" i="2"/>
  <c r="AF509" i="2"/>
  <c r="AE509" i="2"/>
  <c r="AD509" i="2"/>
  <c r="AC509" i="2"/>
  <c r="AB509" i="2"/>
  <c r="AA509" i="2"/>
  <c r="N509" i="2"/>
  <c r="M509" i="2"/>
  <c r="L509" i="2"/>
  <c r="F509" i="2"/>
  <c r="E509" i="2"/>
  <c r="BM508" i="2"/>
  <c r="BL508" i="2"/>
  <c r="BK508" i="2"/>
  <c r="BJ508" i="2"/>
  <c r="BI508" i="2"/>
  <c r="BH508" i="2"/>
  <c r="BG508" i="2"/>
  <c r="BF508" i="2"/>
  <c r="BE508" i="2"/>
  <c r="BD508" i="2"/>
  <c r="BC508" i="2"/>
  <c r="BB508" i="2"/>
  <c r="BA508" i="2"/>
  <c r="AZ508" i="2"/>
  <c r="AY508" i="2"/>
  <c r="AX508" i="2"/>
  <c r="AW508" i="2"/>
  <c r="AV508" i="2"/>
  <c r="AU508" i="2"/>
  <c r="AT508" i="2"/>
  <c r="AS508" i="2"/>
  <c r="AR508" i="2"/>
  <c r="AQ508" i="2"/>
  <c r="AP508" i="2"/>
  <c r="AO508" i="2"/>
  <c r="AN508" i="2"/>
  <c r="AM508" i="2"/>
  <c r="AL508" i="2"/>
  <c r="AK508" i="2"/>
  <c r="AJ508" i="2"/>
  <c r="AI508" i="2"/>
  <c r="AH508" i="2"/>
  <c r="AG508" i="2"/>
  <c r="AF508" i="2"/>
  <c r="AE508" i="2"/>
  <c r="AD508" i="2"/>
  <c r="AC508" i="2"/>
  <c r="AB508" i="2"/>
  <c r="AA508" i="2"/>
  <c r="N508" i="2"/>
  <c r="M508" i="2"/>
  <c r="L508" i="2"/>
  <c r="F508" i="2"/>
  <c r="E508" i="2"/>
  <c r="BM507" i="2"/>
  <c r="BL507" i="2"/>
  <c r="BK507" i="2"/>
  <c r="BJ507" i="2"/>
  <c r="BI507" i="2"/>
  <c r="BH507" i="2"/>
  <c r="BG507" i="2"/>
  <c r="BF507" i="2"/>
  <c r="BE507" i="2"/>
  <c r="BD507" i="2"/>
  <c r="BC507" i="2"/>
  <c r="BB507" i="2"/>
  <c r="BA507" i="2"/>
  <c r="AZ507" i="2"/>
  <c r="AX507" i="2"/>
  <c r="AW507" i="2"/>
  <c r="AU507" i="2"/>
  <c r="AT507" i="2"/>
  <c r="AS507" i="2"/>
  <c r="AR507" i="2"/>
  <c r="AQ507" i="2"/>
  <c r="AP507" i="2"/>
  <c r="AO507" i="2"/>
  <c r="AN507" i="2"/>
  <c r="AL507" i="2"/>
  <c r="AK507" i="2"/>
  <c r="AJ507" i="2"/>
  <c r="AI507" i="2"/>
  <c r="AH507" i="2"/>
  <c r="AG507" i="2"/>
  <c r="AF507" i="2"/>
  <c r="AE507" i="2"/>
  <c r="AD507" i="2"/>
  <c r="AC507" i="2"/>
  <c r="AB507" i="2"/>
  <c r="AA507" i="2"/>
  <c r="N507" i="2"/>
  <c r="M507" i="2"/>
  <c r="L507" i="2"/>
  <c r="F507" i="2"/>
  <c r="BM506" i="2"/>
  <c r="BL506" i="2"/>
  <c r="BK506" i="2"/>
  <c r="BJ506" i="2"/>
  <c r="BI506" i="2"/>
  <c r="BH506" i="2"/>
  <c r="BG506" i="2"/>
  <c r="BF506" i="2"/>
  <c r="BE506" i="2"/>
  <c r="BD506" i="2"/>
  <c r="BC506" i="2"/>
  <c r="BB506" i="2"/>
  <c r="BA506" i="2"/>
  <c r="AZ506" i="2"/>
  <c r="AY506" i="2"/>
  <c r="AX506" i="2"/>
  <c r="AW506" i="2"/>
  <c r="AV506" i="2"/>
  <c r="AU506" i="2"/>
  <c r="AT506" i="2"/>
  <c r="AS506" i="2"/>
  <c r="AR506" i="2"/>
  <c r="AQ506" i="2"/>
  <c r="AP506" i="2"/>
  <c r="AO506" i="2"/>
  <c r="AN506" i="2"/>
  <c r="AM506" i="2"/>
  <c r="AL506" i="2"/>
  <c r="AK506" i="2"/>
  <c r="AJ506" i="2"/>
  <c r="AI506" i="2"/>
  <c r="AH506" i="2"/>
  <c r="AG506" i="2"/>
  <c r="AF506" i="2"/>
  <c r="AE506" i="2"/>
  <c r="AD506" i="2"/>
  <c r="AC506" i="2"/>
  <c r="AB506" i="2"/>
  <c r="AA506" i="2"/>
  <c r="N506" i="2"/>
  <c r="M506" i="2"/>
  <c r="L506" i="2"/>
  <c r="L500" i="2" s="1"/>
  <c r="F506" i="2"/>
  <c r="BM505" i="2"/>
  <c r="BL505" i="2"/>
  <c r="BK505" i="2"/>
  <c r="BJ505" i="2"/>
  <c r="BI505" i="2"/>
  <c r="BH505" i="2"/>
  <c r="BG505" i="2"/>
  <c r="BF505" i="2"/>
  <c r="BE505" i="2"/>
  <c r="BD505" i="2"/>
  <c r="BC505" i="2"/>
  <c r="BB505" i="2"/>
  <c r="BA505" i="2"/>
  <c r="AZ505" i="2"/>
  <c r="AY505" i="2"/>
  <c r="AX505" i="2"/>
  <c r="AW505" i="2"/>
  <c r="AV505" i="2"/>
  <c r="AU505" i="2"/>
  <c r="AT505" i="2"/>
  <c r="AS505" i="2"/>
  <c r="AR505" i="2"/>
  <c r="AQ505" i="2"/>
  <c r="AP505" i="2"/>
  <c r="AO505" i="2"/>
  <c r="AN505" i="2"/>
  <c r="AM505" i="2"/>
  <c r="AL505" i="2"/>
  <c r="AK505" i="2"/>
  <c r="AJ505" i="2"/>
  <c r="AI505" i="2"/>
  <c r="AH505" i="2"/>
  <c r="AG505" i="2"/>
  <c r="AF505" i="2"/>
  <c r="AE505" i="2"/>
  <c r="AD505" i="2"/>
  <c r="AC505" i="2"/>
  <c r="AB505" i="2"/>
  <c r="AA505" i="2"/>
  <c r="M505" i="2"/>
  <c r="L505" i="2"/>
  <c r="F505" i="2"/>
  <c r="E505" i="2"/>
  <c r="BM504" i="2"/>
  <c r="BL504" i="2"/>
  <c r="BK504" i="2"/>
  <c r="BJ504" i="2"/>
  <c r="BI504" i="2"/>
  <c r="BH504" i="2"/>
  <c r="BG504" i="2"/>
  <c r="BF504" i="2"/>
  <c r="BE504" i="2"/>
  <c r="BD504" i="2"/>
  <c r="BC504" i="2"/>
  <c r="BB504" i="2"/>
  <c r="BA504" i="2"/>
  <c r="AZ504" i="2"/>
  <c r="AY504" i="2"/>
  <c r="AX504" i="2"/>
  <c r="AW504" i="2"/>
  <c r="AV504" i="2"/>
  <c r="AU504" i="2"/>
  <c r="AT504" i="2"/>
  <c r="AS504" i="2"/>
  <c r="AR504" i="2"/>
  <c r="AQ504" i="2"/>
  <c r="AP504" i="2"/>
  <c r="AO504" i="2"/>
  <c r="AN504" i="2"/>
  <c r="AM504" i="2"/>
  <c r="AL504" i="2"/>
  <c r="AK504" i="2"/>
  <c r="AJ504" i="2"/>
  <c r="AI504" i="2"/>
  <c r="AH504" i="2"/>
  <c r="AG504" i="2"/>
  <c r="AF504" i="2"/>
  <c r="AE504" i="2"/>
  <c r="AD504" i="2"/>
  <c r="AC504" i="2"/>
  <c r="AB504" i="2"/>
  <c r="AA504" i="2"/>
  <c r="M504" i="2"/>
  <c r="L504" i="2"/>
  <c r="F504" i="2"/>
  <c r="E504" i="2"/>
  <c r="E503" i="2"/>
  <c r="BL500" i="2"/>
  <c r="BF500" i="2"/>
  <c r="BE500" i="2"/>
  <c r="E502" i="2"/>
  <c r="BM501" i="2"/>
  <c r="BL501" i="2"/>
  <c r="BK501" i="2"/>
  <c r="BJ501" i="2"/>
  <c r="BJ500" i="2" s="1"/>
  <c r="BI501" i="2"/>
  <c r="BH501" i="2"/>
  <c r="BG501" i="2"/>
  <c r="BF501" i="2"/>
  <c r="BE501" i="2"/>
  <c r="BD501" i="2"/>
  <c r="BC501" i="2"/>
  <c r="BC500" i="2" s="1"/>
  <c r="BB501" i="2"/>
  <c r="BA501" i="2"/>
  <c r="AZ501" i="2"/>
  <c r="AX501" i="2"/>
  <c r="AW501" i="2"/>
  <c r="AU501" i="2"/>
  <c r="AT501" i="2"/>
  <c r="AR501" i="2"/>
  <c r="AQ501" i="2"/>
  <c r="AO501" i="2"/>
  <c r="AN501" i="2"/>
  <c r="AL501" i="2"/>
  <c r="AK501" i="2"/>
  <c r="AJ501" i="2"/>
  <c r="AI501" i="2"/>
  <c r="AH501" i="2"/>
  <c r="AF501" i="2"/>
  <c r="AE501" i="2"/>
  <c r="AD501" i="2"/>
  <c r="AC501" i="2"/>
  <c r="AC500" i="2" s="1"/>
  <c r="AB501" i="2"/>
  <c r="AA501" i="2"/>
  <c r="N501" i="2"/>
  <c r="M501" i="2"/>
  <c r="L501" i="2"/>
  <c r="F501" i="2"/>
  <c r="BK500" i="2"/>
  <c r="BI500" i="2"/>
  <c r="BH500" i="2"/>
  <c r="BD500" i="2"/>
  <c r="AF500" i="2"/>
  <c r="AA500" i="2"/>
  <c r="BV494" i="2"/>
  <c r="BU494" i="2"/>
  <c r="BV493" i="2"/>
  <c r="BU493" i="2"/>
  <c r="BV492" i="2"/>
  <c r="BU492" i="2"/>
  <c r="AC492" i="2"/>
  <c r="M492" i="2"/>
  <c r="BV491" i="2"/>
  <c r="BU491" i="2"/>
  <c r="M491" i="2"/>
  <c r="BV490" i="2"/>
  <c r="BU490" i="2"/>
  <c r="M490" i="2"/>
  <c r="BV489" i="2"/>
  <c r="BU489" i="2"/>
  <c r="AC489" i="2"/>
  <c r="BV488" i="2"/>
  <c r="BU488" i="2"/>
  <c r="AC488" i="2"/>
  <c r="BV487" i="2"/>
  <c r="BU487" i="2"/>
  <c r="BV486" i="2"/>
  <c r="BU486" i="2"/>
  <c r="BV485" i="2"/>
  <c r="BU485" i="2"/>
  <c r="AI485" i="2"/>
  <c r="AC485" i="2"/>
  <c r="M42" i="3" s="1"/>
  <c r="AA485" i="2"/>
  <c r="M40" i="3" s="1"/>
  <c r="BV484" i="2"/>
  <c r="BU484" i="2"/>
  <c r="BV483" i="2"/>
  <c r="BU483" i="2"/>
  <c r="AN483" i="2"/>
  <c r="AJ483" i="2"/>
  <c r="AH483" i="2"/>
  <c r="AF483" i="2"/>
  <c r="M39" i="3" s="1"/>
  <c r="AE483" i="2"/>
  <c r="M38" i="3" s="1"/>
  <c r="AC483" i="2"/>
  <c r="M36" i="3" s="1"/>
  <c r="AA483" i="2"/>
  <c r="BV482" i="2"/>
  <c r="BU482" i="2"/>
  <c r="BV481" i="2"/>
  <c r="BU481" i="2"/>
  <c r="Z480" i="2"/>
  <c r="Y480" i="2"/>
  <c r="X480" i="2"/>
  <c r="F480" i="2"/>
  <c r="G480" i="2" s="1"/>
  <c r="Z479" i="2"/>
  <c r="Y479" i="2"/>
  <c r="X479" i="2"/>
  <c r="W479" i="2"/>
  <c r="V479" i="2"/>
  <c r="T479" i="2"/>
  <c r="S479" i="2"/>
  <c r="R479" i="2"/>
  <c r="Q479" i="2"/>
  <c r="P479" i="2"/>
  <c r="O479" i="2"/>
  <c r="I479" i="2"/>
  <c r="G479" i="2"/>
  <c r="J479" i="2" s="1"/>
  <c r="Z478" i="2"/>
  <c r="Y478" i="2"/>
  <c r="X478" i="2"/>
  <c r="W478" i="2"/>
  <c r="T478" i="2"/>
  <c r="S478" i="2"/>
  <c r="S473" i="2" s="1"/>
  <c r="R478" i="2"/>
  <c r="Q478" i="2"/>
  <c r="P478" i="2"/>
  <c r="V478" i="2" s="1"/>
  <c r="O478" i="2"/>
  <c r="K478" i="2"/>
  <c r="J478" i="2"/>
  <c r="G478" i="2"/>
  <c r="I478" i="2" s="1"/>
  <c r="BO509" i="2"/>
  <c r="Z477" i="2"/>
  <c r="T477" i="2"/>
  <c r="T509" i="2" s="1"/>
  <c r="S477" i="2"/>
  <c r="S509" i="2" s="1"/>
  <c r="R477" i="2"/>
  <c r="R509" i="2" s="1"/>
  <c r="Q477" i="2"/>
  <c r="Q509" i="2" s="1"/>
  <c r="Z509" i="2" s="1"/>
  <c r="P477" i="2"/>
  <c r="P509" i="2" s="1"/>
  <c r="Y509" i="2" s="1"/>
  <c r="O477" i="2"/>
  <c r="K477" i="2"/>
  <c r="G477" i="2"/>
  <c r="Y476" i="2"/>
  <c r="W476" i="2"/>
  <c r="T476" i="2"/>
  <c r="S476" i="2"/>
  <c r="R476" i="2"/>
  <c r="Q476" i="2"/>
  <c r="Z476" i="2" s="1"/>
  <c r="P476" i="2"/>
  <c r="V476" i="2" s="1"/>
  <c r="O476" i="2"/>
  <c r="X476" i="2" s="1"/>
  <c r="K476" i="2"/>
  <c r="G476" i="2"/>
  <c r="BO504" i="2"/>
  <c r="W475" i="2"/>
  <c r="T475" i="2"/>
  <c r="T504" i="2" s="1"/>
  <c r="S475" i="2"/>
  <c r="S504" i="2" s="1"/>
  <c r="R475" i="2"/>
  <c r="R504" i="2" s="1"/>
  <c r="Q475" i="2"/>
  <c r="P475" i="2"/>
  <c r="O475" i="2"/>
  <c r="O504" i="2" s="1"/>
  <c r="J475" i="2"/>
  <c r="I475" i="2"/>
  <c r="G475" i="2"/>
  <c r="G504" i="2" s="1"/>
  <c r="X474" i="2"/>
  <c r="W474" i="2"/>
  <c r="T474" i="2"/>
  <c r="T473" i="2" s="1"/>
  <c r="S474" i="2"/>
  <c r="R474" i="2"/>
  <c r="Q474" i="2"/>
  <c r="P474" i="2"/>
  <c r="Y474" i="2" s="1"/>
  <c r="O474" i="2"/>
  <c r="G474" i="2"/>
  <c r="I474" i="2" s="1"/>
  <c r="BM473" i="2"/>
  <c r="BL473" i="2"/>
  <c r="BK473" i="2"/>
  <c r="BJ473" i="2"/>
  <c r="BI473" i="2"/>
  <c r="BH473" i="2"/>
  <c r="BG473" i="2"/>
  <c r="BF473" i="2"/>
  <c r="BE473" i="2"/>
  <c r="BD473" i="2"/>
  <c r="BC473" i="2"/>
  <c r="BB473" i="2"/>
  <c r="BA473" i="2"/>
  <c r="AZ473" i="2"/>
  <c r="AY473" i="2"/>
  <c r="AX473" i="2"/>
  <c r="AW473" i="2"/>
  <c r="AV473" i="2"/>
  <c r="AU473" i="2"/>
  <c r="AT473" i="2"/>
  <c r="AS473" i="2"/>
  <c r="AR473" i="2"/>
  <c r="AQ473" i="2"/>
  <c r="AP473" i="2"/>
  <c r="AO473" i="2"/>
  <c r="AN473" i="2"/>
  <c r="AM473" i="2"/>
  <c r="AL473" i="2"/>
  <c r="AK473" i="2"/>
  <c r="AJ473" i="2"/>
  <c r="AI473" i="2"/>
  <c r="AH473" i="2"/>
  <c r="AG473" i="2"/>
  <c r="AF473" i="2"/>
  <c r="AE473" i="2"/>
  <c r="AD473" i="2"/>
  <c r="AC473" i="2"/>
  <c r="AB473" i="2"/>
  <c r="AA473" i="2"/>
  <c r="R473" i="2"/>
  <c r="N473" i="2"/>
  <c r="M473" i="2"/>
  <c r="L473" i="2"/>
  <c r="H473" i="2"/>
  <c r="F473" i="2"/>
  <c r="E473" i="2"/>
  <c r="X472" i="2"/>
  <c r="T472" i="2"/>
  <c r="T588" i="2" s="1"/>
  <c r="S472" i="2"/>
  <c r="S588" i="2" s="1"/>
  <c r="R472" i="2"/>
  <c r="R588" i="2" s="1"/>
  <c r="Q472" i="2"/>
  <c r="P472" i="2"/>
  <c r="P588" i="2" s="1"/>
  <c r="Y588" i="2" s="1"/>
  <c r="O472" i="2"/>
  <c r="O588" i="2" s="1"/>
  <c r="X588" i="2" s="1"/>
  <c r="J472" i="2"/>
  <c r="G472" i="2"/>
  <c r="Y471" i="2"/>
  <c r="W471" i="2"/>
  <c r="T471" i="2"/>
  <c r="S471" i="2"/>
  <c r="R471" i="2"/>
  <c r="Q471" i="2"/>
  <c r="Z471" i="2" s="1"/>
  <c r="P471" i="2"/>
  <c r="V471" i="2" s="1"/>
  <c r="O471" i="2"/>
  <c r="X471" i="2" s="1"/>
  <c r="X470" i="2"/>
  <c r="T470" i="2"/>
  <c r="S470" i="2"/>
  <c r="R470" i="2"/>
  <c r="Q470" i="2"/>
  <c r="Z592" i="2" s="1"/>
  <c r="P470" i="2"/>
  <c r="Y592" i="2" s="1"/>
  <c r="O470" i="2"/>
  <c r="X592" i="2" s="1"/>
  <c r="I470" i="2"/>
  <c r="G470" i="2"/>
  <c r="Y469" i="2"/>
  <c r="X469" i="2"/>
  <c r="W469" i="2"/>
  <c r="T469" i="2"/>
  <c r="S469" i="2"/>
  <c r="R469" i="2"/>
  <c r="Q469" i="2"/>
  <c r="P469" i="2"/>
  <c r="V469" i="2" s="1"/>
  <c r="O469" i="2"/>
  <c r="J469" i="2"/>
  <c r="I469" i="2"/>
  <c r="G469" i="2"/>
  <c r="Z468" i="2"/>
  <c r="Y468" i="2"/>
  <c r="T468" i="2"/>
  <c r="S468" i="2"/>
  <c r="R468" i="2"/>
  <c r="Q468" i="2"/>
  <c r="P468" i="2"/>
  <c r="V468" i="2" s="1"/>
  <c r="O468" i="2"/>
  <c r="G468" i="2"/>
  <c r="I468" i="2" s="1"/>
  <c r="Z467" i="2"/>
  <c r="X467" i="2"/>
  <c r="T467" i="2"/>
  <c r="S467" i="2"/>
  <c r="R467" i="2"/>
  <c r="Q467" i="2"/>
  <c r="W467" i="2" s="1"/>
  <c r="P467" i="2"/>
  <c r="V467" i="2" s="1"/>
  <c r="O467" i="2"/>
  <c r="U467" i="2" s="1"/>
  <c r="I467" i="2"/>
  <c r="G467" i="2"/>
  <c r="J467" i="2" s="1"/>
  <c r="AY466" i="2"/>
  <c r="AY549" i="2" s="1"/>
  <c r="AE466" i="2"/>
  <c r="P466" i="2" s="1"/>
  <c r="X466" i="2"/>
  <c r="T466" i="2"/>
  <c r="S466" i="2"/>
  <c r="R466" i="2"/>
  <c r="Q466" i="2"/>
  <c r="Z466" i="2" s="1"/>
  <c r="O466" i="2"/>
  <c r="G466" i="2"/>
  <c r="Y465" i="2"/>
  <c r="X465" i="2"/>
  <c r="W465" i="2"/>
  <c r="T465" i="2"/>
  <c r="S465" i="2"/>
  <c r="R465" i="2"/>
  <c r="Q465" i="2"/>
  <c r="Z465" i="2" s="1"/>
  <c r="P465" i="2"/>
  <c r="V465" i="2" s="1"/>
  <c r="O465" i="2"/>
  <c r="J465" i="2"/>
  <c r="I465" i="2"/>
  <c r="G465" i="2"/>
  <c r="Y464" i="2"/>
  <c r="X464" i="2"/>
  <c r="T464" i="2"/>
  <c r="S464" i="2"/>
  <c r="R464" i="2"/>
  <c r="Q464" i="2"/>
  <c r="P464" i="2"/>
  <c r="V464" i="2" s="1"/>
  <c r="O464" i="2"/>
  <c r="U464" i="2" s="1"/>
  <c r="G464" i="2"/>
  <c r="I464" i="2" s="1"/>
  <c r="Z463" i="2"/>
  <c r="X463" i="2"/>
  <c r="T463" i="2"/>
  <c r="S463" i="2"/>
  <c r="R463" i="2"/>
  <c r="Q463" i="2"/>
  <c r="W463" i="2" s="1"/>
  <c r="P463" i="2"/>
  <c r="Y463" i="2" s="1"/>
  <c r="O463" i="2"/>
  <c r="U463" i="2" s="1"/>
  <c r="G463" i="2"/>
  <c r="AP462" i="2"/>
  <c r="O462" i="2" s="1"/>
  <c r="Z462" i="2"/>
  <c r="W462" i="2"/>
  <c r="T462" i="2"/>
  <c r="S462" i="2"/>
  <c r="R462" i="2"/>
  <c r="Q462" i="2"/>
  <c r="P462" i="2"/>
  <c r="Y462" i="2" s="1"/>
  <c r="J462" i="2"/>
  <c r="G462" i="2"/>
  <c r="I462" i="2" s="1"/>
  <c r="Y461" i="2"/>
  <c r="T461" i="2"/>
  <c r="S461" i="2"/>
  <c r="R461" i="2"/>
  <c r="Q461" i="2"/>
  <c r="Z461" i="2" s="1"/>
  <c r="P461" i="2"/>
  <c r="V461" i="2" s="1"/>
  <c r="O461" i="2"/>
  <c r="G461" i="2"/>
  <c r="J461" i="2" s="1"/>
  <c r="AP460" i="2"/>
  <c r="Y460" i="2"/>
  <c r="X460" i="2"/>
  <c r="T460" i="2"/>
  <c r="S460" i="2"/>
  <c r="Q460" i="2"/>
  <c r="P460" i="2"/>
  <c r="V460" i="2" s="1"/>
  <c r="O460" i="2"/>
  <c r="K460" i="2"/>
  <c r="I460" i="2"/>
  <c r="G460" i="2"/>
  <c r="J460" i="2" s="1"/>
  <c r="AY459" i="2"/>
  <c r="AV459" i="2"/>
  <c r="Z459" i="2"/>
  <c r="Y459" i="2"/>
  <c r="T459" i="2"/>
  <c r="S459" i="2"/>
  <c r="R459" i="2"/>
  <c r="Q459" i="2"/>
  <c r="W459" i="2" s="1"/>
  <c r="P459" i="2"/>
  <c r="V459" i="2" s="1"/>
  <c r="O459" i="2"/>
  <c r="X459" i="2" s="1"/>
  <c r="Y458" i="2"/>
  <c r="X458" i="2"/>
  <c r="T458" i="2"/>
  <c r="S458" i="2"/>
  <c r="R458" i="2"/>
  <c r="Q458" i="2"/>
  <c r="Z458" i="2" s="1"/>
  <c r="P458" i="2"/>
  <c r="V458" i="2" s="1"/>
  <c r="O458" i="2"/>
  <c r="U458" i="2" s="1"/>
  <c r="K458" i="2"/>
  <c r="J458" i="2"/>
  <c r="I458" i="2"/>
  <c r="G458" i="2"/>
  <c r="AJ457" i="2"/>
  <c r="Z457" i="2"/>
  <c r="X457" i="2"/>
  <c r="T457" i="2"/>
  <c r="S457" i="2"/>
  <c r="R457" i="2"/>
  <c r="Q457" i="2"/>
  <c r="P457" i="2"/>
  <c r="Y457" i="2" s="1"/>
  <c r="O457" i="2"/>
  <c r="K457" i="2"/>
  <c r="J457" i="2"/>
  <c r="I457" i="2"/>
  <c r="G457" i="2"/>
  <c r="BN540" i="2"/>
  <c r="Z456" i="2"/>
  <c r="W456" i="2"/>
  <c r="T456" i="2"/>
  <c r="T540" i="2" s="1"/>
  <c r="S456" i="2"/>
  <c r="S540" i="2" s="1"/>
  <c r="R456" i="2"/>
  <c r="R540" i="2" s="1"/>
  <c r="Q456" i="2"/>
  <c r="P456" i="2"/>
  <c r="P540" i="2" s="1"/>
  <c r="Y540" i="2" s="1"/>
  <c r="O456" i="2"/>
  <c r="O540" i="2" s="1"/>
  <c r="X540" i="2" s="1"/>
  <c r="J456" i="2"/>
  <c r="G456" i="2"/>
  <c r="Y455" i="2"/>
  <c r="X455" i="2"/>
  <c r="T455" i="2"/>
  <c r="S455" i="2"/>
  <c r="R455" i="2"/>
  <c r="Q455" i="2"/>
  <c r="P455" i="2"/>
  <c r="V455" i="2" s="1"/>
  <c r="O455" i="2"/>
  <c r="U455" i="2" s="1"/>
  <c r="V454" i="2"/>
  <c r="T454" i="2"/>
  <c r="S454" i="2"/>
  <c r="R454" i="2"/>
  <c r="Q454" i="2"/>
  <c r="Z454" i="2" s="1"/>
  <c r="P454" i="2"/>
  <c r="Y454" i="2" s="1"/>
  <c r="O454" i="2"/>
  <c r="U454" i="2" s="1"/>
  <c r="I454" i="2"/>
  <c r="G454" i="2"/>
  <c r="J454" i="2" s="1"/>
  <c r="X453" i="2"/>
  <c r="V453" i="2"/>
  <c r="T453" i="2"/>
  <c r="S453" i="2"/>
  <c r="R453" i="2"/>
  <c r="Q453" i="2"/>
  <c r="P453" i="2"/>
  <c r="Y453" i="2" s="1"/>
  <c r="O453" i="2"/>
  <c r="E453" i="2"/>
  <c r="Z452" i="2"/>
  <c r="Y452" i="2"/>
  <c r="X452" i="2"/>
  <c r="T452" i="2"/>
  <c r="S452" i="2"/>
  <c r="R452" i="2"/>
  <c r="Q452" i="2"/>
  <c r="W452" i="2" s="1"/>
  <c r="P452" i="2"/>
  <c r="V452" i="2" s="1"/>
  <c r="O452" i="2"/>
  <c r="U452" i="2" s="1"/>
  <c r="I452" i="2"/>
  <c r="G452" i="2"/>
  <c r="J452" i="2" s="1"/>
  <c r="Z451" i="2"/>
  <c r="Y451" i="2"/>
  <c r="T451" i="2"/>
  <c r="S451" i="2"/>
  <c r="R451" i="2"/>
  <c r="Q451" i="2"/>
  <c r="P451" i="2"/>
  <c r="V451" i="2" s="1"/>
  <c r="O451" i="2"/>
  <c r="X451" i="2" s="1"/>
  <c r="J451" i="2"/>
  <c r="I451" i="2"/>
  <c r="G451" i="2"/>
  <c r="Z450" i="2"/>
  <c r="W450" i="2"/>
  <c r="T450" i="2"/>
  <c r="S450" i="2"/>
  <c r="R450" i="2"/>
  <c r="Q450" i="2"/>
  <c r="P450" i="2"/>
  <c r="Y450" i="2" s="1"/>
  <c r="O450" i="2"/>
  <c r="U450" i="2" s="1"/>
  <c r="J450" i="2"/>
  <c r="G450" i="2"/>
  <c r="I450" i="2" s="1"/>
  <c r="Y449" i="2"/>
  <c r="X449" i="2"/>
  <c r="T449" i="2"/>
  <c r="S449" i="2"/>
  <c r="R449" i="2"/>
  <c r="Q449" i="2"/>
  <c r="P449" i="2"/>
  <c r="V449" i="2" s="1"/>
  <c r="O449" i="2"/>
  <c r="U449" i="2" s="1"/>
  <c r="Z448" i="2"/>
  <c r="Y448" i="2"/>
  <c r="W448" i="2"/>
  <c r="T448" i="2"/>
  <c r="S448" i="2"/>
  <c r="R448" i="2"/>
  <c r="Q448" i="2"/>
  <c r="P448" i="2"/>
  <c r="V448" i="2" s="1"/>
  <c r="O448" i="2"/>
  <c r="U448" i="2" s="1"/>
  <c r="Z447" i="2"/>
  <c r="Y447" i="2"/>
  <c r="T447" i="2"/>
  <c r="S447" i="2"/>
  <c r="R447" i="2"/>
  <c r="Q447" i="2"/>
  <c r="W447" i="2" s="1"/>
  <c r="P447" i="2"/>
  <c r="V447" i="2" s="1"/>
  <c r="O447" i="2"/>
  <c r="X447" i="2" s="1"/>
  <c r="Y446" i="2"/>
  <c r="X446" i="2"/>
  <c r="T446" i="2"/>
  <c r="S446" i="2"/>
  <c r="R446" i="2"/>
  <c r="Q446" i="2"/>
  <c r="Z446" i="2" s="1"/>
  <c r="P446" i="2"/>
  <c r="V446" i="2" s="1"/>
  <c r="O446" i="2"/>
  <c r="U446" i="2" s="1"/>
  <c r="I446" i="2"/>
  <c r="G446" i="2"/>
  <c r="J446" i="2" s="1"/>
  <c r="AG445" i="2"/>
  <c r="Z445" i="2"/>
  <c r="Y445" i="2"/>
  <c r="W445" i="2"/>
  <c r="T445" i="2"/>
  <c r="S445" i="2"/>
  <c r="Q445" i="2"/>
  <c r="P445" i="2"/>
  <c r="V445" i="2" s="1"/>
  <c r="J445" i="2"/>
  <c r="G445" i="2"/>
  <c r="I445" i="2" s="1"/>
  <c r="Z444" i="2"/>
  <c r="Y444" i="2"/>
  <c r="T444" i="2"/>
  <c r="S444" i="2"/>
  <c r="R444" i="2"/>
  <c r="Q444" i="2"/>
  <c r="W444" i="2" s="1"/>
  <c r="P444" i="2"/>
  <c r="V444" i="2" s="1"/>
  <c r="O444" i="2"/>
  <c r="X444" i="2" s="1"/>
  <c r="I444" i="2"/>
  <c r="G444" i="2"/>
  <c r="J444" i="2" s="1"/>
  <c r="Z443" i="2"/>
  <c r="W443" i="2"/>
  <c r="T443" i="2"/>
  <c r="S443" i="2"/>
  <c r="R443" i="2"/>
  <c r="Q443" i="2"/>
  <c r="P443" i="2"/>
  <c r="Y443" i="2" s="1"/>
  <c r="O443" i="2"/>
  <c r="X443" i="2" s="1"/>
  <c r="J443" i="2"/>
  <c r="I443" i="2"/>
  <c r="G443" i="2"/>
  <c r="Z442" i="2"/>
  <c r="X442" i="2"/>
  <c r="T442" i="2"/>
  <c r="S442" i="2"/>
  <c r="R442" i="2"/>
  <c r="Q442" i="2"/>
  <c r="W442" i="2" s="1"/>
  <c r="P442" i="2"/>
  <c r="O442" i="2"/>
  <c r="J442" i="2"/>
  <c r="G442" i="2"/>
  <c r="X441" i="2"/>
  <c r="T441" i="2"/>
  <c r="S441" i="2"/>
  <c r="R441" i="2"/>
  <c r="Q441" i="2"/>
  <c r="Z441" i="2" s="1"/>
  <c r="P441" i="2"/>
  <c r="V441" i="2" s="1"/>
  <c r="O441" i="2"/>
  <c r="U441" i="2" s="1"/>
  <c r="I441" i="2"/>
  <c r="G441" i="2"/>
  <c r="X440" i="2"/>
  <c r="T440" i="2"/>
  <c r="S440" i="2"/>
  <c r="R440" i="2"/>
  <c r="Q440" i="2"/>
  <c r="W440" i="2" s="1"/>
  <c r="P440" i="2"/>
  <c r="V440" i="2" s="1"/>
  <c r="O440" i="2"/>
  <c r="G440" i="2"/>
  <c r="Y439" i="2"/>
  <c r="X439" i="2"/>
  <c r="T439" i="2"/>
  <c r="S439" i="2"/>
  <c r="R439" i="2"/>
  <c r="Q439" i="2"/>
  <c r="W439" i="2" s="1"/>
  <c r="P439" i="2"/>
  <c r="V439" i="2" s="1"/>
  <c r="O439" i="2"/>
  <c r="I439" i="2"/>
  <c r="G439" i="2"/>
  <c r="J439" i="2" s="1"/>
  <c r="Z438" i="2"/>
  <c r="Y438" i="2"/>
  <c r="X438" i="2"/>
  <c r="T438" i="2"/>
  <c r="S438" i="2"/>
  <c r="R438" i="2"/>
  <c r="Q438" i="2"/>
  <c r="W438" i="2" s="1"/>
  <c r="P438" i="2"/>
  <c r="V438" i="2" s="1"/>
  <c r="O438" i="2"/>
  <c r="J438" i="2"/>
  <c r="G438" i="2"/>
  <c r="I438" i="2" s="1"/>
  <c r="Z437" i="2"/>
  <c r="Y437" i="2"/>
  <c r="T437" i="2"/>
  <c r="S437" i="2"/>
  <c r="R437" i="2"/>
  <c r="Q437" i="2"/>
  <c r="W437" i="2" s="1"/>
  <c r="P437" i="2"/>
  <c r="V437" i="2" s="1"/>
  <c r="O437" i="2"/>
  <c r="X437" i="2" s="1"/>
  <c r="I437" i="2"/>
  <c r="G437" i="2"/>
  <c r="J437" i="2" s="1"/>
  <c r="Z436" i="2"/>
  <c r="V436" i="2"/>
  <c r="T436" i="2"/>
  <c r="S436" i="2"/>
  <c r="R436" i="2"/>
  <c r="Q436" i="2"/>
  <c r="W436" i="2" s="1"/>
  <c r="P436" i="2"/>
  <c r="Y436" i="2" s="1"/>
  <c r="O436" i="2"/>
  <c r="J436" i="2"/>
  <c r="I436" i="2"/>
  <c r="G436" i="2"/>
  <c r="Y435" i="2"/>
  <c r="X435" i="2"/>
  <c r="T435" i="2"/>
  <c r="S435" i="2"/>
  <c r="R435" i="2"/>
  <c r="Q435" i="2"/>
  <c r="W435" i="2" s="1"/>
  <c r="P435" i="2"/>
  <c r="V435" i="2" s="1"/>
  <c r="O435" i="2"/>
  <c r="U435" i="2" s="1"/>
  <c r="Y434" i="2"/>
  <c r="X434" i="2"/>
  <c r="T434" i="2"/>
  <c r="S434" i="2"/>
  <c r="R434" i="2"/>
  <c r="Q434" i="2"/>
  <c r="W434" i="2" s="1"/>
  <c r="P434" i="2"/>
  <c r="V434" i="2" s="1"/>
  <c r="O434" i="2"/>
  <c r="U434" i="2" s="1"/>
  <c r="T433" i="2"/>
  <c r="S433" i="2"/>
  <c r="R433" i="2"/>
  <c r="Q433" i="2"/>
  <c r="W433" i="2" s="1"/>
  <c r="P433" i="2"/>
  <c r="V433" i="2" s="1"/>
  <c r="O433" i="2"/>
  <c r="J433" i="2"/>
  <c r="I433" i="2"/>
  <c r="G433" i="2"/>
  <c r="X432" i="2"/>
  <c r="T432" i="2"/>
  <c r="S432" i="2"/>
  <c r="R432" i="2"/>
  <c r="Q432" i="2"/>
  <c r="W432" i="2" s="1"/>
  <c r="P432" i="2"/>
  <c r="V432" i="2" s="1"/>
  <c r="O432" i="2"/>
  <c r="G432" i="2"/>
  <c r="E432" i="2"/>
  <c r="E525" i="2" s="1"/>
  <c r="Z431" i="2"/>
  <c r="Y431" i="2"/>
  <c r="X431" i="2"/>
  <c r="T431" i="2"/>
  <c r="S431" i="2"/>
  <c r="R431" i="2"/>
  <c r="Q431" i="2"/>
  <c r="W431" i="2" s="1"/>
  <c r="P431" i="2"/>
  <c r="V431" i="2" s="1"/>
  <c r="O431" i="2"/>
  <c r="J431" i="2"/>
  <c r="G431" i="2"/>
  <c r="I431" i="2" s="1"/>
  <c r="Z430" i="2"/>
  <c r="Y430" i="2"/>
  <c r="T430" i="2"/>
  <c r="S430" i="2"/>
  <c r="R430" i="2"/>
  <c r="Q430" i="2"/>
  <c r="W430" i="2" s="1"/>
  <c r="P430" i="2"/>
  <c r="V430" i="2" s="1"/>
  <c r="O430" i="2"/>
  <c r="X430" i="2" s="1"/>
  <c r="I430" i="2"/>
  <c r="G430" i="2"/>
  <c r="J430" i="2" s="1"/>
  <c r="BO520" i="2"/>
  <c r="Z429" i="2"/>
  <c r="V429" i="2"/>
  <c r="T429" i="2"/>
  <c r="T520" i="2" s="1"/>
  <c r="S429" i="2"/>
  <c r="S520" i="2" s="1"/>
  <c r="R429" i="2"/>
  <c r="R520" i="2" s="1"/>
  <c r="Q429" i="2"/>
  <c r="Q520" i="2" s="1"/>
  <c r="Z520" i="2" s="1"/>
  <c r="P429" i="2"/>
  <c r="O429" i="2"/>
  <c r="O520" i="2" s="1"/>
  <c r="X520" i="2" s="1"/>
  <c r="J429" i="2"/>
  <c r="I429" i="2"/>
  <c r="G429" i="2"/>
  <c r="G520" i="2" s="1"/>
  <c r="W428" i="2"/>
  <c r="T428" i="2"/>
  <c r="S428" i="2"/>
  <c r="R428" i="2"/>
  <c r="Q428" i="2"/>
  <c r="P428" i="2"/>
  <c r="V428" i="2" s="1"/>
  <c r="O428" i="2"/>
  <c r="J428" i="2"/>
  <c r="I428" i="2"/>
  <c r="G428" i="2"/>
  <c r="X427" i="2"/>
  <c r="T427" i="2"/>
  <c r="S427" i="2"/>
  <c r="R427" i="2"/>
  <c r="Q427" i="2"/>
  <c r="W427" i="2" s="1"/>
  <c r="P427" i="2"/>
  <c r="Y427" i="2" s="1"/>
  <c r="O427" i="2"/>
  <c r="M427" i="2"/>
  <c r="M519" i="2" s="1"/>
  <c r="I427" i="2"/>
  <c r="G427" i="2"/>
  <c r="J427" i="2" s="1"/>
  <c r="AV426" i="2"/>
  <c r="R426" i="2" s="1"/>
  <c r="W426" i="2"/>
  <c r="T426" i="2"/>
  <c r="S426" i="2"/>
  <c r="Q426" i="2"/>
  <c r="Z426" i="2" s="1"/>
  <c r="P426" i="2"/>
  <c r="V426" i="2" s="1"/>
  <c r="O426" i="2"/>
  <c r="X426" i="2" s="1"/>
  <c r="Z425" i="2"/>
  <c r="Y425" i="2"/>
  <c r="T425" i="2"/>
  <c r="S425" i="2"/>
  <c r="R425" i="2"/>
  <c r="Q425" i="2"/>
  <c r="W425" i="2" s="1"/>
  <c r="P425" i="2"/>
  <c r="V425" i="2" s="1"/>
  <c r="O425" i="2"/>
  <c r="X425" i="2" s="1"/>
  <c r="I425" i="2"/>
  <c r="G425" i="2"/>
  <c r="J425" i="2" s="1"/>
  <c r="Z424" i="2"/>
  <c r="T424" i="2"/>
  <c r="S424" i="2"/>
  <c r="R424" i="2"/>
  <c r="Q424" i="2"/>
  <c r="P424" i="2"/>
  <c r="V424" i="2" s="1"/>
  <c r="O424" i="2"/>
  <c r="X424" i="2" s="1"/>
  <c r="J424" i="2"/>
  <c r="I424" i="2"/>
  <c r="G424" i="2"/>
  <c r="AM423" i="2"/>
  <c r="X423" i="2"/>
  <c r="V423" i="2"/>
  <c r="T423" i="2"/>
  <c r="S423" i="2"/>
  <c r="R423" i="2"/>
  <c r="Q423" i="2"/>
  <c r="P423" i="2"/>
  <c r="Y423" i="2" s="1"/>
  <c r="O423" i="2"/>
  <c r="U423" i="2" s="1"/>
  <c r="G423" i="2"/>
  <c r="Y422" i="2"/>
  <c r="X422" i="2"/>
  <c r="W422" i="2"/>
  <c r="T422" i="2"/>
  <c r="S422" i="2"/>
  <c r="R422" i="2"/>
  <c r="Q422" i="2"/>
  <c r="P422" i="2"/>
  <c r="V422" i="2" s="1"/>
  <c r="O422" i="2"/>
  <c r="I422" i="2"/>
  <c r="G422" i="2"/>
  <c r="J422" i="2" s="1"/>
  <c r="AJ421" i="2"/>
  <c r="O421" i="2" s="1"/>
  <c r="Z421" i="2"/>
  <c r="Y421" i="2"/>
  <c r="T421" i="2"/>
  <c r="S421" i="2"/>
  <c r="Q421" i="2"/>
  <c r="P421" i="2"/>
  <c r="V421" i="2" s="1"/>
  <c r="K421" i="2"/>
  <c r="J421" i="2"/>
  <c r="I421" i="2"/>
  <c r="G421" i="2"/>
  <c r="Y420" i="2"/>
  <c r="X420" i="2"/>
  <c r="W420" i="2"/>
  <c r="T420" i="2"/>
  <c r="S420" i="2"/>
  <c r="R420" i="2"/>
  <c r="Q420" i="2"/>
  <c r="Z420" i="2" s="1"/>
  <c r="P420" i="2"/>
  <c r="V420" i="2" s="1"/>
  <c r="O420" i="2"/>
  <c r="U420" i="2" s="1"/>
  <c r="Y419" i="2"/>
  <c r="X419" i="2"/>
  <c r="W419" i="2"/>
  <c r="T419" i="2"/>
  <c r="S419" i="2"/>
  <c r="R419" i="2"/>
  <c r="Q419" i="2"/>
  <c r="Z419" i="2" s="1"/>
  <c r="P419" i="2"/>
  <c r="V419" i="2" s="1"/>
  <c r="O419" i="2"/>
  <c r="U419" i="2" s="1"/>
  <c r="Y418" i="2"/>
  <c r="X418" i="2"/>
  <c r="W418" i="2"/>
  <c r="T418" i="2"/>
  <c r="S418" i="2"/>
  <c r="R418" i="2"/>
  <c r="Q418" i="2"/>
  <c r="Z418" i="2" s="1"/>
  <c r="P418" i="2"/>
  <c r="V418" i="2" s="1"/>
  <c r="O418" i="2"/>
  <c r="U418" i="2" s="1"/>
  <c r="AV417" i="2"/>
  <c r="X417" i="2"/>
  <c r="V417" i="2"/>
  <c r="T417" i="2"/>
  <c r="S417" i="2"/>
  <c r="R417" i="2"/>
  <c r="Q417" i="2"/>
  <c r="P417" i="2"/>
  <c r="Y417" i="2" s="1"/>
  <c r="O417" i="2"/>
  <c r="U417" i="2" s="1"/>
  <c r="G417" i="2"/>
  <c r="Y416" i="2"/>
  <c r="X416" i="2"/>
  <c r="W416" i="2"/>
  <c r="T416" i="2"/>
  <c r="S416" i="2"/>
  <c r="R416" i="2"/>
  <c r="Q416" i="2"/>
  <c r="P416" i="2"/>
  <c r="V416" i="2" s="1"/>
  <c r="O416" i="2"/>
  <c r="I416" i="2"/>
  <c r="G416" i="2"/>
  <c r="J416" i="2" s="1"/>
  <c r="Z415" i="2"/>
  <c r="Y415" i="2"/>
  <c r="X415" i="2"/>
  <c r="T415" i="2"/>
  <c r="S415" i="2"/>
  <c r="R415" i="2"/>
  <c r="Q415" i="2"/>
  <c r="W415" i="2" s="1"/>
  <c r="P415" i="2"/>
  <c r="V415" i="2" s="1"/>
  <c r="O415" i="2"/>
  <c r="G415" i="2"/>
  <c r="I415" i="2" s="1"/>
  <c r="Z414" i="2"/>
  <c r="Y414" i="2"/>
  <c r="T414" i="2"/>
  <c r="S414" i="2"/>
  <c r="R414" i="2"/>
  <c r="Q414" i="2"/>
  <c r="W414" i="2" s="1"/>
  <c r="P414" i="2"/>
  <c r="V414" i="2" s="1"/>
  <c r="O414" i="2"/>
  <c r="X414" i="2" s="1"/>
  <c r="I414" i="2"/>
  <c r="G414" i="2"/>
  <c r="J414" i="2" s="1"/>
  <c r="Z413" i="2"/>
  <c r="V413" i="2"/>
  <c r="T413" i="2"/>
  <c r="S413" i="2"/>
  <c r="R413" i="2"/>
  <c r="Q413" i="2"/>
  <c r="W413" i="2" s="1"/>
  <c r="P413" i="2"/>
  <c r="Y413" i="2" s="1"/>
  <c r="O413" i="2"/>
  <c r="J413" i="2"/>
  <c r="I413" i="2"/>
  <c r="G413" i="2"/>
  <c r="W412" i="2"/>
  <c r="T412" i="2"/>
  <c r="S412" i="2"/>
  <c r="R412" i="2"/>
  <c r="Q412" i="2"/>
  <c r="P412" i="2"/>
  <c r="V412" i="2" s="1"/>
  <c r="O412" i="2"/>
  <c r="X412" i="2" s="1"/>
  <c r="J412" i="2"/>
  <c r="I412" i="2"/>
  <c r="G412" i="2"/>
  <c r="Z411" i="2"/>
  <c r="Y411" i="2"/>
  <c r="X411" i="2"/>
  <c r="T411" i="2"/>
  <c r="S411" i="2"/>
  <c r="R411" i="2"/>
  <c r="Q411" i="2"/>
  <c r="W411" i="2" s="1"/>
  <c r="P411" i="2"/>
  <c r="V411" i="2" s="1"/>
  <c r="O411" i="2"/>
  <c r="U411" i="2" s="1"/>
  <c r="Z410" i="2"/>
  <c r="Y410" i="2"/>
  <c r="X410" i="2"/>
  <c r="T410" i="2"/>
  <c r="S410" i="2"/>
  <c r="R410" i="2"/>
  <c r="Q410" i="2"/>
  <c r="W410" i="2" s="1"/>
  <c r="P410" i="2"/>
  <c r="V410" i="2" s="1"/>
  <c r="O410" i="2"/>
  <c r="U410" i="2" s="1"/>
  <c r="X409" i="2"/>
  <c r="V409" i="2"/>
  <c r="T409" i="2"/>
  <c r="S409" i="2"/>
  <c r="R409" i="2"/>
  <c r="Q409" i="2"/>
  <c r="W409" i="2" s="1"/>
  <c r="P409" i="2"/>
  <c r="Y409" i="2" s="1"/>
  <c r="O409" i="2"/>
  <c r="K409" i="2"/>
  <c r="I409" i="2"/>
  <c r="G409" i="2"/>
  <c r="J409" i="2" s="1"/>
  <c r="AG408" i="2"/>
  <c r="R408" i="2" s="1"/>
  <c r="Z408" i="2"/>
  <c r="Y408" i="2"/>
  <c r="T408" i="2"/>
  <c r="S408" i="2"/>
  <c r="Q408" i="2"/>
  <c r="P408" i="2"/>
  <c r="V408" i="2" s="1"/>
  <c r="I408" i="2"/>
  <c r="G408" i="2"/>
  <c r="J408" i="2" s="1"/>
  <c r="Z407" i="2"/>
  <c r="V407" i="2"/>
  <c r="T407" i="2"/>
  <c r="S407" i="2"/>
  <c r="R407" i="2"/>
  <c r="Q407" i="2"/>
  <c r="W407" i="2" s="1"/>
  <c r="P407" i="2"/>
  <c r="Y407" i="2" s="1"/>
  <c r="O407" i="2"/>
  <c r="J407" i="2"/>
  <c r="I407" i="2"/>
  <c r="G407" i="2"/>
  <c r="AG406" i="2"/>
  <c r="T406" i="2"/>
  <c r="S406" i="2"/>
  <c r="R406" i="2"/>
  <c r="Q406" i="2"/>
  <c r="P406" i="2"/>
  <c r="Y406" i="2" s="1"/>
  <c r="G406" i="2"/>
  <c r="Y405" i="2"/>
  <c r="X405" i="2"/>
  <c r="V405" i="2"/>
  <c r="T405" i="2"/>
  <c r="S405" i="2"/>
  <c r="R405" i="2"/>
  <c r="Q405" i="2"/>
  <c r="P405" i="2"/>
  <c r="O405" i="2"/>
  <c r="K405" i="2"/>
  <c r="G405" i="2"/>
  <c r="Z404" i="2"/>
  <c r="Y404" i="2"/>
  <c r="T404" i="2"/>
  <c r="S404" i="2"/>
  <c r="R404" i="2"/>
  <c r="Q404" i="2"/>
  <c r="P404" i="2"/>
  <c r="O404" i="2"/>
  <c r="J404" i="2"/>
  <c r="I404" i="2"/>
  <c r="G404" i="2"/>
  <c r="T403" i="2"/>
  <c r="S403" i="2"/>
  <c r="R403" i="2"/>
  <c r="Q403" i="2"/>
  <c r="Z403" i="2" s="1"/>
  <c r="P403" i="2"/>
  <c r="Y403" i="2" s="1"/>
  <c r="O403" i="2"/>
  <c r="U403" i="2" s="1"/>
  <c r="Z402" i="2"/>
  <c r="T402" i="2"/>
  <c r="S402" i="2"/>
  <c r="R402" i="2"/>
  <c r="Q402" i="2"/>
  <c r="W402" i="2" s="1"/>
  <c r="P402" i="2"/>
  <c r="Y402" i="2" s="1"/>
  <c r="O402" i="2"/>
  <c r="U402" i="2" s="1"/>
  <c r="J402" i="2"/>
  <c r="G402" i="2"/>
  <c r="I402" i="2" s="1"/>
  <c r="Z401" i="2"/>
  <c r="Y401" i="2"/>
  <c r="T401" i="2"/>
  <c r="S401" i="2"/>
  <c r="R401" i="2"/>
  <c r="Q401" i="2"/>
  <c r="W401" i="2" s="1"/>
  <c r="P401" i="2"/>
  <c r="V401" i="2" s="1"/>
  <c r="O401" i="2"/>
  <c r="X401" i="2" s="1"/>
  <c r="E401" i="2"/>
  <c r="AY400" i="2"/>
  <c r="AV400" i="2"/>
  <c r="AV397" i="2" s="1"/>
  <c r="AS400" i="2"/>
  <c r="AM400" i="2"/>
  <c r="AM511" i="2" s="1"/>
  <c r="AJ400" i="2"/>
  <c r="AJ511" i="2" s="1"/>
  <c r="V400" i="2"/>
  <c r="T400" i="2"/>
  <c r="S400" i="2"/>
  <c r="Q400" i="2"/>
  <c r="W400" i="2" s="1"/>
  <c r="P400" i="2"/>
  <c r="K400" i="2"/>
  <c r="G400" i="2"/>
  <c r="J400" i="2" s="1"/>
  <c r="AP399" i="2"/>
  <c r="AP578" i="2" s="1"/>
  <c r="Y399" i="2"/>
  <c r="W399" i="2"/>
  <c r="T399" i="2"/>
  <c r="S399" i="2"/>
  <c r="R399" i="2"/>
  <c r="Q399" i="2"/>
  <c r="Z399" i="2" s="1"/>
  <c r="P399" i="2"/>
  <c r="V399" i="2" s="1"/>
  <c r="O399" i="2"/>
  <c r="K399" i="2"/>
  <c r="G399" i="2"/>
  <c r="J399" i="2" s="1"/>
  <c r="Y398" i="2"/>
  <c r="X398" i="2"/>
  <c r="T398" i="2"/>
  <c r="T397" i="2" s="1"/>
  <c r="S398" i="2"/>
  <c r="S397" i="2" s="1"/>
  <c r="R398" i="2"/>
  <c r="Q398" i="2"/>
  <c r="P398" i="2"/>
  <c r="V398" i="2" s="1"/>
  <c r="O398" i="2"/>
  <c r="G398" i="2"/>
  <c r="BM397" i="2"/>
  <c r="BL397" i="2"/>
  <c r="BK397" i="2"/>
  <c r="BJ397" i="2"/>
  <c r="BI397" i="2"/>
  <c r="BH397" i="2"/>
  <c r="BG397" i="2"/>
  <c r="BF397" i="2"/>
  <c r="BE397" i="2"/>
  <c r="BD397" i="2"/>
  <c r="BC397" i="2"/>
  <c r="BB397" i="2"/>
  <c r="BA397" i="2"/>
  <c r="AZ397" i="2"/>
  <c r="AY397" i="2"/>
  <c r="AX397" i="2"/>
  <c r="AW397" i="2"/>
  <c r="AU397" i="2"/>
  <c r="AT397" i="2"/>
  <c r="AS397" i="2"/>
  <c r="AR397" i="2"/>
  <c r="AQ397" i="2"/>
  <c r="AP397" i="2"/>
  <c r="AO397" i="2"/>
  <c r="AN397" i="2"/>
  <c r="AM397" i="2"/>
  <c r="AL397" i="2"/>
  <c r="AK397" i="2"/>
  <c r="AI397" i="2"/>
  <c r="AH397" i="2"/>
  <c r="AG397" i="2"/>
  <c r="AF397" i="2"/>
  <c r="AE397" i="2"/>
  <c r="AD397" i="2"/>
  <c r="AC397" i="2"/>
  <c r="AB397" i="2"/>
  <c r="AA397" i="2"/>
  <c r="N397" i="2"/>
  <c r="M397" i="2"/>
  <c r="L397" i="2"/>
  <c r="K397" i="2"/>
  <c r="H397" i="2"/>
  <c r="F397" i="2"/>
  <c r="Y396" i="2"/>
  <c r="X396" i="2"/>
  <c r="T396" i="2"/>
  <c r="S396" i="2"/>
  <c r="R396" i="2"/>
  <c r="Q396" i="2"/>
  <c r="P396" i="2"/>
  <c r="V396" i="2" s="1"/>
  <c r="O396" i="2"/>
  <c r="G396" i="2"/>
  <c r="J396" i="2" s="1"/>
  <c r="BO556" i="2"/>
  <c r="Z395" i="2"/>
  <c r="Y395" i="2"/>
  <c r="X395" i="2"/>
  <c r="T395" i="2"/>
  <c r="T556" i="2" s="1"/>
  <c r="S395" i="2"/>
  <c r="S556" i="2" s="1"/>
  <c r="R395" i="2"/>
  <c r="R556" i="2" s="1"/>
  <c r="Q395" i="2"/>
  <c r="Q556" i="2" s="1"/>
  <c r="Z556" i="2" s="1"/>
  <c r="P395" i="2"/>
  <c r="P556" i="2" s="1"/>
  <c r="Y556" i="2" s="1"/>
  <c r="O395" i="2"/>
  <c r="O556" i="2" s="1"/>
  <c r="X556" i="2" s="1"/>
  <c r="G395" i="2"/>
  <c r="Z394" i="2"/>
  <c r="Y394" i="2"/>
  <c r="T394" i="2"/>
  <c r="S394" i="2"/>
  <c r="R394" i="2"/>
  <c r="Q394" i="2"/>
  <c r="W394" i="2" s="1"/>
  <c r="P394" i="2"/>
  <c r="V394" i="2" s="1"/>
  <c r="O394" i="2"/>
  <c r="X394" i="2" s="1"/>
  <c r="J394" i="2"/>
  <c r="I394" i="2"/>
  <c r="G394" i="2"/>
  <c r="Z393" i="2"/>
  <c r="T393" i="2"/>
  <c r="S393" i="2"/>
  <c r="R393" i="2"/>
  <c r="Q393" i="2"/>
  <c r="W393" i="2" s="1"/>
  <c r="P393" i="2"/>
  <c r="Y393" i="2" s="1"/>
  <c r="O393" i="2"/>
  <c r="J393" i="2"/>
  <c r="G393" i="2"/>
  <c r="I393" i="2" s="1"/>
  <c r="Y392" i="2"/>
  <c r="X392" i="2"/>
  <c r="W392" i="2"/>
  <c r="T392" i="2"/>
  <c r="S392" i="2"/>
  <c r="R392" i="2"/>
  <c r="Q392" i="2"/>
  <c r="Z392" i="2" s="1"/>
  <c r="P392" i="2"/>
  <c r="V392" i="2" s="1"/>
  <c r="O392" i="2"/>
  <c r="U392" i="2" s="1"/>
  <c r="Y391" i="2"/>
  <c r="X391" i="2"/>
  <c r="T391" i="2"/>
  <c r="S391" i="2"/>
  <c r="R391" i="2"/>
  <c r="Q391" i="2"/>
  <c r="Z391" i="2" s="1"/>
  <c r="P391" i="2"/>
  <c r="V391" i="2" s="1"/>
  <c r="O391" i="2"/>
  <c r="U391" i="2" s="1"/>
  <c r="BO510" i="2"/>
  <c r="T390" i="2"/>
  <c r="T510" i="2" s="1"/>
  <c r="S390" i="2"/>
  <c r="S510" i="2" s="1"/>
  <c r="R390" i="2"/>
  <c r="R510" i="2" s="1"/>
  <c r="Q390" i="2"/>
  <c r="Q510" i="2" s="1"/>
  <c r="Z510" i="2" s="1"/>
  <c r="P390" i="2"/>
  <c r="O390" i="2"/>
  <c r="I390" i="2"/>
  <c r="G390" i="2"/>
  <c r="G510" i="2" s="1"/>
  <c r="X389" i="2"/>
  <c r="V389" i="2"/>
  <c r="T389" i="2"/>
  <c r="S389" i="2"/>
  <c r="R389" i="2"/>
  <c r="Q389" i="2"/>
  <c r="Z389" i="2" s="1"/>
  <c r="P389" i="2"/>
  <c r="Y389" i="2" s="1"/>
  <c r="O389" i="2"/>
  <c r="G389" i="2"/>
  <c r="J389" i="2" s="1"/>
  <c r="Y388" i="2"/>
  <c r="X388" i="2"/>
  <c r="W388" i="2"/>
  <c r="T388" i="2"/>
  <c r="S388" i="2"/>
  <c r="R388" i="2"/>
  <c r="Q388" i="2"/>
  <c r="P388" i="2"/>
  <c r="V388" i="2" s="1"/>
  <c r="O388" i="2"/>
  <c r="E388" i="2"/>
  <c r="Z387" i="2"/>
  <c r="Y387" i="2"/>
  <c r="T387" i="2"/>
  <c r="S387" i="2"/>
  <c r="R387" i="2"/>
  <c r="Q387" i="2"/>
  <c r="W387" i="2" s="1"/>
  <c r="P387" i="2"/>
  <c r="V387" i="2" s="1"/>
  <c r="O387" i="2"/>
  <c r="X387" i="2" s="1"/>
  <c r="J387" i="2"/>
  <c r="I387" i="2"/>
  <c r="G387" i="2"/>
  <c r="Z386" i="2"/>
  <c r="T386" i="2"/>
  <c r="S386" i="2"/>
  <c r="R386" i="2"/>
  <c r="Q386" i="2"/>
  <c r="W386" i="2" s="1"/>
  <c r="P386" i="2"/>
  <c r="Y386" i="2" s="1"/>
  <c r="O386" i="2"/>
  <c r="X386" i="2" s="1"/>
  <c r="J386" i="2"/>
  <c r="G386" i="2"/>
  <c r="I386" i="2" s="1"/>
  <c r="E386" i="2"/>
  <c r="E506" i="2" s="1"/>
  <c r="AY385" i="2"/>
  <c r="R385" i="2" s="1"/>
  <c r="Z385" i="2"/>
  <c r="Y385" i="2"/>
  <c r="T385" i="2"/>
  <c r="S385" i="2"/>
  <c r="Q385" i="2"/>
  <c r="W385" i="2" s="1"/>
  <c r="P385" i="2"/>
  <c r="V385" i="2" s="1"/>
  <c r="Y384" i="2"/>
  <c r="X384" i="2"/>
  <c r="W384" i="2"/>
  <c r="T384" i="2"/>
  <c r="S384" i="2"/>
  <c r="R384" i="2"/>
  <c r="Q384" i="2"/>
  <c r="P384" i="2"/>
  <c r="V384" i="2" s="1"/>
  <c r="O384" i="2"/>
  <c r="I384" i="2"/>
  <c r="G384" i="2"/>
  <c r="J384" i="2" s="1"/>
  <c r="Z383" i="2"/>
  <c r="Y383" i="2"/>
  <c r="X383" i="2"/>
  <c r="T383" i="2"/>
  <c r="S383" i="2"/>
  <c r="R383" i="2"/>
  <c r="Q383" i="2"/>
  <c r="Z524" i="2" s="1"/>
  <c r="P383" i="2"/>
  <c r="Y524" i="2" s="1"/>
  <c r="O383" i="2"/>
  <c r="X524" i="2" s="1"/>
  <c r="G383" i="2"/>
  <c r="G524" i="2" s="1"/>
  <c r="Z382" i="2"/>
  <c r="Y382" i="2"/>
  <c r="T382" i="2"/>
  <c r="S382" i="2"/>
  <c r="R382" i="2"/>
  <c r="Q382" i="2"/>
  <c r="W382" i="2" s="1"/>
  <c r="P382" i="2"/>
  <c r="V382" i="2" s="1"/>
  <c r="O382" i="2"/>
  <c r="X382" i="2" s="1"/>
  <c r="J382" i="2"/>
  <c r="I382" i="2"/>
  <c r="G382" i="2"/>
  <c r="Z381" i="2"/>
  <c r="T381" i="2"/>
  <c r="S381" i="2"/>
  <c r="R381" i="2"/>
  <c r="Q381" i="2"/>
  <c r="W381" i="2" s="1"/>
  <c r="P381" i="2"/>
  <c r="Y381" i="2" s="1"/>
  <c r="O381" i="2"/>
  <c r="X381" i="2" s="1"/>
  <c r="G381" i="2"/>
  <c r="I381" i="2" s="1"/>
  <c r="T380" i="2"/>
  <c r="S380" i="2"/>
  <c r="R380" i="2"/>
  <c r="R379" i="2" s="1"/>
  <c r="Q380" i="2"/>
  <c r="P380" i="2"/>
  <c r="O380" i="2"/>
  <c r="X380" i="2" s="1"/>
  <c r="I380" i="2"/>
  <c r="G380" i="2"/>
  <c r="BM379" i="2"/>
  <c r="BL379" i="2"/>
  <c r="BK379" i="2"/>
  <c r="BJ379" i="2"/>
  <c r="BI379" i="2"/>
  <c r="BH379" i="2"/>
  <c r="BG379" i="2"/>
  <c r="BF379" i="2"/>
  <c r="BE379" i="2"/>
  <c r="BD379" i="2"/>
  <c r="BC379" i="2"/>
  <c r="BB379" i="2"/>
  <c r="BA379" i="2"/>
  <c r="AZ379" i="2"/>
  <c r="AY379" i="2"/>
  <c r="AX379" i="2"/>
  <c r="AX367" i="2" s="1"/>
  <c r="AW379" i="2"/>
  <c r="AV379" i="2"/>
  <c r="AU379" i="2"/>
  <c r="AT379" i="2"/>
  <c r="AS379" i="2"/>
  <c r="AR379" i="2"/>
  <c r="AQ379" i="2"/>
  <c r="AP379" i="2"/>
  <c r="AO379" i="2"/>
  <c r="AN379" i="2"/>
  <c r="AM379" i="2"/>
  <c r="AL379" i="2"/>
  <c r="AK379" i="2"/>
  <c r="AJ379" i="2"/>
  <c r="AI379" i="2"/>
  <c r="AH379" i="2"/>
  <c r="AG379" i="2"/>
  <c r="AF379" i="2"/>
  <c r="AF367" i="2" s="1"/>
  <c r="AE379" i="2"/>
  <c r="AD379" i="2"/>
  <c r="AC379" i="2"/>
  <c r="AB379" i="2"/>
  <c r="AA379" i="2"/>
  <c r="T379" i="2"/>
  <c r="N379" i="2"/>
  <c r="N367" i="2" s="1"/>
  <c r="M379" i="2"/>
  <c r="L379" i="2"/>
  <c r="K379" i="2"/>
  <c r="H379" i="2"/>
  <c r="F379" i="2"/>
  <c r="T378" i="2"/>
  <c r="S378" i="2"/>
  <c r="R378" i="2"/>
  <c r="Q378" i="2"/>
  <c r="Z378" i="2" s="1"/>
  <c r="P378" i="2"/>
  <c r="Y378" i="2" s="1"/>
  <c r="O378" i="2"/>
  <c r="X378" i="2" s="1"/>
  <c r="I378" i="2"/>
  <c r="G378" i="2"/>
  <c r="J378" i="2" s="1"/>
  <c r="AV377" i="2"/>
  <c r="R377" i="2" s="1"/>
  <c r="Z377" i="2"/>
  <c r="Y377" i="2"/>
  <c r="T377" i="2"/>
  <c r="S377" i="2"/>
  <c r="Q377" i="2"/>
  <c r="W377" i="2" s="1"/>
  <c r="P377" i="2"/>
  <c r="V377" i="2" s="1"/>
  <c r="Y376" i="2"/>
  <c r="X376" i="2"/>
  <c r="T376" i="2"/>
  <c r="S376" i="2"/>
  <c r="R376" i="2"/>
  <c r="Q376" i="2"/>
  <c r="W376" i="2" s="1"/>
  <c r="P376" i="2"/>
  <c r="V376" i="2" s="1"/>
  <c r="O376" i="2"/>
  <c r="G376" i="2"/>
  <c r="J376" i="2" s="1"/>
  <c r="Z375" i="2"/>
  <c r="Y375" i="2"/>
  <c r="X375" i="2"/>
  <c r="T375" i="2"/>
  <c r="S375" i="2"/>
  <c r="R375" i="2"/>
  <c r="Q375" i="2"/>
  <c r="W375" i="2" s="1"/>
  <c r="P375" i="2"/>
  <c r="V375" i="2" s="1"/>
  <c r="O375" i="2"/>
  <c r="G375" i="2"/>
  <c r="J375" i="2" s="1"/>
  <c r="Z374" i="2"/>
  <c r="Y374" i="2"/>
  <c r="T374" i="2"/>
  <c r="S374" i="2"/>
  <c r="R374" i="2"/>
  <c r="Q374" i="2"/>
  <c r="W374" i="2" s="1"/>
  <c r="P374" i="2"/>
  <c r="V374" i="2" s="1"/>
  <c r="O374" i="2"/>
  <c r="X374" i="2" s="1"/>
  <c r="I374" i="2"/>
  <c r="G374" i="2"/>
  <c r="Z373" i="2"/>
  <c r="T373" i="2"/>
  <c r="S373" i="2"/>
  <c r="R373" i="2"/>
  <c r="Q373" i="2"/>
  <c r="W373" i="2" s="1"/>
  <c r="P373" i="2"/>
  <c r="Y373" i="2" s="1"/>
  <c r="O373" i="2"/>
  <c r="X373" i="2" s="1"/>
  <c r="J373" i="2"/>
  <c r="G373" i="2"/>
  <c r="I373" i="2" s="1"/>
  <c r="T372" i="2"/>
  <c r="S372" i="2"/>
  <c r="R372" i="2"/>
  <c r="Q372" i="2"/>
  <c r="Z372" i="2" s="1"/>
  <c r="P372" i="2"/>
  <c r="Y372" i="2" s="1"/>
  <c r="O372" i="2"/>
  <c r="X372" i="2" s="1"/>
  <c r="I372" i="2"/>
  <c r="G372" i="2"/>
  <c r="J372" i="2" s="1"/>
  <c r="AY371" i="2"/>
  <c r="AV371" i="2"/>
  <c r="AS371" i="2"/>
  <c r="AP371" i="2"/>
  <c r="Z371" i="2"/>
  <c r="V371" i="2"/>
  <c r="T371" i="2"/>
  <c r="S371" i="2"/>
  <c r="Q371" i="2"/>
  <c r="W371" i="2" s="1"/>
  <c r="P371" i="2"/>
  <c r="Y371" i="2" s="1"/>
  <c r="O371" i="2"/>
  <c r="K371" i="2"/>
  <c r="I371" i="2"/>
  <c r="G371" i="2"/>
  <c r="J371" i="2" s="1"/>
  <c r="X370" i="2"/>
  <c r="W370" i="2"/>
  <c r="V370" i="2"/>
  <c r="T370" i="2"/>
  <c r="S370" i="2"/>
  <c r="R370" i="2"/>
  <c r="Q370" i="2"/>
  <c r="Z370" i="2" s="1"/>
  <c r="P370" i="2"/>
  <c r="Y370" i="2" s="1"/>
  <c r="O370" i="2"/>
  <c r="G370" i="2"/>
  <c r="I370" i="2" s="1"/>
  <c r="AY369" i="2"/>
  <c r="AV369" i="2"/>
  <c r="AS369" i="2"/>
  <c r="AS368" i="2" s="1"/>
  <c r="AS367" i="2" s="1"/>
  <c r="AP369" i="2"/>
  <c r="R369" i="2" s="1"/>
  <c r="AM369" i="2"/>
  <c r="W369" i="2"/>
  <c r="V369" i="2"/>
  <c r="T369" i="2"/>
  <c r="S369" i="2"/>
  <c r="Q369" i="2"/>
  <c r="P369" i="2"/>
  <c r="Y369" i="2" s="1"/>
  <c r="K369" i="2"/>
  <c r="K368" i="2" s="1"/>
  <c r="K367" i="2" s="1"/>
  <c r="G369" i="2"/>
  <c r="BM368" i="2"/>
  <c r="BM367" i="2" s="1"/>
  <c r="BL368" i="2"/>
  <c r="BK368" i="2"/>
  <c r="BJ368" i="2"/>
  <c r="BI368" i="2"/>
  <c r="BH368" i="2"/>
  <c r="BG368" i="2"/>
  <c r="BG367" i="2" s="1"/>
  <c r="BF368" i="2"/>
  <c r="BF367" i="2" s="1"/>
  <c r="BE368" i="2"/>
  <c r="BE367" i="2" s="1"/>
  <c r="BD368" i="2"/>
  <c r="BC368" i="2"/>
  <c r="BB368" i="2"/>
  <c r="BA368" i="2"/>
  <c r="BA367" i="2" s="1"/>
  <c r="AZ368" i="2"/>
  <c r="AY368" i="2"/>
  <c r="AX368" i="2"/>
  <c r="AW368" i="2"/>
  <c r="AU368" i="2"/>
  <c r="AU367" i="2" s="1"/>
  <c r="AT368" i="2"/>
  <c r="AR368" i="2"/>
  <c r="AQ368" i="2"/>
  <c r="AQ367" i="2" s="1"/>
  <c r="AO368" i="2"/>
  <c r="AO367" i="2" s="1"/>
  <c r="AN368" i="2"/>
  <c r="AN367" i="2" s="1"/>
  <c r="AM368" i="2"/>
  <c r="AL368" i="2"/>
  <c r="AK368" i="2"/>
  <c r="AJ368" i="2"/>
  <c r="AI368" i="2"/>
  <c r="AI367" i="2" s="1"/>
  <c r="AH368" i="2"/>
  <c r="AH367" i="2" s="1"/>
  <c r="AG368" i="2"/>
  <c r="AF368" i="2"/>
  <c r="AE368" i="2"/>
  <c r="AD368" i="2"/>
  <c r="AC368" i="2"/>
  <c r="AC367" i="2" s="1"/>
  <c r="AB368" i="2"/>
  <c r="AB367" i="2" s="1"/>
  <c r="AA368" i="2"/>
  <c r="S368" i="2"/>
  <c r="N368" i="2"/>
  <c r="M368" i="2"/>
  <c r="L368" i="2"/>
  <c r="H368" i="2"/>
  <c r="F368" i="2"/>
  <c r="E368" i="2"/>
  <c r="BL367" i="2"/>
  <c r="BK367" i="2"/>
  <c r="BJ367" i="2"/>
  <c r="BH367" i="2"/>
  <c r="BD367" i="2"/>
  <c r="BB367" i="2"/>
  <c r="AZ367" i="2"/>
  <c r="AY367" i="2"/>
  <c r="AT367" i="2"/>
  <c r="AR367" i="2"/>
  <c r="AM367" i="2"/>
  <c r="AL367" i="2"/>
  <c r="AJ367" i="2"/>
  <c r="AG367" i="2"/>
  <c r="AD367" i="2"/>
  <c r="AA367" i="2"/>
  <c r="L367" i="2"/>
  <c r="H367" i="2"/>
  <c r="F367" i="2"/>
  <c r="X366" i="2"/>
  <c r="W366" i="2"/>
  <c r="T366" i="2"/>
  <c r="S366" i="2"/>
  <c r="R366" i="2"/>
  <c r="Q366" i="2"/>
  <c r="P366" i="2"/>
  <c r="Y366" i="2" s="1"/>
  <c r="O366" i="2"/>
  <c r="J366" i="2"/>
  <c r="G366" i="2"/>
  <c r="I366" i="2" s="1"/>
  <c r="Y365" i="2"/>
  <c r="X365" i="2"/>
  <c r="T365" i="2"/>
  <c r="S365" i="2"/>
  <c r="R365" i="2"/>
  <c r="Q365" i="2"/>
  <c r="W365" i="2" s="1"/>
  <c r="P365" i="2"/>
  <c r="V365" i="2" s="1"/>
  <c r="O365" i="2"/>
  <c r="U365" i="2" s="1"/>
  <c r="G365" i="2"/>
  <c r="Z364" i="2"/>
  <c r="Y364" i="2"/>
  <c r="X364" i="2"/>
  <c r="V364" i="2"/>
  <c r="T364" i="2"/>
  <c r="S364" i="2"/>
  <c r="R364" i="2"/>
  <c r="Q364" i="2"/>
  <c r="W364" i="2" s="1"/>
  <c r="P364" i="2"/>
  <c r="O364" i="2"/>
  <c r="G364" i="2"/>
  <c r="J364" i="2" s="1"/>
  <c r="Z363" i="2"/>
  <c r="Y363" i="2"/>
  <c r="W363" i="2"/>
  <c r="T363" i="2"/>
  <c r="S363" i="2"/>
  <c r="R363" i="2"/>
  <c r="Q363" i="2"/>
  <c r="P363" i="2"/>
  <c r="V363" i="2" s="1"/>
  <c r="O363" i="2"/>
  <c r="X363" i="2" s="1"/>
  <c r="J363" i="2"/>
  <c r="I363" i="2"/>
  <c r="G363" i="2"/>
  <c r="T362" i="2"/>
  <c r="S362" i="2"/>
  <c r="R362" i="2"/>
  <c r="Q362" i="2"/>
  <c r="P362" i="2"/>
  <c r="Y362" i="2" s="1"/>
  <c r="O362" i="2"/>
  <c r="U362" i="2" s="1"/>
  <c r="J362" i="2"/>
  <c r="G362" i="2"/>
  <c r="I362" i="2" s="1"/>
  <c r="Y361" i="2"/>
  <c r="X361" i="2"/>
  <c r="T361" i="2"/>
  <c r="S361" i="2"/>
  <c r="R361" i="2"/>
  <c r="Q361" i="2"/>
  <c r="Z361" i="2" s="1"/>
  <c r="P361" i="2"/>
  <c r="V361" i="2" s="1"/>
  <c r="O361" i="2"/>
  <c r="U361" i="2" s="1"/>
  <c r="I361" i="2"/>
  <c r="G361" i="2"/>
  <c r="Y360" i="2"/>
  <c r="X360" i="2"/>
  <c r="V360" i="2"/>
  <c r="T360" i="2"/>
  <c r="S360" i="2"/>
  <c r="R360" i="2"/>
  <c r="Q360" i="2"/>
  <c r="W360" i="2" s="1"/>
  <c r="P360" i="2"/>
  <c r="O360" i="2"/>
  <c r="G360" i="2"/>
  <c r="J360" i="2" s="1"/>
  <c r="T359" i="2"/>
  <c r="S359" i="2"/>
  <c r="R359" i="2"/>
  <c r="Q359" i="2"/>
  <c r="W359" i="2" s="1"/>
  <c r="P359" i="2"/>
  <c r="V359" i="2" s="1"/>
  <c r="O359" i="2"/>
  <c r="G359" i="2"/>
  <c r="J359" i="2" s="1"/>
  <c r="X358" i="2"/>
  <c r="T358" i="2"/>
  <c r="S358" i="2"/>
  <c r="R358" i="2"/>
  <c r="Q358" i="2"/>
  <c r="W358" i="2" s="1"/>
  <c r="P358" i="2"/>
  <c r="P357" i="2" s="1"/>
  <c r="Y357" i="2" s="1"/>
  <c r="O358" i="2"/>
  <c r="K358" i="2"/>
  <c r="U358" i="2" s="1"/>
  <c r="J358" i="2"/>
  <c r="I358" i="2"/>
  <c r="G358" i="2"/>
  <c r="G357" i="2" s="1"/>
  <c r="BM357" i="2"/>
  <c r="T357" i="2" s="1"/>
  <c r="BL357" i="2"/>
  <c r="S357" i="2" s="1"/>
  <c r="BK357" i="2"/>
  <c r="R357" i="2" s="1"/>
  <c r="BJ357" i="2"/>
  <c r="BI357" i="2"/>
  <c r="BH357" i="2"/>
  <c r="BG357" i="2"/>
  <c r="BF357" i="2"/>
  <c r="BE357" i="2"/>
  <c r="BD357" i="2"/>
  <c r="BC357" i="2"/>
  <c r="BB357" i="2"/>
  <c r="BA357" i="2"/>
  <c r="AZ357" i="2"/>
  <c r="AY357" i="2"/>
  <c r="AX357" i="2"/>
  <c r="AW357" i="2"/>
  <c r="AV357" i="2"/>
  <c r="AU357" i="2"/>
  <c r="AT357" i="2"/>
  <c r="AS357" i="2"/>
  <c r="AR357" i="2"/>
  <c r="AQ357" i="2"/>
  <c r="AP357" i="2"/>
  <c r="AO357" i="2"/>
  <c r="AN357" i="2"/>
  <c r="AM357" i="2"/>
  <c r="AL357" i="2"/>
  <c r="AK357" i="2"/>
  <c r="AJ357" i="2"/>
  <c r="AI357" i="2"/>
  <c r="AH357" i="2"/>
  <c r="AG357" i="2"/>
  <c r="AF357" i="2"/>
  <c r="AE357" i="2"/>
  <c r="AD357" i="2"/>
  <c r="AC357" i="2"/>
  <c r="AB357" i="2"/>
  <c r="AA357" i="2"/>
  <c r="Q357" i="2"/>
  <c r="Z357" i="2" s="1"/>
  <c r="O357" i="2"/>
  <c r="X357" i="2" s="1"/>
  <c r="N357" i="2"/>
  <c r="M357" i="2"/>
  <c r="L357" i="2"/>
  <c r="K357" i="2"/>
  <c r="H357" i="2"/>
  <c r="F357" i="2"/>
  <c r="E357" i="2"/>
  <c r="Y356" i="2"/>
  <c r="X356" i="2"/>
  <c r="T356" i="2"/>
  <c r="S356" i="2"/>
  <c r="R356" i="2"/>
  <c r="Q356" i="2"/>
  <c r="W356" i="2" s="1"/>
  <c r="P356" i="2"/>
  <c r="V356" i="2" s="1"/>
  <c r="O356" i="2"/>
  <c r="J356" i="2"/>
  <c r="I356" i="2"/>
  <c r="G356" i="2"/>
  <c r="Z355" i="2"/>
  <c r="Y355" i="2"/>
  <c r="X355" i="2"/>
  <c r="T355" i="2"/>
  <c r="S355" i="2"/>
  <c r="R355" i="2"/>
  <c r="Q355" i="2"/>
  <c r="W355" i="2" s="1"/>
  <c r="P355" i="2"/>
  <c r="V355" i="2" s="1"/>
  <c r="O355" i="2"/>
  <c r="J355" i="2"/>
  <c r="G355" i="2"/>
  <c r="I355" i="2" s="1"/>
  <c r="Z354" i="2"/>
  <c r="Y354" i="2"/>
  <c r="T354" i="2"/>
  <c r="S354" i="2"/>
  <c r="R354" i="2"/>
  <c r="Q354" i="2"/>
  <c r="W354" i="2" s="1"/>
  <c r="P354" i="2"/>
  <c r="V354" i="2" s="1"/>
  <c r="O354" i="2"/>
  <c r="X354" i="2" s="1"/>
  <c r="J354" i="2"/>
  <c r="I354" i="2"/>
  <c r="G354" i="2"/>
  <c r="AV353" i="2"/>
  <c r="AP353" i="2"/>
  <c r="AM353" i="2"/>
  <c r="AG353" i="2"/>
  <c r="Z353" i="2"/>
  <c r="Y353" i="2"/>
  <c r="T353" i="2"/>
  <c r="S353" i="2"/>
  <c r="R353" i="2"/>
  <c r="Q353" i="2"/>
  <c r="W353" i="2" s="1"/>
  <c r="P353" i="2"/>
  <c r="V353" i="2" s="1"/>
  <c r="K353" i="2"/>
  <c r="J353" i="2"/>
  <c r="I353" i="2"/>
  <c r="G353" i="2"/>
  <c r="BO578" i="2"/>
  <c r="Z352" i="2"/>
  <c r="V352" i="2"/>
  <c r="T352" i="2"/>
  <c r="T578" i="2" s="1"/>
  <c r="S352" i="2"/>
  <c r="S578" i="2" s="1"/>
  <c r="R352" i="2"/>
  <c r="R578" i="2" s="1"/>
  <c r="Q352" i="2"/>
  <c r="Q578" i="2" s="1"/>
  <c r="Z578" i="2" s="1"/>
  <c r="P352" i="2"/>
  <c r="O352" i="2"/>
  <c r="O578" i="2" s="1"/>
  <c r="X578" i="2" s="1"/>
  <c r="J352" i="2"/>
  <c r="G352" i="2"/>
  <c r="G578" i="2" s="1"/>
  <c r="Y351" i="2"/>
  <c r="X351" i="2"/>
  <c r="T351" i="2"/>
  <c r="S351" i="2"/>
  <c r="R351" i="2"/>
  <c r="Q351" i="2"/>
  <c r="Z351" i="2" s="1"/>
  <c r="P351" i="2"/>
  <c r="V351" i="2" s="1"/>
  <c r="O351" i="2"/>
  <c r="U351" i="2" s="1"/>
  <c r="W350" i="2"/>
  <c r="T350" i="2"/>
  <c r="S350" i="2"/>
  <c r="R350" i="2"/>
  <c r="Q350" i="2"/>
  <c r="P350" i="2"/>
  <c r="V350" i="2" s="1"/>
  <c r="O350" i="2"/>
  <c r="X350" i="2" s="1"/>
  <c r="K350" i="2"/>
  <c r="BM349" i="2"/>
  <c r="BL349" i="2"/>
  <c r="S349" i="2" s="1"/>
  <c r="BK349" i="2"/>
  <c r="BJ349" i="2"/>
  <c r="BI349" i="2"/>
  <c r="BI348" i="2" s="1"/>
  <c r="BH349" i="2"/>
  <c r="BH348" i="2" s="1"/>
  <c r="BH347" i="2" s="1"/>
  <c r="BG349" i="2"/>
  <c r="BG348" i="2" s="1"/>
  <c r="BG347" i="2" s="1"/>
  <c r="BF349" i="2"/>
  <c r="BE349" i="2"/>
  <c r="BE348" i="2" s="1"/>
  <c r="BE347" i="2" s="1"/>
  <c r="BD349" i="2"/>
  <c r="BC349" i="2"/>
  <c r="BC348" i="2" s="1"/>
  <c r="BB349" i="2"/>
  <c r="BB348" i="2" s="1"/>
  <c r="BB347" i="2" s="1"/>
  <c r="BA349" i="2"/>
  <c r="BA348" i="2" s="1"/>
  <c r="BA347" i="2" s="1"/>
  <c r="AZ349" i="2"/>
  <c r="AY349" i="2"/>
  <c r="AY348" i="2" s="1"/>
  <c r="AX349" i="2"/>
  <c r="AW349" i="2"/>
  <c r="AW348" i="2" s="1"/>
  <c r="AU349" i="2"/>
  <c r="AU348" i="2" s="1"/>
  <c r="AU347" i="2" s="1"/>
  <c r="AT349" i="2"/>
  <c r="AS349" i="2"/>
  <c r="AS348" i="2" s="1"/>
  <c r="AS347" i="2" s="1"/>
  <c r="AR349" i="2"/>
  <c r="AQ349" i="2"/>
  <c r="AQ348" i="2" s="1"/>
  <c r="AQ347" i="2" s="1"/>
  <c r="AP349" i="2"/>
  <c r="AP348" i="2" s="1"/>
  <c r="AO349" i="2"/>
  <c r="AO348" i="2" s="1"/>
  <c r="AO347" i="2" s="1"/>
  <c r="AN349" i="2"/>
  <c r="AM349" i="2"/>
  <c r="AM348" i="2" s="1"/>
  <c r="AM347" i="2" s="1"/>
  <c r="AL349" i="2"/>
  <c r="AK349" i="2"/>
  <c r="AK348" i="2" s="1"/>
  <c r="AJ349" i="2"/>
  <c r="AJ348" i="2" s="1"/>
  <c r="AI349" i="2"/>
  <c r="AI348" i="2" s="1"/>
  <c r="AI347" i="2" s="1"/>
  <c r="AH349" i="2"/>
  <c r="AG349" i="2"/>
  <c r="AG348" i="2" s="1"/>
  <c r="AF349" i="2"/>
  <c r="AE349" i="2"/>
  <c r="AE348" i="2" s="1"/>
  <c r="AD349" i="2"/>
  <c r="AD348" i="2" s="1"/>
  <c r="AD347" i="2" s="1"/>
  <c r="AC349" i="2"/>
  <c r="AC348" i="2" s="1"/>
  <c r="AC347" i="2" s="1"/>
  <c r="AB349" i="2"/>
  <c r="AA349" i="2"/>
  <c r="AA348" i="2" s="1"/>
  <c r="AA347" i="2" s="1"/>
  <c r="Q349" i="2"/>
  <c r="N349" i="2"/>
  <c r="M349" i="2"/>
  <c r="M348" i="2" s="1"/>
  <c r="L349" i="2"/>
  <c r="L348" i="2" s="1"/>
  <c r="L347" i="2" s="1"/>
  <c r="K349" i="2"/>
  <c r="K348" i="2" s="1"/>
  <c r="K347" i="2" s="1"/>
  <c r="F38" i="3" s="1"/>
  <c r="H349" i="2"/>
  <c r="E349" i="2"/>
  <c r="BL348" i="2"/>
  <c r="BJ348" i="2"/>
  <c r="BJ347" i="2" s="1"/>
  <c r="BF348" i="2"/>
  <c r="BD348" i="2"/>
  <c r="BD347" i="2" s="1"/>
  <c r="AZ348" i="2"/>
  <c r="AZ347" i="2" s="1"/>
  <c r="AX348" i="2"/>
  <c r="AX347" i="2" s="1"/>
  <c r="AT348" i="2"/>
  <c r="AT347" i="2" s="1"/>
  <c r="AR348" i="2"/>
  <c r="AR347" i="2" s="1"/>
  <c r="AN348" i="2"/>
  <c r="AL348" i="2"/>
  <c r="AL347" i="2" s="1"/>
  <c r="AH348" i="2"/>
  <c r="AH347" i="2" s="1"/>
  <c r="AF348" i="2"/>
  <c r="AF347" i="2" s="1"/>
  <c r="AB348" i="2"/>
  <c r="N348" i="2"/>
  <c r="N347" i="2" s="1"/>
  <c r="H348" i="2"/>
  <c r="H347" i="2" s="1"/>
  <c r="AY347" i="2"/>
  <c r="AG347" i="2"/>
  <c r="T346" i="2"/>
  <c r="S346" i="2"/>
  <c r="R346" i="2"/>
  <c r="Q346" i="2"/>
  <c r="W346" i="2" s="1"/>
  <c r="P346" i="2"/>
  <c r="V346" i="2" s="1"/>
  <c r="O346" i="2"/>
  <c r="X346" i="2" s="1"/>
  <c r="G346" i="2"/>
  <c r="J346" i="2" s="1"/>
  <c r="X345" i="2"/>
  <c r="T345" i="2"/>
  <c r="S345" i="2"/>
  <c r="R345" i="2"/>
  <c r="Q345" i="2"/>
  <c r="W345" i="2" s="1"/>
  <c r="P345" i="2"/>
  <c r="O345" i="2"/>
  <c r="G345" i="2"/>
  <c r="BR343" i="2"/>
  <c r="Y344" i="2"/>
  <c r="X344" i="2"/>
  <c r="W344" i="2"/>
  <c r="W343" i="2" s="1"/>
  <c r="T344" i="2"/>
  <c r="S344" i="2"/>
  <c r="R344" i="2"/>
  <c r="Q344" i="2"/>
  <c r="P344" i="2"/>
  <c r="V344" i="2" s="1"/>
  <c r="O344" i="2"/>
  <c r="J344" i="2"/>
  <c r="I344" i="2"/>
  <c r="G344" i="2"/>
  <c r="BM343" i="2"/>
  <c r="BL343" i="2"/>
  <c r="S343" i="2" s="1"/>
  <c r="BK343" i="2"/>
  <c r="BJ343" i="2"/>
  <c r="BI343" i="2"/>
  <c r="BH343" i="2"/>
  <c r="BG343" i="2"/>
  <c r="BF343" i="2"/>
  <c r="BE343" i="2"/>
  <c r="BD343" i="2"/>
  <c r="BC343" i="2"/>
  <c r="BB343" i="2"/>
  <c r="BA343" i="2"/>
  <c r="AZ343" i="2"/>
  <c r="AY343" i="2"/>
  <c r="AX343" i="2"/>
  <c r="AW343" i="2"/>
  <c r="AV343" i="2"/>
  <c r="AU343" i="2"/>
  <c r="AT343" i="2"/>
  <c r="AS343" i="2"/>
  <c r="AR343" i="2"/>
  <c r="AQ343" i="2"/>
  <c r="AP343" i="2"/>
  <c r="AO343" i="2"/>
  <c r="AN343" i="2"/>
  <c r="AM343" i="2"/>
  <c r="AL343" i="2"/>
  <c r="AK343" i="2"/>
  <c r="AJ343" i="2"/>
  <c r="AI343" i="2"/>
  <c r="AH343" i="2"/>
  <c r="AG343" i="2"/>
  <c r="AF343" i="2"/>
  <c r="AE343" i="2"/>
  <c r="AD343" i="2"/>
  <c r="AC343" i="2"/>
  <c r="AB343" i="2"/>
  <c r="AA343" i="2"/>
  <c r="O343" i="2"/>
  <c r="X343" i="2" s="1"/>
  <c r="N343" i="2"/>
  <c r="M343" i="2"/>
  <c r="L343" i="2"/>
  <c r="K343" i="2"/>
  <c r="H343" i="2"/>
  <c r="F343" i="2"/>
  <c r="E343" i="2"/>
  <c r="Y342" i="2"/>
  <c r="X342" i="2"/>
  <c r="T342" i="2"/>
  <c r="T566" i="2" s="1"/>
  <c r="S342" i="2"/>
  <c r="R342" i="2"/>
  <c r="R566" i="2" s="1"/>
  <c r="Q342" i="2"/>
  <c r="P342" i="2"/>
  <c r="P566" i="2" s="1"/>
  <c r="Y566" i="2" s="1"/>
  <c r="O342" i="2"/>
  <c r="O566" i="2" s="1"/>
  <c r="X566" i="2" s="1"/>
  <c r="J342" i="2"/>
  <c r="I342" i="2"/>
  <c r="G342" i="2"/>
  <c r="G566" i="2" s="1"/>
  <c r="Z341" i="2"/>
  <c r="Y341" i="2"/>
  <c r="X341" i="2"/>
  <c r="T341" i="2"/>
  <c r="S341" i="2"/>
  <c r="R341" i="2"/>
  <c r="Q341" i="2"/>
  <c r="Z583" i="2" s="1"/>
  <c r="P341" i="2"/>
  <c r="Y583" i="2" s="1"/>
  <c r="O341" i="2"/>
  <c r="X583" i="2" s="1"/>
  <c r="G341" i="2"/>
  <c r="BM340" i="2"/>
  <c r="BL340" i="2"/>
  <c r="BK340" i="2"/>
  <c r="BJ340" i="2"/>
  <c r="BI340" i="2"/>
  <c r="BH340" i="2"/>
  <c r="BG340" i="2"/>
  <c r="BF340" i="2"/>
  <c r="BE340" i="2"/>
  <c r="BD340" i="2"/>
  <c r="BC340" i="2"/>
  <c r="BB340" i="2"/>
  <c r="BA340" i="2"/>
  <c r="AZ340" i="2"/>
  <c r="AY340" i="2"/>
  <c r="AX340" i="2"/>
  <c r="AW340" i="2"/>
  <c r="AV340" i="2"/>
  <c r="AU340" i="2"/>
  <c r="AT340" i="2"/>
  <c r="AS340" i="2"/>
  <c r="AR340" i="2"/>
  <c r="AQ340" i="2"/>
  <c r="AP340" i="2"/>
  <c r="AO340" i="2"/>
  <c r="AN340" i="2"/>
  <c r="AM340" i="2"/>
  <c r="AL340" i="2"/>
  <c r="AK340" i="2"/>
  <c r="AJ340" i="2"/>
  <c r="AI340" i="2"/>
  <c r="AH340" i="2"/>
  <c r="AG340" i="2"/>
  <c r="AF340" i="2"/>
  <c r="AE340" i="2"/>
  <c r="AD340" i="2"/>
  <c r="AC340" i="2"/>
  <c r="AB340" i="2"/>
  <c r="AA340" i="2"/>
  <c r="P340" i="2"/>
  <c r="Y340" i="2" s="1"/>
  <c r="N340" i="2"/>
  <c r="M340" i="2"/>
  <c r="L340" i="2"/>
  <c r="K340" i="2"/>
  <c r="H340" i="2"/>
  <c r="F340" i="2"/>
  <c r="E340" i="2"/>
  <c r="Z339" i="2"/>
  <c r="Y339" i="2"/>
  <c r="X339" i="2"/>
  <c r="T339" i="2"/>
  <c r="S339" i="2"/>
  <c r="R339" i="2"/>
  <c r="Q339" i="2"/>
  <c r="W339" i="2" s="1"/>
  <c r="P339" i="2"/>
  <c r="V339" i="2" s="1"/>
  <c r="O339" i="2"/>
  <c r="G339" i="2"/>
  <c r="I339" i="2" s="1"/>
  <c r="Z338" i="2"/>
  <c r="Y338" i="2"/>
  <c r="T338" i="2"/>
  <c r="S338" i="2"/>
  <c r="R338" i="2"/>
  <c r="Q338" i="2"/>
  <c r="W338" i="2" s="1"/>
  <c r="P338" i="2"/>
  <c r="V338" i="2" s="1"/>
  <c r="O338" i="2"/>
  <c r="I338" i="2"/>
  <c r="G338" i="2"/>
  <c r="Z337" i="2"/>
  <c r="V337" i="2"/>
  <c r="T337" i="2"/>
  <c r="T334" i="2" s="1"/>
  <c r="S337" i="2"/>
  <c r="R337" i="2"/>
  <c r="Q337" i="2"/>
  <c r="W337" i="2" s="1"/>
  <c r="P337" i="2"/>
  <c r="Y337" i="2" s="1"/>
  <c r="O337" i="2"/>
  <c r="J337" i="2"/>
  <c r="I337" i="2"/>
  <c r="G337" i="2"/>
  <c r="W336" i="2"/>
  <c r="T336" i="2"/>
  <c r="S336" i="2"/>
  <c r="R336" i="2"/>
  <c r="Q336" i="2"/>
  <c r="P336" i="2"/>
  <c r="V336" i="2" s="1"/>
  <c r="O336" i="2"/>
  <c r="G336" i="2"/>
  <c r="J336" i="2" s="1"/>
  <c r="X335" i="2"/>
  <c r="V335" i="2"/>
  <c r="T335" i="2"/>
  <c r="S335" i="2"/>
  <c r="R335" i="2"/>
  <c r="R334" i="2" s="1"/>
  <c r="Q335" i="2"/>
  <c r="W335" i="2" s="1"/>
  <c r="P335" i="2"/>
  <c r="Y335" i="2" s="1"/>
  <c r="O335" i="2"/>
  <c r="G335" i="2"/>
  <c r="BM334" i="2"/>
  <c r="BL334" i="2"/>
  <c r="BK334" i="2"/>
  <c r="BJ334" i="2"/>
  <c r="BI334" i="2"/>
  <c r="BH334" i="2"/>
  <c r="BG334" i="2"/>
  <c r="BF334" i="2"/>
  <c r="BE334" i="2"/>
  <c r="BD334" i="2"/>
  <c r="BC334" i="2"/>
  <c r="BB334" i="2"/>
  <c r="BA334" i="2"/>
  <c r="AZ334" i="2"/>
  <c r="AY334" i="2"/>
  <c r="AX334" i="2"/>
  <c r="AW334" i="2"/>
  <c r="AV334" i="2"/>
  <c r="AU334" i="2"/>
  <c r="AT334" i="2"/>
  <c r="AS334" i="2"/>
  <c r="AR334" i="2"/>
  <c r="AQ334" i="2"/>
  <c r="AP334" i="2"/>
  <c r="AO334" i="2"/>
  <c r="AN334" i="2"/>
  <c r="AM334" i="2"/>
  <c r="AL334" i="2"/>
  <c r="AK334" i="2"/>
  <c r="AJ334" i="2"/>
  <c r="AI334" i="2"/>
  <c r="AH334" i="2"/>
  <c r="AG334" i="2"/>
  <c r="AF334" i="2"/>
  <c r="AE334" i="2"/>
  <c r="AD334" i="2"/>
  <c r="AC334" i="2"/>
  <c r="AB334" i="2"/>
  <c r="AA334" i="2"/>
  <c r="P334" i="2"/>
  <c r="N334" i="2"/>
  <c r="M334" i="2"/>
  <c r="L334" i="2"/>
  <c r="K334" i="2"/>
  <c r="H334" i="2"/>
  <c r="F334" i="2"/>
  <c r="E334" i="2"/>
  <c r="X333" i="2"/>
  <c r="T333" i="2"/>
  <c r="S333" i="2"/>
  <c r="R333" i="2"/>
  <c r="Q333" i="2"/>
  <c r="W333" i="2" s="1"/>
  <c r="P333" i="2"/>
  <c r="Y333" i="2" s="1"/>
  <c r="O333" i="2"/>
  <c r="G333" i="2"/>
  <c r="Y332" i="2"/>
  <c r="X332" i="2"/>
  <c r="W332" i="2"/>
  <c r="T332" i="2"/>
  <c r="S332" i="2"/>
  <c r="R332" i="2"/>
  <c r="Q332" i="2"/>
  <c r="P332" i="2"/>
  <c r="V332" i="2" s="1"/>
  <c r="O332" i="2"/>
  <c r="J332" i="2"/>
  <c r="I332" i="2"/>
  <c r="G332" i="2"/>
  <c r="Z331" i="2"/>
  <c r="Y331" i="2"/>
  <c r="X331" i="2"/>
  <c r="T331" i="2"/>
  <c r="S331" i="2"/>
  <c r="R331" i="2"/>
  <c r="R328" i="2" s="1"/>
  <c r="Q331" i="2"/>
  <c r="W331" i="2" s="1"/>
  <c r="P331" i="2"/>
  <c r="V331" i="2" s="1"/>
  <c r="O331" i="2"/>
  <c r="J331" i="2"/>
  <c r="G331" i="2"/>
  <c r="Z330" i="2"/>
  <c r="Y330" i="2"/>
  <c r="T330" i="2"/>
  <c r="S330" i="2"/>
  <c r="S328" i="2" s="1"/>
  <c r="R330" i="2"/>
  <c r="Q330" i="2"/>
  <c r="W330" i="2" s="1"/>
  <c r="P330" i="2"/>
  <c r="V330" i="2" s="1"/>
  <c r="O330" i="2"/>
  <c r="I330" i="2"/>
  <c r="G330" i="2"/>
  <c r="J330" i="2" s="1"/>
  <c r="Z329" i="2"/>
  <c r="V329" i="2"/>
  <c r="T329" i="2"/>
  <c r="S329" i="2"/>
  <c r="R329" i="2"/>
  <c r="Q329" i="2"/>
  <c r="P329" i="2"/>
  <c r="O329" i="2"/>
  <c r="J329" i="2"/>
  <c r="I329" i="2"/>
  <c r="G329" i="2"/>
  <c r="BM328" i="2"/>
  <c r="BL328" i="2"/>
  <c r="BK328" i="2"/>
  <c r="BJ328" i="2"/>
  <c r="BJ321" i="2" s="1"/>
  <c r="BI328" i="2"/>
  <c r="BH328" i="2"/>
  <c r="BG328" i="2"/>
  <c r="BF328" i="2"/>
  <c r="BE328" i="2"/>
  <c r="BD328" i="2"/>
  <c r="BD321" i="2" s="1"/>
  <c r="BC328" i="2"/>
  <c r="BB328" i="2"/>
  <c r="BB321" i="2" s="1"/>
  <c r="BA328" i="2"/>
  <c r="AZ328" i="2"/>
  <c r="AY328" i="2"/>
  <c r="AX328" i="2"/>
  <c r="AX321" i="2" s="1"/>
  <c r="AW328" i="2"/>
  <c r="AV328" i="2"/>
  <c r="AU328" i="2"/>
  <c r="AT328" i="2"/>
  <c r="AS328" i="2"/>
  <c r="AR328" i="2"/>
  <c r="AR321" i="2" s="1"/>
  <c r="AQ328" i="2"/>
  <c r="AP328" i="2"/>
  <c r="AP321" i="2" s="1"/>
  <c r="AO328" i="2"/>
  <c r="AN328" i="2"/>
  <c r="AM328" i="2"/>
  <c r="AL328" i="2"/>
  <c r="AL321" i="2" s="1"/>
  <c r="AK328" i="2"/>
  <c r="AJ328" i="2"/>
  <c r="AI328" i="2"/>
  <c r="AH328" i="2"/>
  <c r="AG328" i="2"/>
  <c r="AF328" i="2"/>
  <c r="AF321" i="2" s="1"/>
  <c r="AE328" i="2"/>
  <c r="AD328" i="2"/>
  <c r="AD321" i="2" s="1"/>
  <c r="AC328" i="2"/>
  <c r="AB328" i="2"/>
  <c r="AA328" i="2"/>
  <c r="T328" i="2"/>
  <c r="N328" i="2"/>
  <c r="M328" i="2"/>
  <c r="L328" i="2"/>
  <c r="K328" i="2"/>
  <c r="H328" i="2"/>
  <c r="H321" i="2" s="1"/>
  <c r="F328" i="2"/>
  <c r="E328" i="2"/>
  <c r="Z327" i="2"/>
  <c r="T327" i="2"/>
  <c r="S327" i="2"/>
  <c r="R327" i="2"/>
  <c r="Q327" i="2"/>
  <c r="W327" i="2" s="1"/>
  <c r="P327" i="2"/>
  <c r="O327" i="2"/>
  <c r="J327" i="2"/>
  <c r="I327" i="2"/>
  <c r="G327" i="2"/>
  <c r="T326" i="2"/>
  <c r="S326" i="2"/>
  <c r="R326" i="2"/>
  <c r="Q326" i="2"/>
  <c r="P326" i="2"/>
  <c r="V326" i="2" s="1"/>
  <c r="O326" i="2"/>
  <c r="X326" i="2" s="1"/>
  <c r="G326" i="2"/>
  <c r="J326" i="2" s="1"/>
  <c r="X325" i="2"/>
  <c r="V325" i="2"/>
  <c r="T325" i="2"/>
  <c r="S325" i="2"/>
  <c r="R325" i="2"/>
  <c r="Q325" i="2"/>
  <c r="W325" i="2" s="1"/>
  <c r="P325" i="2"/>
  <c r="Y325" i="2" s="1"/>
  <c r="O325" i="2"/>
  <c r="G325" i="2"/>
  <c r="Y324" i="2"/>
  <c r="X324" i="2"/>
  <c r="W324" i="2"/>
  <c r="T324" i="2"/>
  <c r="S324" i="2"/>
  <c r="R324" i="2"/>
  <c r="Q324" i="2"/>
  <c r="P324" i="2"/>
  <c r="V324" i="2" s="1"/>
  <c r="O324" i="2"/>
  <c r="J324" i="2"/>
  <c r="I324" i="2"/>
  <c r="G324" i="2"/>
  <c r="Z323" i="2"/>
  <c r="Y323" i="2"/>
  <c r="X323" i="2"/>
  <c r="T323" i="2"/>
  <c r="T322" i="2" s="1"/>
  <c r="S323" i="2"/>
  <c r="R323" i="2"/>
  <c r="R322" i="2" s="1"/>
  <c r="Q323" i="2"/>
  <c r="W323" i="2" s="1"/>
  <c r="P323" i="2"/>
  <c r="V323" i="2" s="1"/>
  <c r="O323" i="2"/>
  <c r="J323" i="2"/>
  <c r="G323" i="2"/>
  <c r="BM322" i="2"/>
  <c r="BL322" i="2"/>
  <c r="BL321" i="2" s="1"/>
  <c r="BK322" i="2"/>
  <c r="BJ322" i="2"/>
  <c r="BI322" i="2"/>
  <c r="BI321" i="2" s="1"/>
  <c r="BH322" i="2"/>
  <c r="BG322" i="2"/>
  <c r="BF322" i="2"/>
  <c r="BF321" i="2" s="1"/>
  <c r="BE322" i="2"/>
  <c r="BD322" i="2"/>
  <c r="BC322" i="2"/>
  <c r="BC321" i="2" s="1"/>
  <c r="BB322" i="2"/>
  <c r="BA322" i="2"/>
  <c r="AZ322" i="2"/>
  <c r="AZ321" i="2" s="1"/>
  <c r="AY322" i="2"/>
  <c r="AX322" i="2"/>
  <c r="AW322" i="2"/>
  <c r="AW321" i="2" s="1"/>
  <c r="AV322" i="2"/>
  <c r="AU322" i="2"/>
  <c r="AT322" i="2"/>
  <c r="AT321" i="2" s="1"/>
  <c r="AS322" i="2"/>
  <c r="AR322" i="2"/>
  <c r="AQ322" i="2"/>
  <c r="AQ321" i="2" s="1"/>
  <c r="AP322" i="2"/>
  <c r="AO322" i="2"/>
  <c r="AN322" i="2"/>
  <c r="AN321" i="2" s="1"/>
  <c r="AM322" i="2"/>
  <c r="AL322" i="2"/>
  <c r="AK322" i="2"/>
  <c r="AK321" i="2" s="1"/>
  <c r="AJ322" i="2"/>
  <c r="AI322" i="2"/>
  <c r="AH322" i="2"/>
  <c r="AH321" i="2" s="1"/>
  <c r="AG322" i="2"/>
  <c r="AF322" i="2"/>
  <c r="AE322" i="2"/>
  <c r="AE321" i="2" s="1"/>
  <c r="AD322" i="2"/>
  <c r="AC322" i="2"/>
  <c r="AB322" i="2"/>
  <c r="AB321" i="2" s="1"/>
  <c r="AA322" i="2"/>
  <c r="S322" i="2"/>
  <c r="N322" i="2"/>
  <c r="M322" i="2"/>
  <c r="M321" i="2" s="1"/>
  <c r="L322" i="2"/>
  <c r="K322" i="2"/>
  <c r="H322" i="2"/>
  <c r="F322" i="2"/>
  <c r="E322" i="2"/>
  <c r="BM321" i="2"/>
  <c r="BK321" i="2"/>
  <c r="BH321" i="2"/>
  <c r="BG321" i="2"/>
  <c r="BE321" i="2"/>
  <c r="BA321" i="2"/>
  <c r="AY321" i="2"/>
  <c r="AV321" i="2"/>
  <c r="AU321" i="2"/>
  <c r="AS321" i="2"/>
  <c r="AO321" i="2"/>
  <c r="AM321" i="2"/>
  <c r="AJ321" i="2"/>
  <c r="AI321" i="2"/>
  <c r="AG321" i="2"/>
  <c r="AC321" i="2"/>
  <c r="AA321" i="2"/>
  <c r="N321" i="2"/>
  <c r="L321" i="2"/>
  <c r="K321" i="2"/>
  <c r="F321" i="2"/>
  <c r="E321" i="2"/>
  <c r="AZ320" i="2"/>
  <c r="AW320" i="2"/>
  <c r="AK320" i="2"/>
  <c r="W320" i="2"/>
  <c r="T320" i="2"/>
  <c r="R320" i="2"/>
  <c r="Q320" i="2"/>
  <c r="Z320" i="2" s="1"/>
  <c r="O320" i="2"/>
  <c r="U320" i="2" s="1"/>
  <c r="J320" i="2"/>
  <c r="I320" i="2"/>
  <c r="G320" i="2"/>
  <c r="AZ319" i="2"/>
  <c r="AX319" i="2"/>
  <c r="AW319" i="2"/>
  <c r="AR319" i="2"/>
  <c r="AR541" i="2" s="1"/>
  <c r="AO319" i="2"/>
  <c r="AK319" i="2"/>
  <c r="R319" i="2"/>
  <c r="O319" i="2"/>
  <c r="G319" i="2"/>
  <c r="I319" i="2" s="1"/>
  <c r="BA318" i="2"/>
  <c r="BA541" i="2" s="1"/>
  <c r="AX318" i="2"/>
  <c r="V318" i="2"/>
  <c r="T318" i="2"/>
  <c r="S318" i="2"/>
  <c r="R318" i="2"/>
  <c r="P318" i="2"/>
  <c r="Y318" i="2" s="1"/>
  <c r="O318" i="2"/>
  <c r="U318" i="2" s="1"/>
  <c r="J318" i="2"/>
  <c r="G318" i="2"/>
  <c r="I318" i="2" s="1"/>
  <c r="W317" i="2"/>
  <c r="T317" i="2"/>
  <c r="S317" i="2"/>
  <c r="R317" i="2"/>
  <c r="Q317" i="2"/>
  <c r="P317" i="2"/>
  <c r="Y317" i="2" s="1"/>
  <c r="O317" i="2"/>
  <c r="X317" i="2" s="1"/>
  <c r="J317" i="2"/>
  <c r="I317" i="2"/>
  <c r="G317" i="2"/>
  <c r="X316" i="2"/>
  <c r="V316" i="2"/>
  <c r="T316" i="2"/>
  <c r="S316" i="2"/>
  <c r="R316" i="2"/>
  <c r="Q316" i="2"/>
  <c r="P316" i="2"/>
  <c r="Y316" i="2" s="1"/>
  <c r="O316" i="2"/>
  <c r="G316" i="2"/>
  <c r="Y315" i="2"/>
  <c r="X315" i="2"/>
  <c r="T315" i="2"/>
  <c r="S315" i="2"/>
  <c r="R315" i="2"/>
  <c r="Q315" i="2"/>
  <c r="W315" i="2" s="1"/>
  <c r="P315" i="2"/>
  <c r="V315" i="2" s="1"/>
  <c r="O315" i="2"/>
  <c r="I315" i="2"/>
  <c r="G315" i="2"/>
  <c r="J315" i="2" s="1"/>
  <c r="AZ314" i="2"/>
  <c r="Z314" i="2"/>
  <c r="U314" i="2"/>
  <c r="T314" i="2"/>
  <c r="R314" i="2"/>
  <c r="Q314" i="2"/>
  <c r="O314" i="2"/>
  <c r="J314" i="2"/>
  <c r="I314" i="2"/>
  <c r="G314" i="2"/>
  <c r="AZ313" i="2"/>
  <c r="S313" i="2" s="1"/>
  <c r="W313" i="2"/>
  <c r="U313" i="2"/>
  <c r="T313" i="2"/>
  <c r="R313" i="2"/>
  <c r="Q313" i="2"/>
  <c r="Z313" i="2" s="1"/>
  <c r="P313" i="2"/>
  <c r="O313" i="2"/>
  <c r="X313" i="2" s="1"/>
  <c r="J313" i="2"/>
  <c r="I313" i="2"/>
  <c r="G313" i="2"/>
  <c r="X312" i="2"/>
  <c r="W312" i="2"/>
  <c r="T312" i="2"/>
  <c r="S312" i="2"/>
  <c r="R312" i="2"/>
  <c r="Q312" i="2"/>
  <c r="Z312" i="2" s="1"/>
  <c r="P312" i="2"/>
  <c r="O312" i="2"/>
  <c r="G312" i="2"/>
  <c r="Y311" i="2"/>
  <c r="X311" i="2"/>
  <c r="W311" i="2"/>
  <c r="T311" i="2"/>
  <c r="S311" i="2"/>
  <c r="R311" i="2"/>
  <c r="Q311" i="2"/>
  <c r="P311" i="2"/>
  <c r="V311" i="2" s="1"/>
  <c r="O311" i="2"/>
  <c r="G311" i="2"/>
  <c r="AT310" i="2"/>
  <c r="AQ310" i="2"/>
  <c r="Z310" i="2"/>
  <c r="U310" i="2"/>
  <c r="T310" i="2"/>
  <c r="R310" i="2"/>
  <c r="Q310" i="2"/>
  <c r="W310" i="2" s="1"/>
  <c r="O310" i="2"/>
  <c r="J310" i="2"/>
  <c r="G310" i="2"/>
  <c r="I310" i="2" s="1"/>
  <c r="W309" i="2"/>
  <c r="T309" i="2"/>
  <c r="S309" i="2"/>
  <c r="R309" i="2"/>
  <c r="Q309" i="2"/>
  <c r="P309" i="2"/>
  <c r="Y309" i="2" s="1"/>
  <c r="O309" i="2"/>
  <c r="X309" i="2" s="1"/>
  <c r="J309" i="2"/>
  <c r="I309" i="2"/>
  <c r="G309" i="2"/>
  <c r="AK308" i="2"/>
  <c r="P308" i="2" s="1"/>
  <c r="X308" i="2"/>
  <c r="W308" i="2"/>
  <c r="T308" i="2"/>
  <c r="S308" i="2"/>
  <c r="R308" i="2"/>
  <c r="Q308" i="2"/>
  <c r="Z308" i="2" s="1"/>
  <c r="O308" i="2"/>
  <c r="G308" i="2"/>
  <c r="J308" i="2" s="1"/>
  <c r="AZ307" i="2"/>
  <c r="Z307" i="2"/>
  <c r="U307" i="2"/>
  <c r="T307" i="2"/>
  <c r="R307" i="2"/>
  <c r="Q307" i="2"/>
  <c r="O307" i="2"/>
  <c r="J307" i="2"/>
  <c r="I307" i="2"/>
  <c r="G307" i="2"/>
  <c r="Z306" i="2"/>
  <c r="T306" i="2"/>
  <c r="S306" i="2"/>
  <c r="R306" i="2"/>
  <c r="Q306" i="2"/>
  <c r="W306" i="2" s="1"/>
  <c r="P306" i="2"/>
  <c r="Y306" i="2" s="1"/>
  <c r="O306" i="2"/>
  <c r="X306" i="2" s="1"/>
  <c r="J306" i="2"/>
  <c r="G306" i="2"/>
  <c r="I306" i="2" s="1"/>
  <c r="T305" i="2"/>
  <c r="S305" i="2"/>
  <c r="R305" i="2"/>
  <c r="Q305" i="2"/>
  <c r="Z305" i="2" s="1"/>
  <c r="P305" i="2"/>
  <c r="Y305" i="2" s="1"/>
  <c r="O305" i="2"/>
  <c r="X305" i="2" s="1"/>
  <c r="J305" i="2"/>
  <c r="I305" i="2"/>
  <c r="G305" i="2"/>
  <c r="AQ304" i="2"/>
  <c r="AK304" i="2"/>
  <c r="Z304" i="2"/>
  <c r="Y304" i="2"/>
  <c r="X304" i="2"/>
  <c r="T304" i="2"/>
  <c r="S304" i="2"/>
  <c r="R304" i="2"/>
  <c r="R302" i="2" s="1"/>
  <c r="Q304" i="2"/>
  <c r="W304" i="2" s="1"/>
  <c r="P304" i="2"/>
  <c r="V304" i="2" s="1"/>
  <c r="O304" i="2"/>
  <c r="U304" i="2" s="1"/>
  <c r="M304" i="2"/>
  <c r="J304" i="2"/>
  <c r="I304" i="2"/>
  <c r="G304" i="2"/>
  <c r="AK303" i="2"/>
  <c r="AH303" i="2"/>
  <c r="AH541" i="2" s="1"/>
  <c r="X303" i="2"/>
  <c r="W303" i="2"/>
  <c r="T303" i="2"/>
  <c r="R303" i="2"/>
  <c r="Q303" i="2"/>
  <c r="O303" i="2"/>
  <c r="G303" i="2"/>
  <c r="BM302" i="2"/>
  <c r="BL302" i="2"/>
  <c r="BK302" i="2"/>
  <c r="BJ302" i="2"/>
  <c r="BI302" i="2"/>
  <c r="BH302" i="2"/>
  <c r="BG302" i="2"/>
  <c r="BF302" i="2"/>
  <c r="BE302" i="2"/>
  <c r="BD302" i="2"/>
  <c r="BC302" i="2"/>
  <c r="BB302" i="2"/>
  <c r="BA302" i="2"/>
  <c r="AY302" i="2"/>
  <c r="AX302" i="2"/>
  <c r="AW302" i="2"/>
  <c r="AV302" i="2"/>
  <c r="AU302" i="2"/>
  <c r="AS302" i="2"/>
  <c r="AR302" i="2"/>
  <c r="AP302" i="2"/>
  <c r="AN302" i="2"/>
  <c r="AM302" i="2"/>
  <c r="AL302" i="2"/>
  <c r="AJ302" i="2"/>
  <c r="AI302" i="2"/>
  <c r="AH302" i="2"/>
  <c r="AG302" i="2"/>
  <c r="AF302" i="2"/>
  <c r="AE302" i="2"/>
  <c r="AD302" i="2"/>
  <c r="AC302" i="2"/>
  <c r="AB302" i="2"/>
  <c r="AA302" i="2"/>
  <c r="N302" i="2"/>
  <c r="L302" i="2"/>
  <c r="K302" i="2"/>
  <c r="H302" i="2"/>
  <c r="F302" i="2"/>
  <c r="E302" i="2"/>
  <c r="X301" i="2"/>
  <c r="W301" i="2"/>
  <c r="V301" i="2"/>
  <c r="T301" i="2"/>
  <c r="S301" i="2"/>
  <c r="R301" i="2"/>
  <c r="Q301" i="2"/>
  <c r="Z301" i="2" s="1"/>
  <c r="P301" i="2"/>
  <c r="Y301" i="2" s="1"/>
  <c r="O301" i="2"/>
  <c r="G301" i="2"/>
  <c r="Y300" i="2"/>
  <c r="X300" i="2"/>
  <c r="W300" i="2"/>
  <c r="T300" i="2"/>
  <c r="S300" i="2"/>
  <c r="R300" i="2"/>
  <c r="Q300" i="2"/>
  <c r="P300" i="2"/>
  <c r="V300" i="2" s="1"/>
  <c r="O300" i="2"/>
  <c r="I300" i="2"/>
  <c r="G300" i="2"/>
  <c r="J300" i="2" s="1"/>
  <c r="Z299" i="2"/>
  <c r="X299" i="2"/>
  <c r="T299" i="2"/>
  <c r="S299" i="2"/>
  <c r="R299" i="2"/>
  <c r="Q299" i="2"/>
  <c r="W299" i="2" s="1"/>
  <c r="P299" i="2"/>
  <c r="Y299" i="2" s="1"/>
  <c r="O299" i="2"/>
  <c r="J299" i="2"/>
  <c r="G299" i="2"/>
  <c r="I299" i="2" s="1"/>
  <c r="Y298" i="2"/>
  <c r="T298" i="2"/>
  <c r="T582" i="2" s="1"/>
  <c r="S298" i="2"/>
  <c r="S582" i="2" s="1"/>
  <c r="R298" i="2"/>
  <c r="R582" i="2" s="1"/>
  <c r="Q298" i="2"/>
  <c r="W298" i="2" s="1"/>
  <c r="W582" i="2" s="1"/>
  <c r="P298" i="2"/>
  <c r="P582" i="2" s="1"/>
  <c r="Y582" i="2" s="1"/>
  <c r="O298" i="2"/>
  <c r="J298" i="2"/>
  <c r="I298" i="2"/>
  <c r="G298" i="2"/>
  <c r="G582" i="2" s="1"/>
  <c r="AX297" i="2"/>
  <c r="Y297" i="2"/>
  <c r="V297" i="2"/>
  <c r="U297" i="2"/>
  <c r="S297" i="2"/>
  <c r="R297" i="2"/>
  <c r="Q297" i="2"/>
  <c r="P297" i="2"/>
  <c r="O297" i="2"/>
  <c r="X297" i="2" s="1"/>
  <c r="N297" i="2"/>
  <c r="N511" i="2" s="1"/>
  <c r="J297" i="2"/>
  <c r="G297" i="2"/>
  <c r="I297" i="2" s="1"/>
  <c r="Y296" i="2"/>
  <c r="W296" i="2"/>
  <c r="T296" i="2"/>
  <c r="S296" i="2"/>
  <c r="R296" i="2"/>
  <c r="Q296" i="2"/>
  <c r="P296" i="2"/>
  <c r="V296" i="2" s="1"/>
  <c r="O296" i="2"/>
  <c r="X296" i="2" s="1"/>
  <c r="G296" i="2"/>
  <c r="BO563" i="2"/>
  <c r="Z295" i="2"/>
  <c r="X295" i="2"/>
  <c r="V295" i="2"/>
  <c r="T295" i="2"/>
  <c r="T563" i="2" s="1"/>
  <c r="S295" i="2"/>
  <c r="S563" i="2" s="1"/>
  <c r="R295" i="2"/>
  <c r="R563" i="2" s="1"/>
  <c r="Q295" i="2"/>
  <c r="Q563" i="2" s="1"/>
  <c r="Z563" i="2" s="1"/>
  <c r="P295" i="2"/>
  <c r="P563" i="2" s="1"/>
  <c r="Y563" i="2" s="1"/>
  <c r="O295" i="2"/>
  <c r="O563" i="2" s="1"/>
  <c r="X563" i="2" s="1"/>
  <c r="J295" i="2"/>
  <c r="I295" i="2"/>
  <c r="G295" i="2"/>
  <c r="G563" i="2" s="1"/>
  <c r="T294" i="2"/>
  <c r="S294" i="2"/>
  <c r="R294" i="2"/>
  <c r="Q294" i="2"/>
  <c r="Z294" i="2" s="1"/>
  <c r="P294" i="2"/>
  <c r="Y294" i="2" s="1"/>
  <c r="O294" i="2"/>
  <c r="X294" i="2" s="1"/>
  <c r="AX293" i="2"/>
  <c r="V293" i="2"/>
  <c r="U293" i="2"/>
  <c r="S293" i="2"/>
  <c r="R293" i="2"/>
  <c r="P293" i="2"/>
  <c r="Y293" i="2" s="1"/>
  <c r="O293" i="2"/>
  <c r="X293" i="2" s="1"/>
  <c r="N293" i="2"/>
  <c r="J293" i="2"/>
  <c r="I293" i="2"/>
  <c r="G293" i="2"/>
  <c r="AQ292" i="2"/>
  <c r="AQ552" i="2" s="1"/>
  <c r="AK292" i="2"/>
  <c r="AK552" i="2" s="1"/>
  <c r="Z292" i="2"/>
  <c r="X292" i="2"/>
  <c r="T292" i="2"/>
  <c r="R292" i="2"/>
  <c r="Q292" i="2"/>
  <c r="W292" i="2" s="1"/>
  <c r="O292" i="2"/>
  <c r="U292" i="2" s="1"/>
  <c r="G292" i="2"/>
  <c r="Y291" i="2"/>
  <c r="W291" i="2"/>
  <c r="T291" i="2"/>
  <c r="S291" i="2"/>
  <c r="R291" i="2"/>
  <c r="Q291" i="2"/>
  <c r="P291" i="2"/>
  <c r="V291" i="2" s="1"/>
  <c r="O291" i="2"/>
  <c r="X291" i="2" s="1"/>
  <c r="J291" i="2"/>
  <c r="I291" i="2"/>
  <c r="G291" i="2"/>
  <c r="AB290" i="2"/>
  <c r="AB548" i="2" s="1"/>
  <c r="T290" i="2"/>
  <c r="S290" i="2"/>
  <c r="R290" i="2"/>
  <c r="Q290" i="2"/>
  <c r="Z290" i="2" s="1"/>
  <c r="P290" i="2"/>
  <c r="O290" i="2"/>
  <c r="X290" i="2" s="1"/>
  <c r="J290" i="2"/>
  <c r="I290" i="2"/>
  <c r="G290" i="2"/>
  <c r="AZ289" i="2"/>
  <c r="W289" i="2"/>
  <c r="U289" i="2"/>
  <c r="T289" i="2"/>
  <c r="R289" i="2"/>
  <c r="Q289" i="2"/>
  <c r="Z289" i="2" s="1"/>
  <c r="O289" i="2"/>
  <c r="I289" i="2"/>
  <c r="G289" i="2"/>
  <c r="J289" i="2" s="1"/>
  <c r="BA288" i="2"/>
  <c r="V288" i="2"/>
  <c r="U288" i="2"/>
  <c r="S288" i="2"/>
  <c r="R288" i="2"/>
  <c r="P288" i="2"/>
  <c r="Y288" i="2" s="1"/>
  <c r="O288" i="2"/>
  <c r="X288" i="2" s="1"/>
  <c r="AX287" i="2"/>
  <c r="AU287" i="2"/>
  <c r="AL287" i="2"/>
  <c r="X287" i="2"/>
  <c r="S287" i="2"/>
  <c r="R287" i="2"/>
  <c r="P287" i="2"/>
  <c r="V287" i="2" s="1"/>
  <c r="O287" i="2"/>
  <c r="X546" i="2" s="1"/>
  <c r="N287" i="2"/>
  <c r="I287" i="2"/>
  <c r="G287" i="2"/>
  <c r="Z286" i="2"/>
  <c r="X286" i="2"/>
  <c r="T286" i="2"/>
  <c r="S286" i="2"/>
  <c r="R286" i="2"/>
  <c r="Q286" i="2"/>
  <c r="W286" i="2" s="1"/>
  <c r="P286" i="2"/>
  <c r="Y286" i="2" s="1"/>
  <c r="O286" i="2"/>
  <c r="J286" i="2"/>
  <c r="G286" i="2"/>
  <c r="I286" i="2" s="1"/>
  <c r="Y285" i="2"/>
  <c r="T285" i="2"/>
  <c r="S285" i="2"/>
  <c r="R285" i="2"/>
  <c r="Q285" i="2"/>
  <c r="P285" i="2"/>
  <c r="V285" i="2" s="1"/>
  <c r="O285" i="2"/>
  <c r="J285" i="2"/>
  <c r="I285" i="2"/>
  <c r="G285" i="2"/>
  <c r="BA284" i="2"/>
  <c r="T284" i="2" s="1"/>
  <c r="Y284" i="2"/>
  <c r="X284" i="2"/>
  <c r="U284" i="2"/>
  <c r="S284" i="2"/>
  <c r="R284" i="2"/>
  <c r="P284" i="2"/>
  <c r="V284" i="2" s="1"/>
  <c r="O284" i="2"/>
  <c r="G284" i="2"/>
  <c r="Z283" i="2"/>
  <c r="X283" i="2"/>
  <c r="W283" i="2"/>
  <c r="T283" i="2"/>
  <c r="S283" i="2"/>
  <c r="R283" i="2"/>
  <c r="Q283" i="2"/>
  <c r="P283" i="2"/>
  <c r="O283" i="2"/>
  <c r="N283" i="2"/>
  <c r="G283" i="2"/>
  <c r="J283" i="2" s="1"/>
  <c r="X282" i="2"/>
  <c r="T282" i="2"/>
  <c r="S282" i="2"/>
  <c r="R282" i="2"/>
  <c r="Q282" i="2"/>
  <c r="Z282" i="2" s="1"/>
  <c r="P282" i="2"/>
  <c r="Y282" i="2" s="1"/>
  <c r="O282" i="2"/>
  <c r="N282" i="2"/>
  <c r="G282" i="2"/>
  <c r="J282" i="2" s="1"/>
  <c r="BA281" i="2"/>
  <c r="AX281" i="2"/>
  <c r="S281" i="2"/>
  <c r="R281" i="2"/>
  <c r="P281" i="2"/>
  <c r="Y281" i="2" s="1"/>
  <c r="O281" i="2"/>
  <c r="N281" i="2"/>
  <c r="G281" i="2"/>
  <c r="J281" i="2" s="1"/>
  <c r="BA280" i="2"/>
  <c r="Q280" i="2" s="1"/>
  <c r="AX280" i="2"/>
  <c r="AU280" i="2"/>
  <c r="AR280" i="2"/>
  <c r="S280" i="2"/>
  <c r="R280" i="2"/>
  <c r="P280" i="2"/>
  <c r="Y280" i="2" s="1"/>
  <c r="O280" i="2"/>
  <c r="N280" i="2"/>
  <c r="G280" i="2"/>
  <c r="BA279" i="2"/>
  <c r="AX279" i="2"/>
  <c r="Y279" i="2"/>
  <c r="S279" i="2"/>
  <c r="R279" i="2"/>
  <c r="P279" i="2"/>
  <c r="V279" i="2" s="1"/>
  <c r="O279" i="2"/>
  <c r="G279" i="2"/>
  <c r="J279" i="2" s="1"/>
  <c r="Z278" i="2"/>
  <c r="X278" i="2"/>
  <c r="V278" i="2"/>
  <c r="T278" i="2"/>
  <c r="S278" i="2"/>
  <c r="R278" i="2"/>
  <c r="Q278" i="2"/>
  <c r="W278" i="2" s="1"/>
  <c r="P278" i="2"/>
  <c r="Y278" i="2" s="1"/>
  <c r="O278" i="2"/>
  <c r="G278" i="2"/>
  <c r="J278" i="2" s="1"/>
  <c r="Y277" i="2"/>
  <c r="T277" i="2"/>
  <c r="S277" i="2"/>
  <c r="R277" i="2"/>
  <c r="Q277" i="2"/>
  <c r="W277" i="2" s="1"/>
  <c r="P277" i="2"/>
  <c r="V277" i="2" s="1"/>
  <c r="O277" i="2"/>
  <c r="X277" i="2" s="1"/>
  <c r="BA276" i="2"/>
  <c r="AX276" i="2"/>
  <c r="Y276" i="2"/>
  <c r="U276" i="2"/>
  <c r="S276" i="2"/>
  <c r="R276" i="2"/>
  <c r="P276" i="2"/>
  <c r="V276" i="2" s="1"/>
  <c r="O276" i="2"/>
  <c r="X276" i="2" s="1"/>
  <c r="AX275" i="2"/>
  <c r="X275" i="2"/>
  <c r="T275" i="2"/>
  <c r="S275" i="2"/>
  <c r="R275" i="2"/>
  <c r="Q275" i="2"/>
  <c r="P275" i="2"/>
  <c r="O275" i="2"/>
  <c r="U275" i="2" s="1"/>
  <c r="N275" i="2"/>
  <c r="Z275" i="2" s="1"/>
  <c r="AZ274" i="2"/>
  <c r="AW274" i="2"/>
  <c r="AQ274" i="2"/>
  <c r="AK274" i="2"/>
  <c r="P274" i="2" s="1"/>
  <c r="V274" i="2" s="1"/>
  <c r="Y274" i="2"/>
  <c r="T274" i="2"/>
  <c r="S274" i="2"/>
  <c r="R274" i="2"/>
  <c r="Q274" i="2"/>
  <c r="W274" i="2" s="1"/>
  <c r="O274" i="2"/>
  <c r="X274" i="2" s="1"/>
  <c r="J274" i="2"/>
  <c r="I274" i="2"/>
  <c r="G274" i="2"/>
  <c r="AZ273" i="2"/>
  <c r="P273" i="2" s="1"/>
  <c r="AW273" i="2"/>
  <c r="Z273" i="2"/>
  <c r="X273" i="2"/>
  <c r="T273" i="2"/>
  <c r="R273" i="2"/>
  <c r="Q273" i="2"/>
  <c r="W273" i="2" s="1"/>
  <c r="O273" i="2"/>
  <c r="U273" i="2" s="1"/>
  <c r="G273" i="2"/>
  <c r="J273" i="2" s="1"/>
  <c r="AW272" i="2"/>
  <c r="AQ272" i="2"/>
  <c r="AN272" i="2"/>
  <c r="AK272" i="2"/>
  <c r="T272" i="2"/>
  <c r="R272" i="2"/>
  <c r="Q272" i="2"/>
  <c r="O272" i="2"/>
  <c r="G272" i="2"/>
  <c r="J272" i="2" s="1"/>
  <c r="AZ271" i="2"/>
  <c r="AW271" i="2"/>
  <c r="AK271" i="2"/>
  <c r="P271" i="2" s="1"/>
  <c r="T271" i="2"/>
  <c r="S271" i="2"/>
  <c r="R271" i="2"/>
  <c r="Q271" i="2"/>
  <c r="W271" i="2" s="1"/>
  <c r="O271" i="2"/>
  <c r="J271" i="2"/>
  <c r="I271" i="2"/>
  <c r="G271" i="2"/>
  <c r="AH270" i="2"/>
  <c r="U270" i="2"/>
  <c r="T270" i="2"/>
  <c r="R270" i="2"/>
  <c r="Q270" i="2"/>
  <c r="Z270" i="2" s="1"/>
  <c r="O270" i="2"/>
  <c r="G270" i="2"/>
  <c r="J270" i="2" s="1"/>
  <c r="Z269" i="2"/>
  <c r="X269" i="2"/>
  <c r="T269" i="2"/>
  <c r="S269" i="2"/>
  <c r="R269" i="2"/>
  <c r="Q269" i="2"/>
  <c r="W269" i="2" s="1"/>
  <c r="P269" i="2"/>
  <c r="Y269" i="2" s="1"/>
  <c r="O269" i="2"/>
  <c r="G269" i="2"/>
  <c r="J269" i="2" s="1"/>
  <c r="AZ268" i="2"/>
  <c r="AW268" i="2"/>
  <c r="AT268" i="2"/>
  <c r="AQ268" i="2"/>
  <c r="AN268" i="2"/>
  <c r="AK268" i="2"/>
  <c r="AH268" i="2"/>
  <c r="S268" i="2" s="1"/>
  <c r="Z268" i="2"/>
  <c r="X268" i="2"/>
  <c r="T268" i="2"/>
  <c r="R268" i="2"/>
  <c r="Q268" i="2"/>
  <c r="O268" i="2"/>
  <c r="M268" i="2"/>
  <c r="J268" i="2"/>
  <c r="I268" i="2"/>
  <c r="G268" i="2"/>
  <c r="AO267" i="2"/>
  <c r="Y267" i="2"/>
  <c r="U267" i="2"/>
  <c r="S267" i="2"/>
  <c r="R267" i="2"/>
  <c r="P267" i="2"/>
  <c r="V267" i="2" s="1"/>
  <c r="O267" i="2"/>
  <c r="G267" i="2"/>
  <c r="J267" i="2" s="1"/>
  <c r="Z266" i="2"/>
  <c r="X266" i="2"/>
  <c r="T266" i="2"/>
  <c r="S266" i="2"/>
  <c r="R266" i="2"/>
  <c r="Q266" i="2"/>
  <c r="W266" i="2" s="1"/>
  <c r="P266" i="2"/>
  <c r="V266" i="2" s="1"/>
  <c r="O266" i="2"/>
  <c r="U266" i="2" s="1"/>
  <c r="BA265" i="2"/>
  <c r="Y265" i="2"/>
  <c r="W265" i="2"/>
  <c r="T265" i="2"/>
  <c r="S265" i="2"/>
  <c r="R265" i="2"/>
  <c r="Q265" i="2"/>
  <c r="Z265" i="2" s="1"/>
  <c r="P265" i="2"/>
  <c r="V265" i="2" s="1"/>
  <c r="O265" i="2"/>
  <c r="J265" i="2"/>
  <c r="I265" i="2"/>
  <c r="G265" i="2"/>
  <c r="AR264" i="2"/>
  <c r="AQ264" i="2"/>
  <c r="AN264" i="2"/>
  <c r="R264" i="2"/>
  <c r="Q264" i="2"/>
  <c r="Z264" i="2" s="1"/>
  <c r="O264" i="2"/>
  <c r="G264" i="2"/>
  <c r="J264" i="2" s="1"/>
  <c r="BM263" i="2"/>
  <c r="BL263" i="2"/>
  <c r="BK263" i="2"/>
  <c r="BJ263" i="2"/>
  <c r="BI263" i="2"/>
  <c r="BH263" i="2"/>
  <c r="BG263" i="2"/>
  <c r="BF263" i="2"/>
  <c r="BE263" i="2"/>
  <c r="BD263" i="2"/>
  <c r="BC263" i="2"/>
  <c r="BB263" i="2"/>
  <c r="AY263" i="2"/>
  <c r="AW263" i="2"/>
  <c r="AV263" i="2"/>
  <c r="AU263" i="2"/>
  <c r="AT263" i="2"/>
  <c r="AS263" i="2"/>
  <c r="AQ263" i="2"/>
  <c r="AP263" i="2"/>
  <c r="AM263" i="2"/>
  <c r="AL263" i="2"/>
  <c r="AK263" i="2"/>
  <c r="AJ263" i="2"/>
  <c r="AI263" i="2"/>
  <c r="AG263" i="2"/>
  <c r="AF263" i="2"/>
  <c r="AE263" i="2"/>
  <c r="AD263" i="2"/>
  <c r="AC263" i="2"/>
  <c r="AB263" i="2"/>
  <c r="AA263" i="2"/>
  <c r="M263" i="2"/>
  <c r="L263" i="2"/>
  <c r="K263" i="2"/>
  <c r="H263" i="2"/>
  <c r="I6" i="3" s="1"/>
  <c r="G263" i="2"/>
  <c r="F263" i="2"/>
  <c r="E263" i="2"/>
  <c r="Y262" i="2"/>
  <c r="T262" i="2"/>
  <c r="S262" i="2"/>
  <c r="R262" i="2"/>
  <c r="Q262" i="2"/>
  <c r="Z262" i="2" s="1"/>
  <c r="P262" i="2"/>
  <c r="V262" i="2" s="1"/>
  <c r="O262" i="2"/>
  <c r="X262" i="2" s="1"/>
  <c r="G262" i="2"/>
  <c r="J262" i="2" s="1"/>
  <c r="Z261" i="2"/>
  <c r="X261" i="2"/>
  <c r="V261" i="2"/>
  <c r="T261" i="2"/>
  <c r="S261" i="2"/>
  <c r="R261" i="2"/>
  <c r="Q261" i="2"/>
  <c r="W261" i="2" s="1"/>
  <c r="P261" i="2"/>
  <c r="Y261" i="2" s="1"/>
  <c r="O261" i="2"/>
  <c r="G261" i="2"/>
  <c r="J261" i="2" s="1"/>
  <c r="Y260" i="2"/>
  <c r="W260" i="2"/>
  <c r="T260" i="2"/>
  <c r="S260" i="2"/>
  <c r="R260" i="2"/>
  <c r="Q260" i="2"/>
  <c r="P260" i="2"/>
  <c r="V260" i="2" s="1"/>
  <c r="O260" i="2"/>
  <c r="J260" i="2"/>
  <c r="I260" i="2"/>
  <c r="G260" i="2"/>
  <c r="Z259" i="2"/>
  <c r="X259" i="2"/>
  <c r="T259" i="2"/>
  <c r="S259" i="2"/>
  <c r="R259" i="2"/>
  <c r="Q259" i="2"/>
  <c r="W259" i="2" s="1"/>
  <c r="P259" i="2"/>
  <c r="V259" i="2" s="1"/>
  <c r="O259" i="2"/>
  <c r="G259" i="2"/>
  <c r="Y258" i="2"/>
  <c r="T258" i="2"/>
  <c r="S258" i="2"/>
  <c r="R258" i="2"/>
  <c r="Q258" i="2"/>
  <c r="W258" i="2" s="1"/>
  <c r="P258" i="2"/>
  <c r="V258" i="2" s="1"/>
  <c r="O258" i="2"/>
  <c r="X258" i="2" s="1"/>
  <c r="J258" i="2"/>
  <c r="I258" i="2"/>
  <c r="G258" i="2"/>
  <c r="Z257" i="2"/>
  <c r="X257" i="2"/>
  <c r="V257" i="2"/>
  <c r="T257" i="2"/>
  <c r="S257" i="2"/>
  <c r="R257" i="2"/>
  <c r="Q257" i="2"/>
  <c r="W257" i="2" s="1"/>
  <c r="P257" i="2"/>
  <c r="Y257" i="2" s="1"/>
  <c r="O257" i="2"/>
  <c r="U257" i="2" s="1"/>
  <c r="AX256" i="2"/>
  <c r="Y256" i="2"/>
  <c r="U256" i="2"/>
  <c r="S256" i="2"/>
  <c r="R256" i="2"/>
  <c r="P256" i="2"/>
  <c r="V256" i="2" s="1"/>
  <c r="O256" i="2"/>
  <c r="N256" i="2"/>
  <c r="G256" i="2"/>
  <c r="J256" i="2" s="1"/>
  <c r="BA255" i="2"/>
  <c r="AX255" i="2"/>
  <c r="AU255" i="2"/>
  <c r="AR255" i="2"/>
  <c r="AO255" i="2"/>
  <c r="X255" i="2"/>
  <c r="S255" i="2"/>
  <c r="R255" i="2"/>
  <c r="P255" i="2"/>
  <c r="Y255" i="2" s="1"/>
  <c r="O255" i="2"/>
  <c r="U255" i="2" s="1"/>
  <c r="N255" i="2"/>
  <c r="J255" i="2"/>
  <c r="I255" i="2"/>
  <c r="G255" i="2"/>
  <c r="BA254" i="2"/>
  <c r="AX254" i="2"/>
  <c r="AU254" i="2"/>
  <c r="AR254" i="2"/>
  <c r="AO254" i="2"/>
  <c r="AL254" i="2"/>
  <c r="AL500" i="2" s="1"/>
  <c r="AI254" i="2"/>
  <c r="Y254" i="2"/>
  <c r="S254" i="2"/>
  <c r="R254" i="2"/>
  <c r="P254" i="2"/>
  <c r="P253" i="2" s="1"/>
  <c r="Y253" i="2" s="1"/>
  <c r="O254" i="2"/>
  <c r="X254" i="2" s="1"/>
  <c r="N254" i="2"/>
  <c r="J254" i="2"/>
  <c r="G254" i="2"/>
  <c r="I254" i="2" s="1"/>
  <c r="BM253" i="2"/>
  <c r="BL253" i="2"/>
  <c r="S253" i="2" s="1"/>
  <c r="BK253" i="2"/>
  <c r="BJ253" i="2"/>
  <c r="BI253" i="2"/>
  <c r="BH253" i="2"/>
  <c r="BG253" i="2"/>
  <c r="BF253" i="2"/>
  <c r="BE253" i="2"/>
  <c r="BD253" i="2"/>
  <c r="BC253" i="2"/>
  <c r="BB253" i="2"/>
  <c r="AZ253" i="2"/>
  <c r="AY253" i="2"/>
  <c r="AW253" i="2"/>
  <c r="AV253" i="2"/>
  <c r="AT253" i="2"/>
  <c r="AS253" i="2"/>
  <c r="AQ253" i="2"/>
  <c r="AP253" i="2"/>
  <c r="AN253" i="2"/>
  <c r="AM253" i="2"/>
  <c r="AL253" i="2"/>
  <c r="AK253" i="2"/>
  <c r="AJ253" i="2"/>
  <c r="AH253" i="2"/>
  <c r="AG253" i="2"/>
  <c r="AF253" i="2"/>
  <c r="AE253" i="2"/>
  <c r="AD253" i="2"/>
  <c r="R253" i="2" s="1"/>
  <c r="AC253" i="2"/>
  <c r="AB253" i="2"/>
  <c r="AA253" i="2"/>
  <c r="N253" i="2"/>
  <c r="M253" i="2"/>
  <c r="L253" i="2"/>
  <c r="K253" i="2"/>
  <c r="H253" i="2"/>
  <c r="F253" i="2"/>
  <c r="E253" i="2"/>
  <c r="Z252" i="2"/>
  <c r="X252" i="2"/>
  <c r="T252" i="2"/>
  <c r="S252" i="2"/>
  <c r="R252" i="2"/>
  <c r="Q252" i="2"/>
  <c r="W252" i="2" s="1"/>
  <c r="P252" i="2"/>
  <c r="O252" i="2"/>
  <c r="K252" i="2"/>
  <c r="G252" i="2"/>
  <c r="J252" i="2" s="1"/>
  <c r="Z251" i="2"/>
  <c r="X251" i="2"/>
  <c r="V251" i="2"/>
  <c r="T251" i="2"/>
  <c r="S251" i="2"/>
  <c r="R251" i="2"/>
  <c r="Q251" i="2"/>
  <c r="W251" i="2" s="1"/>
  <c r="P251" i="2"/>
  <c r="Y251" i="2" s="1"/>
  <c r="O251" i="2"/>
  <c r="G251" i="2"/>
  <c r="Y250" i="2"/>
  <c r="W250" i="2"/>
  <c r="W551" i="2" s="1"/>
  <c r="T250" i="2"/>
  <c r="T551" i="2" s="1"/>
  <c r="S250" i="2"/>
  <c r="S551" i="2" s="1"/>
  <c r="R250" i="2"/>
  <c r="R551" i="2" s="1"/>
  <c r="Q250" i="2"/>
  <c r="P250" i="2"/>
  <c r="P551" i="2" s="1"/>
  <c r="Y551" i="2" s="1"/>
  <c r="O250" i="2"/>
  <c r="O551" i="2" s="1"/>
  <c r="X551" i="2" s="1"/>
  <c r="J250" i="2"/>
  <c r="I250" i="2"/>
  <c r="G250" i="2"/>
  <c r="G551" i="2" s="1"/>
  <c r="Z249" i="2"/>
  <c r="X249" i="2"/>
  <c r="T249" i="2"/>
  <c r="S249" i="2"/>
  <c r="R249" i="2"/>
  <c r="Q249" i="2"/>
  <c r="W249" i="2" s="1"/>
  <c r="P249" i="2"/>
  <c r="V249" i="2" s="1"/>
  <c r="O249" i="2"/>
  <c r="G249" i="2"/>
  <c r="I249" i="2" s="1"/>
  <c r="Y248" i="2"/>
  <c r="T248" i="2"/>
  <c r="S248" i="2"/>
  <c r="R248" i="2"/>
  <c r="Q248" i="2"/>
  <c r="W248" i="2" s="1"/>
  <c r="P248" i="2"/>
  <c r="V248" i="2" s="1"/>
  <c r="O248" i="2"/>
  <c r="I248" i="2"/>
  <c r="G248" i="2"/>
  <c r="X247" i="2"/>
  <c r="V247" i="2"/>
  <c r="T247" i="2"/>
  <c r="S247" i="2"/>
  <c r="R247" i="2"/>
  <c r="Q247" i="2"/>
  <c r="P247" i="2"/>
  <c r="Y247" i="2" s="1"/>
  <c r="O247" i="2"/>
  <c r="J247" i="2"/>
  <c r="G247" i="2"/>
  <c r="I247" i="2" s="1"/>
  <c r="BN536" i="2"/>
  <c r="Y246" i="2"/>
  <c r="X246" i="2"/>
  <c r="T246" i="2"/>
  <c r="T536" i="2" s="1"/>
  <c r="S246" i="2"/>
  <c r="S536" i="2" s="1"/>
  <c r="R246" i="2"/>
  <c r="R536" i="2" s="1"/>
  <c r="Q246" i="2"/>
  <c r="P246" i="2"/>
  <c r="P536" i="2" s="1"/>
  <c r="Y536" i="2" s="1"/>
  <c r="O246" i="2"/>
  <c r="O536" i="2" s="1"/>
  <c r="X536" i="2" s="1"/>
  <c r="G246" i="2"/>
  <c r="BO518" i="2"/>
  <c r="Z245" i="2"/>
  <c r="Y245" i="2"/>
  <c r="X245" i="2"/>
  <c r="V245" i="2"/>
  <c r="T245" i="2"/>
  <c r="T518" i="2" s="1"/>
  <c r="S245" i="2"/>
  <c r="S518" i="2" s="1"/>
  <c r="R245" i="2"/>
  <c r="R518" i="2" s="1"/>
  <c r="Q245" i="2"/>
  <c r="Q518" i="2" s="1"/>
  <c r="Z518" i="2" s="1"/>
  <c r="P245" i="2"/>
  <c r="P518" i="2" s="1"/>
  <c r="Y518" i="2" s="1"/>
  <c r="O245" i="2"/>
  <c r="O518" i="2" s="1"/>
  <c r="X518" i="2" s="1"/>
  <c r="G245" i="2"/>
  <c r="Y244" i="2"/>
  <c r="W244" i="2"/>
  <c r="W517" i="2" s="1"/>
  <c r="T244" i="2"/>
  <c r="T517" i="2" s="1"/>
  <c r="S244" i="2"/>
  <c r="S517" i="2" s="1"/>
  <c r="R244" i="2"/>
  <c r="R517" i="2" s="1"/>
  <c r="Q244" i="2"/>
  <c r="P244" i="2"/>
  <c r="P517" i="2" s="1"/>
  <c r="Y517" i="2" s="1"/>
  <c r="O244" i="2"/>
  <c r="O517" i="2" s="1"/>
  <c r="X517" i="2" s="1"/>
  <c r="J244" i="2"/>
  <c r="I244" i="2"/>
  <c r="G244" i="2"/>
  <c r="G517" i="2" s="1"/>
  <c r="Z243" i="2"/>
  <c r="T243" i="2"/>
  <c r="T242" i="2" s="1"/>
  <c r="S243" i="2"/>
  <c r="R243" i="2"/>
  <c r="R242" i="2" s="1"/>
  <c r="Q243" i="2"/>
  <c r="W243" i="2" s="1"/>
  <c r="P243" i="2"/>
  <c r="V243" i="2" s="1"/>
  <c r="O243" i="2"/>
  <c r="O242" i="2" s="1"/>
  <c r="J243" i="2"/>
  <c r="G243" i="2"/>
  <c r="I243" i="2" s="1"/>
  <c r="BM242" i="2"/>
  <c r="BL242" i="2"/>
  <c r="BL241" i="2" s="1"/>
  <c r="BK242" i="2"/>
  <c r="BJ242" i="2"/>
  <c r="BJ241" i="2" s="1"/>
  <c r="BI242" i="2"/>
  <c r="BH242" i="2"/>
  <c r="BH241" i="2" s="1"/>
  <c r="BH196" i="2" s="1"/>
  <c r="BG242" i="2"/>
  <c r="BF242" i="2"/>
  <c r="BF241" i="2" s="1"/>
  <c r="BE242" i="2"/>
  <c r="BD242" i="2"/>
  <c r="BD241" i="2" s="1"/>
  <c r="BC242" i="2"/>
  <c r="BB242" i="2"/>
  <c r="BB241" i="2" s="1"/>
  <c r="BB196" i="2" s="1"/>
  <c r="BA242" i="2"/>
  <c r="AZ242" i="2"/>
  <c r="AY242" i="2"/>
  <c r="AX242" i="2"/>
  <c r="AW242" i="2"/>
  <c r="AW241" i="2" s="1"/>
  <c r="AV242" i="2"/>
  <c r="AV241" i="2" s="1"/>
  <c r="AU242" i="2"/>
  <c r="AT242" i="2"/>
  <c r="AS242" i="2"/>
  <c r="AR242" i="2"/>
  <c r="AQ242" i="2"/>
  <c r="AP242" i="2"/>
  <c r="AP241" i="2" s="1"/>
  <c r="AO242" i="2"/>
  <c r="AN242" i="2"/>
  <c r="AM242" i="2"/>
  <c r="AL242" i="2"/>
  <c r="AL241" i="2" s="1"/>
  <c r="AK242" i="2"/>
  <c r="AJ242" i="2"/>
  <c r="AJ241" i="2" s="1"/>
  <c r="AI242" i="2"/>
  <c r="AH242" i="2"/>
  <c r="AG242" i="2"/>
  <c r="AF242" i="2"/>
  <c r="AF241" i="2" s="1"/>
  <c r="AE242" i="2"/>
  <c r="AE241" i="2" s="1"/>
  <c r="AD242" i="2"/>
  <c r="AD241" i="2" s="1"/>
  <c r="AD196" i="2" s="1"/>
  <c r="AC242" i="2"/>
  <c r="AB242" i="2"/>
  <c r="AB241" i="2" s="1"/>
  <c r="AB196" i="2" s="1"/>
  <c r="AA242" i="2"/>
  <c r="N242" i="2"/>
  <c r="M242" i="2"/>
  <c r="L242" i="2"/>
  <c r="L241" i="2" s="1"/>
  <c r="L196" i="2" s="1"/>
  <c r="H242" i="2"/>
  <c r="H241" i="2" s="1"/>
  <c r="F242" i="2"/>
  <c r="E242" i="2"/>
  <c r="BM241" i="2"/>
  <c r="BK241" i="2"/>
  <c r="BG241" i="2"/>
  <c r="BE241" i="2"/>
  <c r="AY241" i="2"/>
  <c r="AS241" i="2"/>
  <c r="AM241" i="2"/>
  <c r="AG241" i="2"/>
  <c r="AC241" i="2"/>
  <c r="AA241" i="2"/>
  <c r="F241" i="2"/>
  <c r="E241" i="2"/>
  <c r="Y240" i="2"/>
  <c r="W240" i="2"/>
  <c r="T240" i="2"/>
  <c r="S240" i="2"/>
  <c r="R240" i="2"/>
  <c r="Q240" i="2"/>
  <c r="P240" i="2"/>
  <c r="V240" i="2" s="1"/>
  <c r="O240" i="2"/>
  <c r="J240" i="2"/>
  <c r="I240" i="2"/>
  <c r="G240" i="2"/>
  <c r="AY239" i="2"/>
  <c r="AV239" i="2"/>
  <c r="Z239" i="2"/>
  <c r="W239" i="2"/>
  <c r="T239" i="2"/>
  <c r="S239" i="2"/>
  <c r="Q239" i="2"/>
  <c r="P239" i="2"/>
  <c r="V239" i="2" s="1"/>
  <c r="K239" i="2"/>
  <c r="G239" i="2"/>
  <c r="Z238" i="2"/>
  <c r="Y238" i="2"/>
  <c r="X238" i="2"/>
  <c r="V238" i="2"/>
  <c r="T238" i="2"/>
  <c r="S238" i="2"/>
  <c r="R238" i="2"/>
  <c r="Q238" i="2"/>
  <c r="W238" i="2" s="1"/>
  <c r="P238" i="2"/>
  <c r="O238" i="2"/>
  <c r="G238" i="2"/>
  <c r="Y237" i="2"/>
  <c r="T237" i="2"/>
  <c r="S237" i="2"/>
  <c r="R237" i="2"/>
  <c r="Q237" i="2"/>
  <c r="P237" i="2"/>
  <c r="V237" i="2" s="1"/>
  <c r="O237" i="2"/>
  <c r="J237" i="2"/>
  <c r="I237" i="2"/>
  <c r="G237" i="2"/>
  <c r="BM236" i="2"/>
  <c r="BL236" i="2"/>
  <c r="BK236" i="2"/>
  <c r="R236" i="2" s="1"/>
  <c r="BJ236" i="2"/>
  <c r="BI236" i="2"/>
  <c r="BH236" i="2"/>
  <c r="BG236" i="2"/>
  <c r="BF236" i="2"/>
  <c r="BE236" i="2"/>
  <c r="BD236" i="2"/>
  <c r="BC236" i="2"/>
  <c r="BB236" i="2"/>
  <c r="BA236" i="2"/>
  <c r="AZ236" i="2"/>
  <c r="AY236" i="2"/>
  <c r="AX236" i="2"/>
  <c r="AW236" i="2"/>
  <c r="AV236" i="2"/>
  <c r="AU236" i="2"/>
  <c r="AT236" i="2"/>
  <c r="AS236" i="2"/>
  <c r="AR236" i="2"/>
  <c r="AQ236" i="2"/>
  <c r="AP236" i="2"/>
  <c r="AO236" i="2"/>
  <c r="AN236" i="2"/>
  <c r="AM236" i="2"/>
  <c r="AL236" i="2"/>
  <c r="AK236" i="2"/>
  <c r="AJ236" i="2"/>
  <c r="AI236" i="2"/>
  <c r="AH236" i="2"/>
  <c r="AG236" i="2"/>
  <c r="AF236" i="2"/>
  <c r="AE236" i="2"/>
  <c r="AD236" i="2"/>
  <c r="AC236" i="2"/>
  <c r="AB236" i="2"/>
  <c r="AA236" i="2"/>
  <c r="S236" i="2"/>
  <c r="Q236" i="2"/>
  <c r="Z236" i="2" s="1"/>
  <c r="N236" i="2"/>
  <c r="M236" i="2"/>
  <c r="L236" i="2"/>
  <c r="K236" i="2"/>
  <c r="H236" i="2"/>
  <c r="F236" i="2"/>
  <c r="F196" i="2" s="1"/>
  <c r="E236" i="2"/>
  <c r="Z235" i="2"/>
  <c r="Y235" i="2"/>
  <c r="T235" i="2"/>
  <c r="S235" i="2"/>
  <c r="R235" i="2"/>
  <c r="Q235" i="2"/>
  <c r="P235" i="2"/>
  <c r="V235" i="2" s="1"/>
  <c r="O235" i="2"/>
  <c r="J235" i="2"/>
  <c r="I235" i="2"/>
  <c r="G235" i="2"/>
  <c r="Z234" i="2"/>
  <c r="X234" i="2"/>
  <c r="W234" i="2"/>
  <c r="V234" i="2"/>
  <c r="T234" i="2"/>
  <c r="S234" i="2"/>
  <c r="R234" i="2"/>
  <c r="Q234" i="2"/>
  <c r="P234" i="2"/>
  <c r="Y234" i="2" s="1"/>
  <c r="O234" i="2"/>
  <c r="K234" i="2"/>
  <c r="U234" i="2" s="1"/>
  <c r="BO581" i="2"/>
  <c r="Y233" i="2"/>
  <c r="T233" i="2"/>
  <c r="T581" i="2" s="1"/>
  <c r="S233" i="2"/>
  <c r="S581" i="2" s="1"/>
  <c r="R233" i="2"/>
  <c r="R581" i="2" s="1"/>
  <c r="Q233" i="2"/>
  <c r="Q581" i="2" s="1"/>
  <c r="Z581" i="2" s="1"/>
  <c r="P233" i="2"/>
  <c r="P581" i="2" s="1"/>
  <c r="Y581" i="2" s="1"/>
  <c r="O233" i="2"/>
  <c r="J233" i="2"/>
  <c r="I233" i="2"/>
  <c r="G233" i="2"/>
  <c r="G581" i="2" s="1"/>
  <c r="X232" i="2"/>
  <c r="V232" i="2"/>
  <c r="T232" i="2"/>
  <c r="S232" i="2"/>
  <c r="R232" i="2"/>
  <c r="Q232" i="2"/>
  <c r="P232" i="2"/>
  <c r="Y232" i="2" s="1"/>
  <c r="O232" i="2"/>
  <c r="J232" i="2"/>
  <c r="G232" i="2"/>
  <c r="I232" i="2" s="1"/>
  <c r="Y231" i="2"/>
  <c r="T231" i="2"/>
  <c r="S231" i="2"/>
  <c r="R231" i="2"/>
  <c r="Q231" i="2"/>
  <c r="W231" i="2" s="1"/>
  <c r="P231" i="2"/>
  <c r="V231" i="2" s="1"/>
  <c r="O231" i="2"/>
  <c r="G231" i="2"/>
  <c r="BO561" i="2"/>
  <c r="AY230" i="2"/>
  <c r="AY561" i="2" s="1"/>
  <c r="AV230" i="2"/>
  <c r="AV561" i="2" s="1"/>
  <c r="AS230" i="2"/>
  <c r="AP230" i="2"/>
  <c r="AP561" i="2" s="1"/>
  <c r="W230" i="2"/>
  <c r="V230" i="2"/>
  <c r="T230" i="2"/>
  <c r="T561" i="2" s="1"/>
  <c r="S230" i="2"/>
  <c r="S561" i="2" s="1"/>
  <c r="Q230" i="2"/>
  <c r="Q561" i="2" s="1"/>
  <c r="Z561" i="2" s="1"/>
  <c r="P230" i="2"/>
  <c r="K230" i="2"/>
  <c r="G230" i="2"/>
  <c r="BO560" i="2"/>
  <c r="Z229" i="2"/>
  <c r="Y229" i="2"/>
  <c r="X229" i="2"/>
  <c r="V229" i="2"/>
  <c r="T229" i="2"/>
  <c r="T560" i="2" s="1"/>
  <c r="S229" i="2"/>
  <c r="S560" i="2" s="1"/>
  <c r="R229" i="2"/>
  <c r="R560" i="2" s="1"/>
  <c r="Q229" i="2"/>
  <c r="Q560" i="2" s="1"/>
  <c r="Z560" i="2" s="1"/>
  <c r="P229" i="2"/>
  <c r="P560" i="2" s="1"/>
  <c r="Y560" i="2" s="1"/>
  <c r="O229" i="2"/>
  <c r="O560" i="2" s="1"/>
  <c r="X560" i="2" s="1"/>
  <c r="G229" i="2"/>
  <c r="Y228" i="2"/>
  <c r="W228" i="2"/>
  <c r="T228" i="2"/>
  <c r="S228" i="2"/>
  <c r="R228" i="2"/>
  <c r="Q228" i="2"/>
  <c r="P228" i="2"/>
  <c r="V228" i="2" s="1"/>
  <c r="O228" i="2"/>
  <c r="J228" i="2"/>
  <c r="I228" i="2"/>
  <c r="G228" i="2"/>
  <c r="Z227" i="2"/>
  <c r="X227" i="2"/>
  <c r="T227" i="2"/>
  <c r="S227" i="2"/>
  <c r="R227" i="2"/>
  <c r="Q227" i="2"/>
  <c r="W227" i="2" s="1"/>
  <c r="P227" i="2"/>
  <c r="V227" i="2" s="1"/>
  <c r="O227" i="2"/>
  <c r="U227" i="2" s="1"/>
  <c r="J227" i="2"/>
  <c r="G227" i="2"/>
  <c r="I227" i="2" s="1"/>
  <c r="T226" i="2"/>
  <c r="S226" i="2"/>
  <c r="R226" i="2"/>
  <c r="Q226" i="2"/>
  <c r="W226" i="2" s="1"/>
  <c r="P226" i="2"/>
  <c r="Y226" i="2" s="1"/>
  <c r="O226" i="2"/>
  <c r="I226" i="2"/>
  <c r="G226" i="2"/>
  <c r="X225" i="2"/>
  <c r="V225" i="2"/>
  <c r="T225" i="2"/>
  <c r="S225" i="2"/>
  <c r="R225" i="2"/>
  <c r="Q225" i="2"/>
  <c r="Z225" i="2" s="1"/>
  <c r="P225" i="2"/>
  <c r="Y225" i="2" s="1"/>
  <c r="O225" i="2"/>
  <c r="J225" i="2"/>
  <c r="G225" i="2"/>
  <c r="I225" i="2" s="1"/>
  <c r="Y224" i="2"/>
  <c r="T224" i="2"/>
  <c r="S224" i="2"/>
  <c r="R224" i="2"/>
  <c r="Q224" i="2"/>
  <c r="W224" i="2" s="1"/>
  <c r="P224" i="2"/>
  <c r="V224" i="2" s="1"/>
  <c r="O224" i="2"/>
  <c r="X224" i="2" s="1"/>
  <c r="G224" i="2"/>
  <c r="BA223" i="2"/>
  <c r="AX223" i="2"/>
  <c r="AU223" i="2"/>
  <c r="AR223" i="2"/>
  <c r="X223" i="2"/>
  <c r="V223" i="2"/>
  <c r="S223" i="2"/>
  <c r="R223" i="2"/>
  <c r="P223" i="2"/>
  <c r="Y223" i="2" s="1"/>
  <c r="O223" i="2"/>
  <c r="N223" i="2"/>
  <c r="G223" i="2"/>
  <c r="Z222" i="2"/>
  <c r="X222" i="2"/>
  <c r="T222" i="2"/>
  <c r="S222" i="2"/>
  <c r="R222" i="2"/>
  <c r="Q222" i="2"/>
  <c r="W222" i="2" s="1"/>
  <c r="P222" i="2"/>
  <c r="Y222" i="2" s="1"/>
  <c r="O222" i="2"/>
  <c r="I222" i="2"/>
  <c r="G222" i="2"/>
  <c r="J222" i="2" s="1"/>
  <c r="Y221" i="2"/>
  <c r="T221" i="2"/>
  <c r="S221" i="2"/>
  <c r="R221" i="2"/>
  <c r="Q221" i="2"/>
  <c r="Z221" i="2" s="1"/>
  <c r="P221" i="2"/>
  <c r="V221" i="2" s="1"/>
  <c r="O221" i="2"/>
  <c r="J221" i="2"/>
  <c r="I221" i="2"/>
  <c r="G221" i="2"/>
  <c r="AY220" i="2"/>
  <c r="AY507" i="2" s="1"/>
  <c r="AV220" i="2"/>
  <c r="AV507" i="2" s="1"/>
  <c r="AM220" i="2"/>
  <c r="AM507" i="2" s="1"/>
  <c r="Y220" i="2"/>
  <c r="W220" i="2"/>
  <c r="T220" i="2"/>
  <c r="S220" i="2"/>
  <c r="R220" i="2"/>
  <c r="Q220" i="2"/>
  <c r="P220" i="2"/>
  <c r="V220" i="2" s="1"/>
  <c r="K220" i="2"/>
  <c r="G220" i="2"/>
  <c r="Y219" i="2"/>
  <c r="W219" i="2"/>
  <c r="T219" i="2"/>
  <c r="S219" i="2"/>
  <c r="R219" i="2"/>
  <c r="Q219" i="2"/>
  <c r="P219" i="2"/>
  <c r="V219" i="2" s="1"/>
  <c r="O219" i="2"/>
  <c r="J219" i="2"/>
  <c r="I219" i="2"/>
  <c r="G219" i="2"/>
  <c r="BO538" i="2"/>
  <c r="Z218" i="2"/>
  <c r="X218" i="2"/>
  <c r="T218" i="2"/>
  <c r="T538" i="2" s="1"/>
  <c r="S218" i="2"/>
  <c r="S538" i="2" s="1"/>
  <c r="R218" i="2"/>
  <c r="R538" i="2" s="1"/>
  <c r="Q218" i="2"/>
  <c r="Q538" i="2" s="1"/>
  <c r="Z538" i="2" s="1"/>
  <c r="P218" i="2"/>
  <c r="P538" i="2" s="1"/>
  <c r="Y538" i="2" s="1"/>
  <c r="O218" i="2"/>
  <c r="O538" i="2" s="1"/>
  <c r="X538" i="2" s="1"/>
  <c r="J218" i="2"/>
  <c r="G218" i="2"/>
  <c r="Y217" i="2"/>
  <c r="W217" i="2"/>
  <c r="T217" i="2"/>
  <c r="S217" i="2"/>
  <c r="R217" i="2"/>
  <c r="Q217" i="2"/>
  <c r="Z217" i="2" s="1"/>
  <c r="P217" i="2"/>
  <c r="V217" i="2" s="1"/>
  <c r="O217" i="2"/>
  <c r="X217" i="2" s="1"/>
  <c r="Y216" i="2"/>
  <c r="W216" i="2"/>
  <c r="T216" i="2"/>
  <c r="S216" i="2"/>
  <c r="R216" i="2"/>
  <c r="Q216" i="2"/>
  <c r="Z216" i="2" s="1"/>
  <c r="P216" i="2"/>
  <c r="V216" i="2" s="1"/>
  <c r="O216" i="2"/>
  <c r="U216" i="2" s="1"/>
  <c r="Y215" i="2"/>
  <c r="X215" i="2"/>
  <c r="W215" i="2"/>
  <c r="T215" i="2"/>
  <c r="S215" i="2"/>
  <c r="R215" i="2"/>
  <c r="Q215" i="2"/>
  <c r="Z215" i="2" s="1"/>
  <c r="P215" i="2"/>
  <c r="V215" i="2" s="1"/>
  <c r="O215" i="2"/>
  <c r="U215" i="2" s="1"/>
  <c r="Y214" i="2"/>
  <c r="W214" i="2"/>
  <c r="T214" i="2"/>
  <c r="S214" i="2"/>
  <c r="R214" i="2"/>
  <c r="Q214" i="2"/>
  <c r="Z214" i="2" s="1"/>
  <c r="P214" i="2"/>
  <c r="V214" i="2" s="1"/>
  <c r="O214" i="2"/>
  <c r="X214" i="2" s="1"/>
  <c r="Y213" i="2"/>
  <c r="W213" i="2"/>
  <c r="T213" i="2"/>
  <c r="S213" i="2"/>
  <c r="R213" i="2"/>
  <c r="Q213" i="2"/>
  <c r="Z213" i="2" s="1"/>
  <c r="P213" i="2"/>
  <c r="V213" i="2" s="1"/>
  <c r="O213" i="2"/>
  <c r="U213" i="2" s="1"/>
  <c r="Y212" i="2"/>
  <c r="X212" i="2"/>
  <c r="W212" i="2"/>
  <c r="T212" i="2"/>
  <c r="S212" i="2"/>
  <c r="R212" i="2"/>
  <c r="Q212" i="2"/>
  <c r="Z212" i="2" s="1"/>
  <c r="P212" i="2"/>
  <c r="V212" i="2" s="1"/>
  <c r="O212" i="2"/>
  <c r="U212" i="2" s="1"/>
  <c r="T211" i="2"/>
  <c r="S211" i="2"/>
  <c r="R211" i="2"/>
  <c r="Q211" i="2"/>
  <c r="P211" i="2"/>
  <c r="Y535" i="2" s="1"/>
  <c r="O211" i="2"/>
  <c r="I211" i="2"/>
  <c r="G211" i="2"/>
  <c r="G535" i="2" s="1"/>
  <c r="X210" i="2"/>
  <c r="W210" i="2"/>
  <c r="T210" i="2"/>
  <c r="S210" i="2"/>
  <c r="R210" i="2"/>
  <c r="Q210" i="2"/>
  <c r="P210" i="2"/>
  <c r="Y210" i="2" s="1"/>
  <c r="O210" i="2"/>
  <c r="E210" i="2"/>
  <c r="E528" i="2" s="1"/>
  <c r="Z209" i="2"/>
  <c r="Y209" i="2"/>
  <c r="X209" i="2"/>
  <c r="V209" i="2"/>
  <c r="T209" i="2"/>
  <c r="S209" i="2"/>
  <c r="R209" i="2"/>
  <c r="Q209" i="2"/>
  <c r="W209" i="2" s="1"/>
  <c r="P209" i="2"/>
  <c r="O209" i="2"/>
  <c r="G209" i="2"/>
  <c r="J209" i="2" s="1"/>
  <c r="T208" i="2"/>
  <c r="S208" i="2"/>
  <c r="R208" i="2"/>
  <c r="Q208" i="2"/>
  <c r="Z208" i="2" s="1"/>
  <c r="P208" i="2"/>
  <c r="Y208" i="2" s="1"/>
  <c r="O208" i="2"/>
  <c r="X208" i="2" s="1"/>
  <c r="Y207" i="2"/>
  <c r="W207" i="2"/>
  <c r="T207" i="2"/>
  <c r="S207" i="2"/>
  <c r="R207" i="2"/>
  <c r="Q207" i="2"/>
  <c r="P207" i="2"/>
  <c r="V207" i="2" s="1"/>
  <c r="O207" i="2"/>
  <c r="X207" i="2" s="1"/>
  <c r="J207" i="2"/>
  <c r="I207" i="2"/>
  <c r="G207" i="2"/>
  <c r="AY206" i="2"/>
  <c r="W206" i="2"/>
  <c r="T206" i="2"/>
  <c r="S206" i="2"/>
  <c r="Q206" i="2"/>
  <c r="Z206" i="2" s="1"/>
  <c r="P206" i="2"/>
  <c r="J206" i="2"/>
  <c r="I206" i="2"/>
  <c r="G206" i="2"/>
  <c r="Z205" i="2"/>
  <c r="X205" i="2"/>
  <c r="W205" i="2"/>
  <c r="V205" i="2"/>
  <c r="T205" i="2"/>
  <c r="S205" i="2"/>
  <c r="R205" i="2"/>
  <c r="Q205" i="2"/>
  <c r="P205" i="2"/>
  <c r="Y205" i="2" s="1"/>
  <c r="O205" i="2"/>
  <c r="J205" i="2"/>
  <c r="G205" i="2"/>
  <c r="I205" i="2" s="1"/>
  <c r="Y204" i="2"/>
  <c r="W204" i="2"/>
  <c r="T204" i="2"/>
  <c r="S204" i="2"/>
  <c r="R204" i="2"/>
  <c r="Q204" i="2"/>
  <c r="P204" i="2"/>
  <c r="V204" i="2" s="1"/>
  <c r="O204" i="2"/>
  <c r="X204" i="2" s="1"/>
  <c r="G204" i="2"/>
  <c r="Z203" i="2"/>
  <c r="X203" i="2"/>
  <c r="V203" i="2"/>
  <c r="T203" i="2"/>
  <c r="S203" i="2"/>
  <c r="R203" i="2"/>
  <c r="Q203" i="2"/>
  <c r="W203" i="2" s="1"/>
  <c r="P203" i="2"/>
  <c r="Y203" i="2" s="1"/>
  <c r="O203" i="2"/>
  <c r="I203" i="2"/>
  <c r="G203" i="2"/>
  <c r="J203" i="2" s="1"/>
  <c r="Y202" i="2"/>
  <c r="W202" i="2"/>
  <c r="T202" i="2"/>
  <c r="S202" i="2"/>
  <c r="R202" i="2"/>
  <c r="Q202" i="2"/>
  <c r="P202" i="2"/>
  <c r="O202" i="2"/>
  <c r="J202" i="2"/>
  <c r="I202" i="2"/>
  <c r="G202" i="2"/>
  <c r="Z201" i="2"/>
  <c r="T201" i="2"/>
  <c r="T519" i="2" s="1"/>
  <c r="S201" i="2"/>
  <c r="S519" i="2" s="1"/>
  <c r="R201" i="2"/>
  <c r="R519" i="2" s="1"/>
  <c r="Q201" i="2"/>
  <c r="Q519" i="2" s="1"/>
  <c r="Z519" i="2" s="1"/>
  <c r="P201" i="2"/>
  <c r="V201" i="2" s="1"/>
  <c r="O201" i="2"/>
  <c r="O519" i="2" s="1"/>
  <c r="X519" i="2" s="1"/>
  <c r="G201" i="2"/>
  <c r="E201" i="2"/>
  <c r="E519" i="2" s="1"/>
  <c r="Z200" i="2"/>
  <c r="X200" i="2"/>
  <c r="W200" i="2"/>
  <c r="V200" i="2"/>
  <c r="T200" i="2"/>
  <c r="S200" i="2"/>
  <c r="R200" i="2"/>
  <c r="Q200" i="2"/>
  <c r="P200" i="2"/>
  <c r="Y200" i="2" s="1"/>
  <c r="O200" i="2"/>
  <c r="J200" i="2"/>
  <c r="G200" i="2"/>
  <c r="I200" i="2" s="1"/>
  <c r="AY199" i="2"/>
  <c r="AY511" i="2" s="1"/>
  <c r="AV199" i="2"/>
  <c r="AV511" i="2" s="1"/>
  <c r="AG199" i="2"/>
  <c r="AG511" i="2" s="1"/>
  <c r="Z199" i="2"/>
  <c r="T199" i="2"/>
  <c r="S199" i="2"/>
  <c r="Q199" i="2"/>
  <c r="W199" i="2" s="1"/>
  <c r="P199" i="2"/>
  <c r="Y199" i="2" s="1"/>
  <c r="G199" i="2"/>
  <c r="I199" i="2" s="1"/>
  <c r="AY198" i="2"/>
  <c r="AV198" i="2"/>
  <c r="AS198" i="2"/>
  <c r="AP198" i="2"/>
  <c r="AP197" i="2" s="1"/>
  <c r="AM198" i="2"/>
  <c r="O198" i="2" s="1"/>
  <c r="AG198" i="2"/>
  <c r="Y198" i="2"/>
  <c r="V198" i="2"/>
  <c r="T198" i="2"/>
  <c r="S198" i="2"/>
  <c r="Q198" i="2"/>
  <c r="P198" i="2"/>
  <c r="K198" i="2"/>
  <c r="E198" i="2"/>
  <c r="BM197" i="2"/>
  <c r="BM196" i="2" s="1"/>
  <c r="BL197" i="2"/>
  <c r="S197" i="2" s="1"/>
  <c r="BK197" i="2"/>
  <c r="BJ197" i="2"/>
  <c r="BI197" i="2"/>
  <c r="BH197" i="2"/>
  <c r="BG197" i="2"/>
  <c r="BF197" i="2"/>
  <c r="BF196" i="2" s="1"/>
  <c r="BE197" i="2"/>
  <c r="BD197" i="2"/>
  <c r="BC197" i="2"/>
  <c r="BB197" i="2"/>
  <c r="BA197" i="2"/>
  <c r="AZ197" i="2"/>
  <c r="AY197" i="2"/>
  <c r="AY196" i="2" s="1"/>
  <c r="AW197" i="2"/>
  <c r="AW196" i="2" s="1"/>
  <c r="AT197" i="2"/>
  <c r="AS197" i="2"/>
  <c r="AR197" i="2"/>
  <c r="AQ197" i="2"/>
  <c r="AO197" i="2"/>
  <c r="AN197" i="2"/>
  <c r="AM197" i="2"/>
  <c r="AM196" i="2" s="1"/>
  <c r="AL197" i="2"/>
  <c r="AK197" i="2"/>
  <c r="AJ197" i="2"/>
  <c r="AI197" i="2"/>
  <c r="AH197" i="2"/>
  <c r="AG197" i="2"/>
  <c r="AG196" i="2" s="1"/>
  <c r="AF197" i="2"/>
  <c r="AE197" i="2"/>
  <c r="AE196" i="2" s="1"/>
  <c r="AD197" i="2"/>
  <c r="AC197" i="2"/>
  <c r="AC196" i="2" s="1"/>
  <c r="AB197" i="2"/>
  <c r="AA197" i="2"/>
  <c r="AA196" i="2" s="1"/>
  <c r="M197" i="2"/>
  <c r="L197" i="2"/>
  <c r="H197" i="2"/>
  <c r="F197" i="2"/>
  <c r="BL196" i="2"/>
  <c r="BJ196" i="2"/>
  <c r="BE196" i="2"/>
  <c r="BD196" i="2"/>
  <c r="AS196" i="2"/>
  <c r="AL196" i="2"/>
  <c r="AJ196" i="2"/>
  <c r="AF196" i="2"/>
  <c r="Z195" i="2"/>
  <c r="X195" i="2"/>
  <c r="T195" i="2"/>
  <c r="S195" i="2"/>
  <c r="R195" i="2"/>
  <c r="Q195" i="2"/>
  <c r="W195" i="2" s="1"/>
  <c r="P195" i="2"/>
  <c r="Y195" i="2" s="1"/>
  <c r="O195" i="2"/>
  <c r="E195" i="2"/>
  <c r="BO571" i="2"/>
  <c r="AY194" i="2"/>
  <c r="AY571" i="2" s="1"/>
  <c r="AV194" i="2"/>
  <c r="AV571" i="2" s="1"/>
  <c r="Z194" i="2"/>
  <c r="X194" i="2"/>
  <c r="T194" i="2"/>
  <c r="T571" i="2" s="1"/>
  <c r="S194" i="2"/>
  <c r="S571" i="2" s="1"/>
  <c r="R194" i="2"/>
  <c r="R571" i="2" s="1"/>
  <c r="Q194" i="2"/>
  <c r="Q571" i="2" s="1"/>
  <c r="Z571" i="2" s="1"/>
  <c r="P194" i="2"/>
  <c r="P571" i="2" s="1"/>
  <c r="Y571" i="2" s="1"/>
  <c r="O194" i="2"/>
  <c r="O571" i="2" s="1"/>
  <c r="X571" i="2" s="1"/>
  <c r="G194" i="2"/>
  <c r="AJ193" i="2"/>
  <c r="AE193" i="2"/>
  <c r="T193" i="2"/>
  <c r="R193" i="2"/>
  <c r="Q193" i="2"/>
  <c r="Z193" i="2" s="1"/>
  <c r="O193" i="2"/>
  <c r="G193" i="2"/>
  <c r="Z192" i="2"/>
  <c r="X192" i="2"/>
  <c r="T192" i="2"/>
  <c r="S192" i="2"/>
  <c r="R192" i="2"/>
  <c r="Q192" i="2"/>
  <c r="W192" i="2" s="1"/>
  <c r="P192" i="2"/>
  <c r="V192" i="2" s="1"/>
  <c r="O192" i="2"/>
  <c r="U192" i="2" s="1"/>
  <c r="Z191" i="2"/>
  <c r="X191" i="2"/>
  <c r="V191" i="2"/>
  <c r="T191" i="2"/>
  <c r="S191" i="2"/>
  <c r="R191" i="2"/>
  <c r="Q191" i="2"/>
  <c r="W191" i="2" s="1"/>
  <c r="P191" i="2"/>
  <c r="Y191" i="2" s="1"/>
  <c r="O191" i="2"/>
  <c r="K191" i="2"/>
  <c r="J191" i="2"/>
  <c r="I191" i="2"/>
  <c r="G191" i="2"/>
  <c r="AZ190" i="2"/>
  <c r="T190" i="2"/>
  <c r="S190" i="2"/>
  <c r="R190" i="2"/>
  <c r="Q190" i="2"/>
  <c r="O190" i="2"/>
  <c r="X190" i="2" s="1"/>
  <c r="I190" i="2"/>
  <c r="G190" i="2"/>
  <c r="J190" i="2" s="1"/>
  <c r="BO569" i="2"/>
  <c r="Z189" i="2"/>
  <c r="X189" i="2"/>
  <c r="T189" i="2"/>
  <c r="T569" i="2" s="1"/>
  <c r="S189" i="2"/>
  <c r="S569" i="2" s="1"/>
  <c r="R189" i="2"/>
  <c r="R569" i="2" s="1"/>
  <c r="Q189" i="2"/>
  <c r="Q569" i="2" s="1"/>
  <c r="Z569" i="2" s="1"/>
  <c r="P189" i="2"/>
  <c r="P569" i="2" s="1"/>
  <c r="Y569" i="2" s="1"/>
  <c r="O189" i="2"/>
  <c r="O569" i="2" s="1"/>
  <c r="X569" i="2" s="1"/>
  <c r="J189" i="2"/>
  <c r="G189" i="2"/>
  <c r="G569" i="2" s="1"/>
  <c r="AY188" i="2"/>
  <c r="AY568" i="2" s="1"/>
  <c r="Z188" i="2"/>
  <c r="X188" i="2"/>
  <c r="T188" i="2"/>
  <c r="S188" i="2"/>
  <c r="R188" i="2"/>
  <c r="Q188" i="2"/>
  <c r="P188" i="2"/>
  <c r="Y188" i="2" s="1"/>
  <c r="O188" i="2"/>
  <c r="M188" i="2"/>
  <c r="M568" i="2" s="1"/>
  <c r="K188" i="2"/>
  <c r="G188" i="2"/>
  <c r="Y187" i="2"/>
  <c r="T187" i="2"/>
  <c r="S187" i="2"/>
  <c r="R187" i="2"/>
  <c r="Q187" i="2"/>
  <c r="W187" i="2" s="1"/>
  <c r="P187" i="2"/>
  <c r="V187" i="2" s="1"/>
  <c r="O187" i="2"/>
  <c r="X187" i="2" s="1"/>
  <c r="I187" i="2"/>
  <c r="G187" i="2"/>
  <c r="J187" i="2" s="1"/>
  <c r="Z186" i="2"/>
  <c r="X186" i="2"/>
  <c r="T186" i="2"/>
  <c r="S186" i="2"/>
  <c r="R186" i="2"/>
  <c r="Q186" i="2"/>
  <c r="W186" i="2" s="1"/>
  <c r="P186" i="2"/>
  <c r="O186" i="2"/>
  <c r="J186" i="2"/>
  <c r="G186" i="2"/>
  <c r="I186" i="2" s="1"/>
  <c r="Y185" i="2"/>
  <c r="W185" i="2"/>
  <c r="T185" i="2"/>
  <c r="S185" i="2"/>
  <c r="R185" i="2"/>
  <c r="Q185" i="2"/>
  <c r="P185" i="2"/>
  <c r="V185" i="2" s="1"/>
  <c r="O185" i="2"/>
  <c r="X185" i="2" s="1"/>
  <c r="K185" i="2"/>
  <c r="G185" i="2"/>
  <c r="Y184" i="2"/>
  <c r="T184" i="2"/>
  <c r="S184" i="2"/>
  <c r="R184" i="2"/>
  <c r="Q184" i="2"/>
  <c r="W184" i="2" s="1"/>
  <c r="P184" i="2"/>
  <c r="V184" i="2" s="1"/>
  <c r="O184" i="2"/>
  <c r="J184" i="2"/>
  <c r="I184" i="2"/>
  <c r="G184" i="2"/>
  <c r="Z183" i="2"/>
  <c r="X183" i="2"/>
  <c r="T183" i="2"/>
  <c r="S183" i="2"/>
  <c r="R183" i="2"/>
  <c r="Q183" i="2"/>
  <c r="W183" i="2" s="1"/>
  <c r="P183" i="2"/>
  <c r="V183" i="2" s="1"/>
  <c r="O183" i="2"/>
  <c r="J183" i="2"/>
  <c r="G183" i="2"/>
  <c r="I183" i="2" s="1"/>
  <c r="Y182" i="2"/>
  <c r="T182" i="2"/>
  <c r="S182" i="2"/>
  <c r="R182" i="2"/>
  <c r="Q182" i="2"/>
  <c r="W182" i="2" s="1"/>
  <c r="P182" i="2"/>
  <c r="V182" i="2" s="1"/>
  <c r="O182" i="2"/>
  <c r="X182" i="2" s="1"/>
  <c r="I182" i="2"/>
  <c r="G182" i="2"/>
  <c r="J182" i="2" s="1"/>
  <c r="Z181" i="2"/>
  <c r="X181" i="2"/>
  <c r="V181" i="2"/>
  <c r="T181" i="2"/>
  <c r="S181" i="2"/>
  <c r="R181" i="2"/>
  <c r="Q181" i="2"/>
  <c r="W181" i="2" s="1"/>
  <c r="P181" i="2"/>
  <c r="Y181" i="2" s="1"/>
  <c r="O181" i="2"/>
  <c r="J181" i="2"/>
  <c r="G181" i="2"/>
  <c r="I181" i="2" s="1"/>
  <c r="Y180" i="2"/>
  <c r="X180" i="2"/>
  <c r="T180" i="2"/>
  <c r="S180" i="2"/>
  <c r="R180" i="2"/>
  <c r="Q180" i="2"/>
  <c r="W180" i="2" s="1"/>
  <c r="P180" i="2"/>
  <c r="V180" i="2" s="1"/>
  <c r="O180" i="2"/>
  <c r="G180" i="2"/>
  <c r="Z179" i="2"/>
  <c r="X179" i="2"/>
  <c r="V179" i="2"/>
  <c r="T179" i="2"/>
  <c r="S179" i="2"/>
  <c r="R179" i="2"/>
  <c r="Q179" i="2"/>
  <c r="W179" i="2" s="1"/>
  <c r="P179" i="2"/>
  <c r="Y179" i="2" s="1"/>
  <c r="O179" i="2"/>
  <c r="I179" i="2"/>
  <c r="G179" i="2"/>
  <c r="J179" i="2" s="1"/>
  <c r="Y178" i="2"/>
  <c r="W178" i="2"/>
  <c r="T178" i="2"/>
  <c r="S178" i="2"/>
  <c r="R178" i="2"/>
  <c r="Q178" i="2"/>
  <c r="P178" i="2"/>
  <c r="V178" i="2" s="1"/>
  <c r="O178" i="2"/>
  <c r="J178" i="2"/>
  <c r="I178" i="2"/>
  <c r="G178" i="2"/>
  <c r="Z177" i="2"/>
  <c r="T177" i="2"/>
  <c r="S177" i="2"/>
  <c r="R177" i="2"/>
  <c r="Q177" i="2"/>
  <c r="W177" i="2" s="1"/>
  <c r="P177" i="2"/>
  <c r="V177" i="2" s="1"/>
  <c r="O177" i="2"/>
  <c r="G177" i="2"/>
  <c r="I177" i="2" s="1"/>
  <c r="T176" i="2"/>
  <c r="S176" i="2"/>
  <c r="R176" i="2"/>
  <c r="Q176" i="2"/>
  <c r="W176" i="2" s="1"/>
  <c r="P176" i="2"/>
  <c r="Y176" i="2" s="1"/>
  <c r="O176" i="2"/>
  <c r="X176" i="2" s="1"/>
  <c r="I176" i="2"/>
  <c r="G176" i="2"/>
  <c r="J176" i="2" s="1"/>
  <c r="Z175" i="2"/>
  <c r="X175" i="2"/>
  <c r="W175" i="2"/>
  <c r="V175" i="2"/>
  <c r="T175" i="2"/>
  <c r="S175" i="2"/>
  <c r="R175" i="2"/>
  <c r="Q175" i="2"/>
  <c r="P175" i="2"/>
  <c r="Y175" i="2" s="1"/>
  <c r="O175" i="2"/>
  <c r="J175" i="2"/>
  <c r="G175" i="2"/>
  <c r="I175" i="2" s="1"/>
  <c r="Y174" i="2"/>
  <c r="W174" i="2"/>
  <c r="T174" i="2"/>
  <c r="S174" i="2"/>
  <c r="R174" i="2"/>
  <c r="Q174" i="2"/>
  <c r="P174" i="2"/>
  <c r="V174" i="2" s="1"/>
  <c r="O174" i="2"/>
  <c r="X174" i="2" s="1"/>
  <c r="G174" i="2"/>
  <c r="Z173" i="2"/>
  <c r="X173" i="2"/>
  <c r="T173" i="2"/>
  <c r="S173" i="2"/>
  <c r="R173" i="2"/>
  <c r="Q173" i="2"/>
  <c r="W173" i="2" s="1"/>
  <c r="P173" i="2"/>
  <c r="O173" i="2"/>
  <c r="I173" i="2"/>
  <c r="G173" i="2"/>
  <c r="J173" i="2" s="1"/>
  <c r="Y172" i="2"/>
  <c r="T172" i="2"/>
  <c r="T169" i="2" s="1"/>
  <c r="S172" i="2"/>
  <c r="R172" i="2"/>
  <c r="Q172" i="2"/>
  <c r="P172" i="2"/>
  <c r="V172" i="2" s="1"/>
  <c r="O172" i="2"/>
  <c r="X172" i="2" s="1"/>
  <c r="J172" i="2"/>
  <c r="I172" i="2"/>
  <c r="G172" i="2"/>
  <c r="Z171" i="2"/>
  <c r="T171" i="2"/>
  <c r="S171" i="2"/>
  <c r="R171" i="2"/>
  <c r="Q171" i="2"/>
  <c r="W171" i="2" s="1"/>
  <c r="P171" i="2"/>
  <c r="Y171" i="2" s="1"/>
  <c r="O171" i="2"/>
  <c r="X171" i="2" s="1"/>
  <c r="G171" i="2"/>
  <c r="T170" i="2"/>
  <c r="S170" i="2"/>
  <c r="R170" i="2"/>
  <c r="Q170" i="2"/>
  <c r="Z170" i="2" s="1"/>
  <c r="P170" i="2"/>
  <c r="O170" i="2"/>
  <c r="X170" i="2" s="1"/>
  <c r="I170" i="2"/>
  <c r="G170" i="2"/>
  <c r="J170" i="2" s="1"/>
  <c r="BM169" i="2"/>
  <c r="BL169" i="2"/>
  <c r="BK169" i="2"/>
  <c r="BJ169" i="2"/>
  <c r="BI169" i="2"/>
  <c r="BH169" i="2"/>
  <c r="BG169" i="2"/>
  <c r="BF169" i="2"/>
  <c r="BE169" i="2"/>
  <c r="BD169" i="2"/>
  <c r="BC169" i="2"/>
  <c r="BB169" i="2"/>
  <c r="BA169" i="2"/>
  <c r="AY169" i="2"/>
  <c r="AX169" i="2"/>
  <c r="AW169" i="2"/>
  <c r="AU169" i="2"/>
  <c r="AT169" i="2"/>
  <c r="AS169" i="2"/>
  <c r="AR169" i="2"/>
  <c r="AQ169" i="2"/>
  <c r="AP169" i="2"/>
  <c r="AO169" i="2"/>
  <c r="AN169" i="2"/>
  <c r="AM169" i="2"/>
  <c r="AL169" i="2"/>
  <c r="AK169" i="2"/>
  <c r="AJ169" i="2"/>
  <c r="AI169" i="2"/>
  <c r="AH169" i="2"/>
  <c r="AG169" i="2"/>
  <c r="AF169" i="2"/>
  <c r="AE169" i="2"/>
  <c r="AD169" i="2"/>
  <c r="AC169" i="2"/>
  <c r="AB169" i="2"/>
  <c r="AA169" i="2"/>
  <c r="N169" i="2"/>
  <c r="M169" i="2"/>
  <c r="L169" i="2"/>
  <c r="K169" i="2"/>
  <c r="H169" i="2"/>
  <c r="F169" i="2"/>
  <c r="E169" i="2"/>
  <c r="V168" i="2"/>
  <c r="T168" i="2"/>
  <c r="S168" i="2"/>
  <c r="R168" i="2"/>
  <c r="Q168" i="2"/>
  <c r="Z168" i="2" s="1"/>
  <c r="P168" i="2"/>
  <c r="Y168" i="2" s="1"/>
  <c r="O168" i="2"/>
  <c r="X168" i="2" s="1"/>
  <c r="I168" i="2"/>
  <c r="G168" i="2"/>
  <c r="J168" i="2" s="1"/>
  <c r="X167" i="2"/>
  <c r="V167" i="2"/>
  <c r="T167" i="2"/>
  <c r="S167" i="2"/>
  <c r="R167" i="2"/>
  <c r="Q167" i="2"/>
  <c r="P167" i="2"/>
  <c r="Y167" i="2" s="1"/>
  <c r="O167" i="2"/>
  <c r="J167" i="2"/>
  <c r="G167" i="2"/>
  <c r="I167" i="2" s="1"/>
  <c r="Y166" i="2"/>
  <c r="W166" i="2"/>
  <c r="T166" i="2"/>
  <c r="S166" i="2"/>
  <c r="R166" i="2"/>
  <c r="Q166" i="2"/>
  <c r="P166" i="2"/>
  <c r="V166" i="2" s="1"/>
  <c r="O166" i="2"/>
  <c r="X166" i="2" s="1"/>
  <c r="I166" i="2"/>
  <c r="G166" i="2"/>
  <c r="J166" i="2" s="1"/>
  <c r="Z165" i="2"/>
  <c r="X165" i="2"/>
  <c r="V165" i="2"/>
  <c r="T165" i="2"/>
  <c r="S165" i="2"/>
  <c r="R165" i="2"/>
  <c r="Q165" i="2"/>
  <c r="W165" i="2" s="1"/>
  <c r="P165" i="2"/>
  <c r="Y165" i="2" s="1"/>
  <c r="O165" i="2"/>
  <c r="G165" i="2"/>
  <c r="Y164" i="2"/>
  <c r="W164" i="2"/>
  <c r="T164" i="2"/>
  <c r="S164" i="2"/>
  <c r="R164" i="2"/>
  <c r="Q164" i="2"/>
  <c r="P164" i="2"/>
  <c r="V164" i="2" s="1"/>
  <c r="O164" i="2"/>
  <c r="X164" i="2" s="1"/>
  <c r="J164" i="2"/>
  <c r="I164" i="2"/>
  <c r="G164" i="2"/>
  <c r="X163" i="2"/>
  <c r="T163" i="2"/>
  <c r="S163" i="2"/>
  <c r="R163" i="2"/>
  <c r="Q163" i="2"/>
  <c r="Z163" i="2" s="1"/>
  <c r="P163" i="2"/>
  <c r="Y163" i="2" s="1"/>
  <c r="O163" i="2"/>
  <c r="U163" i="2" s="1"/>
  <c r="AY162" i="2"/>
  <c r="W162" i="2"/>
  <c r="T162" i="2"/>
  <c r="S162" i="2"/>
  <c r="Q162" i="2"/>
  <c r="Z162" i="2" s="1"/>
  <c r="P162" i="2"/>
  <c r="Y162" i="2" s="1"/>
  <c r="O162" i="2"/>
  <c r="X162" i="2" s="1"/>
  <c r="I162" i="2"/>
  <c r="G162" i="2"/>
  <c r="J162" i="2" s="1"/>
  <c r="X161" i="2"/>
  <c r="T161" i="2"/>
  <c r="T160" i="2" s="1"/>
  <c r="S161" i="2"/>
  <c r="R161" i="2"/>
  <c r="Q161" i="2"/>
  <c r="W161" i="2" s="1"/>
  <c r="P161" i="2"/>
  <c r="Y161" i="2" s="1"/>
  <c r="O161" i="2"/>
  <c r="J161" i="2"/>
  <c r="G161" i="2"/>
  <c r="BM160" i="2"/>
  <c r="BL160" i="2"/>
  <c r="BK160" i="2"/>
  <c r="BJ160" i="2"/>
  <c r="BI160" i="2"/>
  <c r="BH160" i="2"/>
  <c r="BG160" i="2"/>
  <c r="BF160" i="2"/>
  <c r="BE160" i="2"/>
  <c r="BD160" i="2"/>
  <c r="BC160" i="2"/>
  <c r="BB160" i="2"/>
  <c r="BA160" i="2"/>
  <c r="AZ160" i="2"/>
  <c r="AY160" i="2"/>
  <c r="AX160" i="2"/>
  <c r="AW160" i="2"/>
  <c r="AV160" i="2"/>
  <c r="AU160" i="2"/>
  <c r="AT160" i="2"/>
  <c r="AS160" i="2"/>
  <c r="AR160" i="2"/>
  <c r="AQ160" i="2"/>
  <c r="AP160" i="2"/>
  <c r="AO160" i="2"/>
  <c r="AN160" i="2"/>
  <c r="AM160" i="2"/>
  <c r="AL160" i="2"/>
  <c r="AK160" i="2"/>
  <c r="AJ160" i="2"/>
  <c r="AI160" i="2"/>
  <c r="AH160" i="2"/>
  <c r="AG160" i="2"/>
  <c r="AF160" i="2"/>
  <c r="AE160" i="2"/>
  <c r="AD160" i="2"/>
  <c r="AC160" i="2"/>
  <c r="AB160" i="2"/>
  <c r="AA160" i="2"/>
  <c r="P160" i="2"/>
  <c r="Y160" i="2" s="1"/>
  <c r="N160" i="2"/>
  <c r="M160" i="2"/>
  <c r="L160" i="2"/>
  <c r="K160" i="2"/>
  <c r="H160" i="2"/>
  <c r="F160" i="2"/>
  <c r="E160" i="2"/>
  <c r="Z159" i="2"/>
  <c r="X159" i="2"/>
  <c r="W159" i="2"/>
  <c r="V159" i="2"/>
  <c r="T159" i="2"/>
  <c r="S159" i="2"/>
  <c r="R159" i="2"/>
  <c r="Q159" i="2"/>
  <c r="P159" i="2"/>
  <c r="Y159" i="2" s="1"/>
  <c r="O159" i="2"/>
  <c r="J159" i="2"/>
  <c r="G159" i="2"/>
  <c r="I159" i="2" s="1"/>
  <c r="Y158" i="2"/>
  <c r="X158" i="2"/>
  <c r="T158" i="2"/>
  <c r="S158" i="2"/>
  <c r="R158" i="2"/>
  <c r="Q158" i="2"/>
  <c r="P158" i="2"/>
  <c r="V158" i="2" s="1"/>
  <c r="O158" i="2"/>
  <c r="U158" i="2" s="1"/>
  <c r="J158" i="2"/>
  <c r="G158" i="2"/>
  <c r="I158" i="2" s="1"/>
  <c r="BO156" i="2"/>
  <c r="Z157" i="2"/>
  <c r="Y157" i="2"/>
  <c r="T157" i="2"/>
  <c r="S157" i="2"/>
  <c r="R157" i="2"/>
  <c r="Q157" i="2"/>
  <c r="W157" i="2" s="1"/>
  <c r="P157" i="2"/>
  <c r="V157" i="2" s="1"/>
  <c r="O157" i="2"/>
  <c r="O156" i="2" s="1"/>
  <c r="X156" i="2" s="1"/>
  <c r="G157" i="2"/>
  <c r="BM156" i="2"/>
  <c r="T156" i="2" s="1"/>
  <c r="BL156" i="2"/>
  <c r="BK156" i="2"/>
  <c r="BJ156" i="2"/>
  <c r="BI156" i="2"/>
  <c r="BH156" i="2"/>
  <c r="BG156" i="2"/>
  <c r="BF156" i="2"/>
  <c r="BE156" i="2"/>
  <c r="BD156" i="2"/>
  <c r="BC156" i="2"/>
  <c r="BB156" i="2"/>
  <c r="BA156" i="2"/>
  <c r="AZ156" i="2"/>
  <c r="AY156" i="2"/>
  <c r="AX156" i="2"/>
  <c r="AW156" i="2"/>
  <c r="AV156" i="2"/>
  <c r="AU156" i="2"/>
  <c r="AT156" i="2"/>
  <c r="AS156" i="2"/>
  <c r="AR156" i="2"/>
  <c r="AQ156" i="2"/>
  <c r="AP156" i="2"/>
  <c r="AO156" i="2"/>
  <c r="AN156" i="2"/>
  <c r="AM156" i="2"/>
  <c r="AL156" i="2"/>
  <c r="AK156" i="2"/>
  <c r="AJ156" i="2"/>
  <c r="AI156" i="2"/>
  <c r="AH156" i="2"/>
  <c r="AG156" i="2"/>
  <c r="AF156" i="2"/>
  <c r="AE156" i="2"/>
  <c r="AD156" i="2"/>
  <c r="R156" i="2" s="1"/>
  <c r="AC156" i="2"/>
  <c r="AB156" i="2"/>
  <c r="AA156" i="2"/>
  <c r="S156" i="2"/>
  <c r="P156" i="2"/>
  <c r="Y156" i="2" s="1"/>
  <c r="N156" i="2"/>
  <c r="M156" i="2"/>
  <c r="L156" i="2"/>
  <c r="K156" i="2"/>
  <c r="H156" i="2"/>
  <c r="F156" i="2"/>
  <c r="E156" i="2"/>
  <c r="Z155" i="2"/>
  <c r="X155" i="2"/>
  <c r="V155" i="2"/>
  <c r="T155" i="2"/>
  <c r="S155" i="2"/>
  <c r="R155" i="2"/>
  <c r="Q155" i="2"/>
  <c r="Z576" i="2" s="1"/>
  <c r="P155" i="2"/>
  <c r="O155" i="2"/>
  <c r="X576" i="2" s="1"/>
  <c r="I155" i="2"/>
  <c r="G155" i="2"/>
  <c r="T154" i="2"/>
  <c r="S154" i="2"/>
  <c r="S508" i="2" s="1"/>
  <c r="R154" i="2"/>
  <c r="R508" i="2" s="1"/>
  <c r="Q154" i="2"/>
  <c r="Q508" i="2" s="1"/>
  <c r="Z508" i="2" s="1"/>
  <c r="P154" i="2"/>
  <c r="P508" i="2" s="1"/>
  <c r="Y508" i="2" s="1"/>
  <c r="O154" i="2"/>
  <c r="J154" i="2"/>
  <c r="I154" i="2"/>
  <c r="G154" i="2"/>
  <c r="G508" i="2" s="1"/>
  <c r="Z153" i="2"/>
  <c r="T153" i="2"/>
  <c r="S153" i="2"/>
  <c r="R153" i="2"/>
  <c r="Q153" i="2"/>
  <c r="W153" i="2" s="1"/>
  <c r="P153" i="2"/>
  <c r="Y153" i="2" s="1"/>
  <c r="O153" i="2"/>
  <c r="X153" i="2" s="1"/>
  <c r="G153" i="2"/>
  <c r="Y152" i="2"/>
  <c r="W152" i="2"/>
  <c r="T152" i="2"/>
  <c r="S152" i="2"/>
  <c r="R152" i="2"/>
  <c r="Q152" i="2"/>
  <c r="P152" i="2"/>
  <c r="V152" i="2" s="1"/>
  <c r="O152" i="2"/>
  <c r="O151" i="2" s="1"/>
  <c r="X151" i="2" s="1"/>
  <c r="I152" i="2"/>
  <c r="G152" i="2"/>
  <c r="J152" i="2" s="1"/>
  <c r="BM151" i="2"/>
  <c r="BL151" i="2"/>
  <c r="BK151" i="2"/>
  <c r="BJ151" i="2"/>
  <c r="BI151" i="2"/>
  <c r="BH151" i="2"/>
  <c r="BG151" i="2"/>
  <c r="BF151" i="2"/>
  <c r="BE151" i="2"/>
  <c r="BD151" i="2"/>
  <c r="BC151" i="2"/>
  <c r="BB151" i="2"/>
  <c r="BA151" i="2"/>
  <c r="AZ151" i="2"/>
  <c r="AY151" i="2"/>
  <c r="AX151" i="2"/>
  <c r="AW151" i="2"/>
  <c r="AV151" i="2"/>
  <c r="AU151" i="2"/>
  <c r="AT151" i="2"/>
  <c r="AS151" i="2"/>
  <c r="AR151" i="2"/>
  <c r="AQ151" i="2"/>
  <c r="AP151" i="2"/>
  <c r="AO151" i="2"/>
  <c r="AN151" i="2"/>
  <c r="AM151" i="2"/>
  <c r="AL151" i="2"/>
  <c r="AK151" i="2"/>
  <c r="AJ151" i="2"/>
  <c r="AI151" i="2"/>
  <c r="AH151" i="2"/>
  <c r="AG151" i="2"/>
  <c r="AF151" i="2"/>
  <c r="AE151" i="2"/>
  <c r="AD151" i="2"/>
  <c r="AC151" i="2"/>
  <c r="AB151" i="2"/>
  <c r="AA151" i="2"/>
  <c r="P151" i="2"/>
  <c r="Y151" i="2" s="1"/>
  <c r="N151" i="2"/>
  <c r="M151" i="2"/>
  <c r="L151" i="2"/>
  <c r="K151" i="2"/>
  <c r="H151" i="2"/>
  <c r="F151" i="2"/>
  <c r="E151" i="2"/>
  <c r="X150" i="2"/>
  <c r="T150" i="2"/>
  <c r="S150" i="2"/>
  <c r="R150" i="2"/>
  <c r="Q150" i="2"/>
  <c r="P150" i="2"/>
  <c r="V150" i="2" s="1"/>
  <c r="O150" i="2"/>
  <c r="X570" i="2" s="1"/>
  <c r="G150" i="2"/>
  <c r="Z149" i="2"/>
  <c r="X149" i="2"/>
  <c r="W149" i="2"/>
  <c r="T149" i="2"/>
  <c r="T568" i="2" s="1"/>
  <c r="S149" i="2"/>
  <c r="S568" i="2" s="1"/>
  <c r="R149" i="2"/>
  <c r="R568" i="2" s="1"/>
  <c r="Q149" i="2"/>
  <c r="Q568" i="2" s="1"/>
  <c r="Z568" i="2" s="1"/>
  <c r="P149" i="2"/>
  <c r="P568" i="2" s="1"/>
  <c r="Y568" i="2" s="1"/>
  <c r="O149" i="2"/>
  <c r="O568" i="2" s="1"/>
  <c r="J149" i="2"/>
  <c r="I149" i="2"/>
  <c r="G149" i="2"/>
  <c r="G568" i="2" s="1"/>
  <c r="Y148" i="2"/>
  <c r="X148" i="2"/>
  <c r="T148" i="2"/>
  <c r="T567" i="2" s="1"/>
  <c r="S148" i="2"/>
  <c r="S567" i="2" s="1"/>
  <c r="R148" i="2"/>
  <c r="R567" i="2" s="1"/>
  <c r="Q148" i="2"/>
  <c r="P148" i="2"/>
  <c r="P567" i="2" s="1"/>
  <c r="Y567" i="2" s="1"/>
  <c r="O148" i="2"/>
  <c r="O567" i="2" s="1"/>
  <c r="X567" i="2" s="1"/>
  <c r="J148" i="2"/>
  <c r="I148" i="2"/>
  <c r="G148" i="2"/>
  <c r="G567" i="2" s="1"/>
  <c r="Z147" i="2"/>
  <c r="Y147" i="2"/>
  <c r="T147" i="2"/>
  <c r="S147" i="2"/>
  <c r="R147" i="2"/>
  <c r="Q147" i="2"/>
  <c r="W147" i="2" s="1"/>
  <c r="P147" i="2"/>
  <c r="V147" i="2" s="1"/>
  <c r="O147" i="2"/>
  <c r="G147" i="2"/>
  <c r="J147" i="2" s="1"/>
  <c r="F147" i="2"/>
  <c r="T146" i="2"/>
  <c r="T533" i="2" s="1"/>
  <c r="S146" i="2"/>
  <c r="S533" i="2" s="1"/>
  <c r="R146" i="2"/>
  <c r="R533" i="2" s="1"/>
  <c r="Q146" i="2"/>
  <c r="Q533" i="2" s="1"/>
  <c r="Z533" i="2" s="1"/>
  <c r="P146" i="2"/>
  <c r="O146" i="2"/>
  <c r="G146" i="2"/>
  <c r="Y145" i="2"/>
  <c r="T145" i="2"/>
  <c r="S145" i="2"/>
  <c r="R145" i="2"/>
  <c r="Q145" i="2"/>
  <c r="Z145" i="2" s="1"/>
  <c r="P145" i="2"/>
  <c r="V145" i="2" s="1"/>
  <c r="O145" i="2"/>
  <c r="X145" i="2" s="1"/>
  <c r="G145" i="2"/>
  <c r="Z144" i="2"/>
  <c r="X144" i="2"/>
  <c r="W144" i="2"/>
  <c r="T144" i="2"/>
  <c r="S144" i="2"/>
  <c r="R144" i="2"/>
  <c r="Q144" i="2"/>
  <c r="P144" i="2"/>
  <c r="O144" i="2"/>
  <c r="I144" i="2"/>
  <c r="G144" i="2"/>
  <c r="Y143" i="2"/>
  <c r="X143" i="2"/>
  <c r="T143" i="2"/>
  <c r="T142" i="2" s="1"/>
  <c r="S143" i="2"/>
  <c r="R143" i="2"/>
  <c r="Q143" i="2"/>
  <c r="P143" i="2"/>
  <c r="V143" i="2" s="1"/>
  <c r="O143" i="2"/>
  <c r="U143" i="2" s="1"/>
  <c r="J143" i="2"/>
  <c r="G143" i="2"/>
  <c r="I143" i="2" s="1"/>
  <c r="BM142" i="2"/>
  <c r="BL142" i="2"/>
  <c r="BL116" i="2" s="1"/>
  <c r="BK142" i="2"/>
  <c r="BJ142" i="2"/>
  <c r="BI142" i="2"/>
  <c r="BH142" i="2"/>
  <c r="BG142" i="2"/>
  <c r="BF142" i="2"/>
  <c r="BF116" i="2" s="1"/>
  <c r="BE142" i="2"/>
  <c r="BD142" i="2"/>
  <c r="BC142" i="2"/>
  <c r="BB142" i="2"/>
  <c r="BA142" i="2"/>
  <c r="AZ142" i="2"/>
  <c r="AY142" i="2"/>
  <c r="AX142" i="2"/>
  <c r="AW142" i="2"/>
  <c r="AV142" i="2"/>
  <c r="AU142" i="2"/>
  <c r="AT142" i="2"/>
  <c r="AT116" i="2" s="1"/>
  <c r="AS142" i="2"/>
  <c r="AR142" i="2"/>
  <c r="AQ142" i="2"/>
  <c r="AP142" i="2"/>
  <c r="AO142" i="2"/>
  <c r="AN142" i="2"/>
  <c r="AN116" i="2" s="1"/>
  <c r="AM142" i="2"/>
  <c r="AL142" i="2"/>
  <c r="AK142" i="2"/>
  <c r="AJ142" i="2"/>
  <c r="AI142" i="2"/>
  <c r="AH142" i="2"/>
  <c r="AH116" i="2" s="1"/>
  <c r="AG142" i="2"/>
  <c r="AF142" i="2"/>
  <c r="AE142" i="2"/>
  <c r="AD142" i="2"/>
  <c r="AC142" i="2"/>
  <c r="AB142" i="2"/>
  <c r="AB116" i="2" s="1"/>
  <c r="AA142" i="2"/>
  <c r="N142" i="2"/>
  <c r="M142" i="2"/>
  <c r="L142" i="2"/>
  <c r="K142" i="2"/>
  <c r="H142" i="2"/>
  <c r="F142" i="2"/>
  <c r="E142" i="2"/>
  <c r="Z141" i="2"/>
  <c r="Y141" i="2"/>
  <c r="W141" i="2"/>
  <c r="T141" i="2"/>
  <c r="S141" i="2"/>
  <c r="R141" i="2"/>
  <c r="Q141" i="2"/>
  <c r="P141" i="2"/>
  <c r="V141" i="2" s="1"/>
  <c r="O141" i="2"/>
  <c r="X141" i="2" s="1"/>
  <c r="I141" i="2"/>
  <c r="G141" i="2"/>
  <c r="Z140" i="2"/>
  <c r="Y140" i="2"/>
  <c r="X140" i="2"/>
  <c r="T140" i="2"/>
  <c r="S140" i="2"/>
  <c r="R140" i="2"/>
  <c r="Q140" i="2"/>
  <c r="P140" i="2"/>
  <c r="O140" i="2"/>
  <c r="U140" i="2" s="1"/>
  <c r="N140" i="2"/>
  <c r="W140" i="2" s="1"/>
  <c r="M140" i="2"/>
  <c r="L140" i="2"/>
  <c r="V140" i="2" s="1"/>
  <c r="K140" i="2"/>
  <c r="H140" i="2"/>
  <c r="G140" i="2"/>
  <c r="F6" i="3" s="1"/>
  <c r="F140" i="2"/>
  <c r="E140" i="2"/>
  <c r="T139" i="2"/>
  <c r="S139" i="2"/>
  <c r="R139" i="2"/>
  <c r="Q139" i="2"/>
  <c r="W139" i="2" s="1"/>
  <c r="P139" i="2"/>
  <c r="O139" i="2"/>
  <c r="X139" i="2" s="1"/>
  <c r="J139" i="2"/>
  <c r="G139" i="2"/>
  <c r="F139" i="2"/>
  <c r="F502" i="2" s="1"/>
  <c r="Y138" i="2"/>
  <c r="X138" i="2"/>
  <c r="V138" i="2"/>
  <c r="T138" i="2"/>
  <c r="S138" i="2"/>
  <c r="R138" i="2"/>
  <c r="Q138" i="2"/>
  <c r="P138" i="2"/>
  <c r="O138" i="2"/>
  <c r="N138" i="2"/>
  <c r="M138" i="2"/>
  <c r="L138" i="2"/>
  <c r="K138" i="2"/>
  <c r="U138" i="2" s="1"/>
  <c r="H138" i="2"/>
  <c r="F138" i="2"/>
  <c r="E138" i="2"/>
  <c r="Z137" i="2"/>
  <c r="T137" i="2"/>
  <c r="S137" i="2"/>
  <c r="R137" i="2"/>
  <c r="Q137" i="2"/>
  <c r="W137" i="2" s="1"/>
  <c r="P137" i="2"/>
  <c r="Y137" i="2" s="1"/>
  <c r="O137" i="2"/>
  <c r="X137" i="2" s="1"/>
  <c r="J137" i="2"/>
  <c r="I137" i="2"/>
  <c r="G137" i="2"/>
  <c r="Y136" i="2"/>
  <c r="W136" i="2"/>
  <c r="T136" i="2"/>
  <c r="S136" i="2"/>
  <c r="R136" i="2"/>
  <c r="Q136" i="2"/>
  <c r="P136" i="2"/>
  <c r="V136" i="2" s="1"/>
  <c r="O136" i="2"/>
  <c r="X136" i="2" s="1"/>
  <c r="J136" i="2"/>
  <c r="I136" i="2"/>
  <c r="G136" i="2"/>
  <c r="BN593" i="2"/>
  <c r="Z135" i="2"/>
  <c r="X135" i="2"/>
  <c r="V135" i="2"/>
  <c r="T135" i="2"/>
  <c r="T593" i="2" s="1"/>
  <c r="S135" i="2"/>
  <c r="S593" i="2" s="1"/>
  <c r="R135" i="2"/>
  <c r="R593" i="2" s="1"/>
  <c r="Q135" i="2"/>
  <c r="Q593" i="2" s="1"/>
  <c r="Z593" i="2" s="1"/>
  <c r="P135" i="2"/>
  <c r="O135" i="2"/>
  <c r="O593" i="2" s="1"/>
  <c r="X593" i="2" s="1"/>
  <c r="G135" i="2"/>
  <c r="X134" i="2"/>
  <c r="T134" i="2"/>
  <c r="T591" i="2" s="1"/>
  <c r="S134" i="2"/>
  <c r="S591" i="2" s="1"/>
  <c r="R134" i="2"/>
  <c r="R591" i="2" s="1"/>
  <c r="Q134" i="2"/>
  <c r="BO591" i="2" s="1"/>
  <c r="P134" i="2"/>
  <c r="P591" i="2" s="1"/>
  <c r="Y591" i="2" s="1"/>
  <c r="O134" i="2"/>
  <c r="O591" i="2" s="1"/>
  <c r="X591" i="2" s="1"/>
  <c r="I134" i="2"/>
  <c r="G134" i="2"/>
  <c r="Y133" i="2"/>
  <c r="X133" i="2"/>
  <c r="V133" i="2"/>
  <c r="T133" i="2"/>
  <c r="S133" i="2"/>
  <c r="R133" i="2"/>
  <c r="Q133" i="2"/>
  <c r="P133" i="2"/>
  <c r="O133" i="2"/>
  <c r="J133" i="2"/>
  <c r="I133" i="2"/>
  <c r="G133" i="2"/>
  <c r="Y132" i="2"/>
  <c r="T132" i="2"/>
  <c r="S132" i="2"/>
  <c r="R132" i="2"/>
  <c r="Q132" i="2"/>
  <c r="P132" i="2"/>
  <c r="V132" i="2" s="1"/>
  <c r="O132" i="2"/>
  <c r="G132" i="2"/>
  <c r="J132" i="2" s="1"/>
  <c r="Z131" i="2"/>
  <c r="T131" i="2"/>
  <c r="S131" i="2"/>
  <c r="R131" i="2"/>
  <c r="Q131" i="2"/>
  <c r="W131" i="2" s="1"/>
  <c r="P131" i="2"/>
  <c r="Y131" i="2" s="1"/>
  <c r="O131" i="2"/>
  <c r="X131" i="2" s="1"/>
  <c r="J131" i="2"/>
  <c r="I131" i="2"/>
  <c r="G131" i="2"/>
  <c r="Y130" i="2"/>
  <c r="T130" i="2"/>
  <c r="S130" i="2"/>
  <c r="R130" i="2"/>
  <c r="Q130" i="2"/>
  <c r="P130" i="2"/>
  <c r="V130" i="2" s="1"/>
  <c r="O130" i="2"/>
  <c r="K130" i="2"/>
  <c r="J130" i="2"/>
  <c r="G130" i="2"/>
  <c r="I130" i="2" s="1"/>
  <c r="X129" i="2"/>
  <c r="T129" i="2"/>
  <c r="S129" i="2"/>
  <c r="R129" i="2"/>
  <c r="Q129" i="2"/>
  <c r="P129" i="2"/>
  <c r="V129" i="2" s="1"/>
  <c r="O129" i="2"/>
  <c r="G129" i="2"/>
  <c r="Z128" i="2"/>
  <c r="X128" i="2"/>
  <c r="W128" i="2"/>
  <c r="T128" i="2"/>
  <c r="S128" i="2"/>
  <c r="R128" i="2"/>
  <c r="Q128" i="2"/>
  <c r="P128" i="2"/>
  <c r="Y128" i="2" s="1"/>
  <c r="O128" i="2"/>
  <c r="J128" i="2"/>
  <c r="I128" i="2"/>
  <c r="G128" i="2"/>
  <c r="Y127" i="2"/>
  <c r="X127" i="2"/>
  <c r="T127" i="2"/>
  <c r="S127" i="2"/>
  <c r="R127" i="2"/>
  <c r="Q127" i="2"/>
  <c r="P127" i="2"/>
  <c r="V127" i="2" s="1"/>
  <c r="O127" i="2"/>
  <c r="U127" i="2" s="1"/>
  <c r="J127" i="2"/>
  <c r="I127" i="2"/>
  <c r="G127" i="2"/>
  <c r="Z126" i="2"/>
  <c r="Y126" i="2"/>
  <c r="T126" i="2"/>
  <c r="S126" i="2"/>
  <c r="R126" i="2"/>
  <c r="Q126" i="2"/>
  <c r="W126" i="2" s="1"/>
  <c r="P126" i="2"/>
  <c r="V126" i="2" s="1"/>
  <c r="O126" i="2"/>
  <c r="G126" i="2"/>
  <c r="J126" i="2" s="1"/>
  <c r="Z125" i="2"/>
  <c r="X125" i="2"/>
  <c r="T125" i="2"/>
  <c r="T584" i="2" s="1"/>
  <c r="S125" i="2"/>
  <c r="R125" i="2"/>
  <c r="Q125" i="2"/>
  <c r="Q584" i="2" s="1"/>
  <c r="Z584" i="2" s="1"/>
  <c r="P125" i="2"/>
  <c r="P584" i="2" s="1"/>
  <c r="Y584" i="2" s="1"/>
  <c r="O125" i="2"/>
  <c r="J125" i="2"/>
  <c r="G125" i="2"/>
  <c r="Y124" i="2"/>
  <c r="T124" i="2"/>
  <c r="S124" i="2"/>
  <c r="R124" i="2"/>
  <c r="Q124" i="2"/>
  <c r="Z124" i="2" s="1"/>
  <c r="P124" i="2"/>
  <c r="V124" i="2" s="1"/>
  <c r="O124" i="2"/>
  <c r="X124" i="2" s="1"/>
  <c r="G124" i="2"/>
  <c r="J124" i="2" s="1"/>
  <c r="Z123" i="2"/>
  <c r="X123" i="2"/>
  <c r="T123" i="2"/>
  <c r="S123" i="2"/>
  <c r="R123" i="2"/>
  <c r="Q123" i="2"/>
  <c r="W123" i="2" s="1"/>
  <c r="P123" i="2"/>
  <c r="V123" i="2" s="1"/>
  <c r="O123" i="2"/>
  <c r="I123" i="2"/>
  <c r="G123" i="2"/>
  <c r="J123" i="2" s="1"/>
  <c r="Y122" i="2"/>
  <c r="T122" i="2"/>
  <c r="T587" i="2" s="1"/>
  <c r="S122" i="2"/>
  <c r="R122" i="2"/>
  <c r="Q122" i="2"/>
  <c r="W122" i="2" s="1"/>
  <c r="P122" i="2"/>
  <c r="O122" i="2"/>
  <c r="X122" i="2" s="1"/>
  <c r="J122" i="2"/>
  <c r="I122" i="2"/>
  <c r="G122" i="2"/>
  <c r="Z121" i="2"/>
  <c r="X121" i="2"/>
  <c r="T121" i="2"/>
  <c r="S121" i="2"/>
  <c r="R121" i="2"/>
  <c r="Q121" i="2"/>
  <c r="W121" i="2" s="1"/>
  <c r="P121" i="2"/>
  <c r="V121" i="2" s="1"/>
  <c r="O121" i="2"/>
  <c r="G121" i="2"/>
  <c r="E121" i="2"/>
  <c r="Z120" i="2"/>
  <c r="X120" i="2"/>
  <c r="T120" i="2"/>
  <c r="T555" i="2" s="1"/>
  <c r="S120" i="2"/>
  <c r="S555" i="2" s="1"/>
  <c r="R120" i="2"/>
  <c r="R555" i="2" s="1"/>
  <c r="Q120" i="2"/>
  <c r="Q555" i="2" s="1"/>
  <c r="Z555" i="2" s="1"/>
  <c r="P120" i="2"/>
  <c r="P555" i="2" s="1"/>
  <c r="Y555" i="2" s="1"/>
  <c r="O120" i="2"/>
  <c r="O555" i="2" s="1"/>
  <c r="X555" i="2" s="1"/>
  <c r="J120" i="2"/>
  <c r="G120" i="2"/>
  <c r="G555" i="2" s="1"/>
  <c r="Y119" i="2"/>
  <c r="T119" i="2"/>
  <c r="S119" i="2"/>
  <c r="R119" i="2"/>
  <c r="Q119" i="2"/>
  <c r="Z119" i="2" s="1"/>
  <c r="P119" i="2"/>
  <c r="V119" i="2" s="1"/>
  <c r="O119" i="2"/>
  <c r="X119" i="2" s="1"/>
  <c r="G119" i="2"/>
  <c r="AY118" i="2"/>
  <c r="AY501" i="2" s="1"/>
  <c r="AV118" i="2"/>
  <c r="AS118" i="2"/>
  <c r="R118" i="2" s="1"/>
  <c r="R117" i="2" s="1"/>
  <c r="AM118" i="2"/>
  <c r="AM501" i="2" s="1"/>
  <c r="Z118" i="2"/>
  <c r="T118" i="2"/>
  <c r="T117" i="2" s="1"/>
  <c r="S118" i="2"/>
  <c r="Q118" i="2"/>
  <c r="W118" i="2" s="1"/>
  <c r="P118" i="2"/>
  <c r="Y118" i="2" s="1"/>
  <c r="K118" i="2"/>
  <c r="G118" i="2"/>
  <c r="E118" i="2"/>
  <c r="BM117" i="2"/>
  <c r="BM116" i="2" s="1"/>
  <c r="BL117" i="2"/>
  <c r="BK117" i="2"/>
  <c r="BJ117" i="2"/>
  <c r="BJ116" i="2" s="1"/>
  <c r="BI117" i="2"/>
  <c r="BH117" i="2"/>
  <c r="BH116" i="2" s="1"/>
  <c r="BG117" i="2"/>
  <c r="BG116" i="2" s="1"/>
  <c r="BF117" i="2"/>
  <c r="BE117" i="2"/>
  <c r="BD117" i="2"/>
  <c r="BD116" i="2" s="1"/>
  <c r="BC117" i="2"/>
  <c r="BB117" i="2"/>
  <c r="BB116" i="2" s="1"/>
  <c r="BA117" i="2"/>
  <c r="BA116" i="2" s="1"/>
  <c r="AZ117" i="2"/>
  <c r="AX117" i="2"/>
  <c r="AX116" i="2" s="1"/>
  <c r="AW117" i="2"/>
  <c r="AU117" i="2"/>
  <c r="AU116" i="2" s="1"/>
  <c r="AT117" i="2"/>
  <c r="AR117" i="2"/>
  <c r="AR116" i="2" s="1"/>
  <c r="AQ117" i="2"/>
  <c r="AP117" i="2"/>
  <c r="AP116" i="2" s="1"/>
  <c r="AO117" i="2"/>
  <c r="AO116" i="2" s="1"/>
  <c r="AN117" i="2"/>
  <c r="AM117" i="2"/>
  <c r="AL117" i="2"/>
  <c r="AL116" i="2" s="1"/>
  <c r="AL3" i="2" s="1"/>
  <c r="AK117" i="2"/>
  <c r="AJ117" i="2"/>
  <c r="AJ116" i="2" s="1"/>
  <c r="AI117" i="2"/>
  <c r="AI116" i="2" s="1"/>
  <c r="AH117" i="2"/>
  <c r="AG117" i="2"/>
  <c r="AF117" i="2"/>
  <c r="AF116" i="2" s="1"/>
  <c r="AF3" i="2" s="1"/>
  <c r="AE117" i="2"/>
  <c r="AD117" i="2"/>
  <c r="AD116" i="2" s="1"/>
  <c r="AC117" i="2"/>
  <c r="AC116" i="2" s="1"/>
  <c r="AB117" i="2"/>
  <c r="AA117" i="2"/>
  <c r="N117" i="2"/>
  <c r="N116" i="2" s="1"/>
  <c r="M117" i="2"/>
  <c r="L117" i="2"/>
  <c r="H117" i="2"/>
  <c r="F117" i="2"/>
  <c r="F116" i="2" s="1"/>
  <c r="E117" i="2"/>
  <c r="BK116" i="2"/>
  <c r="BI116" i="2"/>
  <c r="BE116" i="2"/>
  <c r="BC116" i="2"/>
  <c r="AW116" i="2"/>
  <c r="AQ116" i="2"/>
  <c r="AM116" i="2"/>
  <c r="AK116" i="2"/>
  <c r="AG116" i="2"/>
  <c r="AE116" i="2"/>
  <c r="AA116" i="2"/>
  <c r="M116" i="2"/>
  <c r="Y115" i="2"/>
  <c r="T115" i="2"/>
  <c r="S115" i="2"/>
  <c r="R115" i="2"/>
  <c r="Q115" i="2"/>
  <c r="Z115" i="2" s="1"/>
  <c r="P115" i="2"/>
  <c r="V115" i="2" s="1"/>
  <c r="O115" i="2"/>
  <c r="X115" i="2" s="1"/>
  <c r="G115" i="2"/>
  <c r="J115" i="2" s="1"/>
  <c r="Z114" i="2"/>
  <c r="X114" i="2"/>
  <c r="T114" i="2"/>
  <c r="S114" i="2"/>
  <c r="R114" i="2"/>
  <c r="Q114" i="2"/>
  <c r="W114" i="2" s="1"/>
  <c r="P114" i="2"/>
  <c r="Y114" i="2" s="1"/>
  <c r="O114" i="2"/>
  <c r="I114" i="2"/>
  <c r="G114" i="2"/>
  <c r="J114" i="2" s="1"/>
  <c r="Y113" i="2"/>
  <c r="W113" i="2"/>
  <c r="T113" i="2"/>
  <c r="T590" i="2" s="1"/>
  <c r="S113" i="2"/>
  <c r="R113" i="2"/>
  <c r="Q113" i="2"/>
  <c r="P113" i="2"/>
  <c r="O113" i="2"/>
  <c r="X113" i="2" s="1"/>
  <c r="J113" i="2"/>
  <c r="I113" i="2"/>
  <c r="G113" i="2"/>
  <c r="BO586" i="2"/>
  <c r="Z112" i="2"/>
  <c r="X112" i="2"/>
  <c r="T112" i="2"/>
  <c r="T586" i="2" s="1"/>
  <c r="S112" i="2"/>
  <c r="S586" i="2" s="1"/>
  <c r="R112" i="2"/>
  <c r="R586" i="2" s="1"/>
  <c r="Q112" i="2"/>
  <c r="Q586" i="2" s="1"/>
  <c r="Z586" i="2" s="1"/>
  <c r="P112" i="2"/>
  <c r="P586" i="2" s="1"/>
  <c r="Y586" i="2" s="1"/>
  <c r="O112" i="2"/>
  <c r="O586" i="2" s="1"/>
  <c r="X586" i="2" s="1"/>
  <c r="G112" i="2"/>
  <c r="BO585" i="2"/>
  <c r="Y111" i="2"/>
  <c r="T111" i="2"/>
  <c r="T585" i="2" s="1"/>
  <c r="S111" i="2"/>
  <c r="S585" i="2" s="1"/>
  <c r="R111" i="2"/>
  <c r="R585" i="2" s="1"/>
  <c r="Q111" i="2"/>
  <c r="Q585" i="2" s="1"/>
  <c r="Z585" i="2" s="1"/>
  <c r="P111" i="2"/>
  <c r="P585" i="2" s="1"/>
  <c r="Y585" i="2" s="1"/>
  <c r="O111" i="2"/>
  <c r="O585" i="2" s="1"/>
  <c r="X585" i="2" s="1"/>
  <c r="J111" i="2"/>
  <c r="I111" i="2"/>
  <c r="G111" i="2"/>
  <c r="G585" i="2" s="1"/>
  <c r="Z110" i="2"/>
  <c r="X110" i="2"/>
  <c r="T110" i="2"/>
  <c r="S110" i="2"/>
  <c r="R110" i="2"/>
  <c r="Q110" i="2"/>
  <c r="W110" i="2" s="1"/>
  <c r="P110" i="2"/>
  <c r="Y110" i="2" s="1"/>
  <c r="O110" i="2"/>
  <c r="J110" i="2"/>
  <c r="G110" i="2"/>
  <c r="I110" i="2" s="1"/>
  <c r="Y109" i="2"/>
  <c r="T109" i="2"/>
  <c r="S109" i="2"/>
  <c r="S580" i="2" s="1"/>
  <c r="R109" i="2"/>
  <c r="R580" i="2" s="1"/>
  <c r="Q109" i="2"/>
  <c r="P109" i="2"/>
  <c r="O109" i="2"/>
  <c r="G109" i="2"/>
  <c r="G580" i="2" s="1"/>
  <c r="Z108" i="2"/>
  <c r="X108" i="2"/>
  <c r="T108" i="2"/>
  <c r="S108" i="2"/>
  <c r="R108" i="2"/>
  <c r="Q108" i="2"/>
  <c r="W108" i="2" s="1"/>
  <c r="P108" i="2"/>
  <c r="Y108" i="2" s="1"/>
  <c r="O108" i="2"/>
  <c r="I108" i="2"/>
  <c r="G108" i="2"/>
  <c r="J108" i="2" s="1"/>
  <c r="Y107" i="2"/>
  <c r="W107" i="2"/>
  <c r="T107" i="2"/>
  <c r="S107" i="2"/>
  <c r="R107" i="2"/>
  <c r="Q107" i="2"/>
  <c r="P107" i="2"/>
  <c r="V107" i="2" s="1"/>
  <c r="O107" i="2"/>
  <c r="J107" i="2"/>
  <c r="I107" i="2"/>
  <c r="G107" i="2"/>
  <c r="Z106" i="2"/>
  <c r="X106" i="2"/>
  <c r="T106" i="2"/>
  <c r="S106" i="2"/>
  <c r="R106" i="2"/>
  <c r="Q106" i="2"/>
  <c r="W106" i="2" s="1"/>
  <c r="P106" i="2"/>
  <c r="V106" i="2" s="1"/>
  <c r="O106" i="2"/>
  <c r="G106" i="2"/>
  <c r="Y105" i="2"/>
  <c r="T105" i="2"/>
  <c r="S105" i="2"/>
  <c r="R105" i="2"/>
  <c r="Q105" i="2"/>
  <c r="W105" i="2" s="1"/>
  <c r="P105" i="2"/>
  <c r="V105" i="2" s="1"/>
  <c r="O105" i="2"/>
  <c r="X105" i="2" s="1"/>
  <c r="J105" i="2"/>
  <c r="I105" i="2"/>
  <c r="G105" i="2"/>
  <c r="Z104" i="2"/>
  <c r="X104" i="2"/>
  <c r="T104" i="2"/>
  <c r="S104" i="2"/>
  <c r="R104" i="2"/>
  <c r="Q104" i="2"/>
  <c r="W104" i="2" s="1"/>
  <c r="P104" i="2"/>
  <c r="Y104" i="2" s="1"/>
  <c r="O104" i="2"/>
  <c r="J104" i="2"/>
  <c r="G104" i="2"/>
  <c r="I104" i="2" s="1"/>
  <c r="Y103" i="2"/>
  <c r="T103" i="2"/>
  <c r="S103" i="2"/>
  <c r="R103" i="2"/>
  <c r="Q103" i="2"/>
  <c r="Z103" i="2" s="1"/>
  <c r="P103" i="2"/>
  <c r="V103" i="2" s="1"/>
  <c r="O103" i="2"/>
  <c r="X103" i="2" s="1"/>
  <c r="G103" i="2"/>
  <c r="J103" i="2" s="1"/>
  <c r="Z102" i="2"/>
  <c r="X102" i="2"/>
  <c r="T102" i="2"/>
  <c r="S102" i="2"/>
  <c r="R102" i="2"/>
  <c r="Q102" i="2"/>
  <c r="W102" i="2" s="1"/>
  <c r="P102" i="2"/>
  <c r="Y102" i="2" s="1"/>
  <c r="O102" i="2"/>
  <c r="I102" i="2"/>
  <c r="G102" i="2"/>
  <c r="J102" i="2" s="1"/>
  <c r="Y101" i="2"/>
  <c r="W101" i="2"/>
  <c r="T101" i="2"/>
  <c r="S101" i="2"/>
  <c r="R101" i="2"/>
  <c r="Q101" i="2"/>
  <c r="P101" i="2"/>
  <c r="O101" i="2"/>
  <c r="X101" i="2" s="1"/>
  <c r="J101" i="2"/>
  <c r="I101" i="2"/>
  <c r="G101" i="2"/>
  <c r="Z100" i="2"/>
  <c r="X100" i="2"/>
  <c r="T100" i="2"/>
  <c r="S100" i="2"/>
  <c r="R100" i="2"/>
  <c r="Q100" i="2"/>
  <c r="W100" i="2" s="1"/>
  <c r="P100" i="2"/>
  <c r="Y100" i="2" s="1"/>
  <c r="O100" i="2"/>
  <c r="U100" i="2" s="1"/>
  <c r="BO577" i="2"/>
  <c r="AY99" i="2"/>
  <c r="AY577" i="2" s="1"/>
  <c r="AP99" i="2"/>
  <c r="AP577" i="2" s="1"/>
  <c r="AG99" i="2"/>
  <c r="AE99" i="2"/>
  <c r="AE577" i="2" s="1"/>
  <c r="Z99" i="2"/>
  <c r="V99" i="2"/>
  <c r="T99" i="2"/>
  <c r="T577" i="2" s="1"/>
  <c r="S99" i="2"/>
  <c r="S577" i="2" s="1"/>
  <c r="Q99" i="2"/>
  <c r="Q577" i="2" s="1"/>
  <c r="Z577" i="2" s="1"/>
  <c r="P99" i="2"/>
  <c r="I99" i="2"/>
  <c r="G99" i="2"/>
  <c r="G577" i="2" s="1"/>
  <c r="Y98" i="2"/>
  <c r="T98" i="2"/>
  <c r="S98" i="2"/>
  <c r="R98" i="2"/>
  <c r="Q98" i="2"/>
  <c r="W98" i="2" s="1"/>
  <c r="P98" i="2"/>
  <c r="V98" i="2" s="1"/>
  <c r="O98" i="2"/>
  <c r="X98" i="2" s="1"/>
  <c r="AZ97" i="2"/>
  <c r="AZ575" i="2" s="1"/>
  <c r="Z97" i="2"/>
  <c r="X97" i="2"/>
  <c r="U97" i="2"/>
  <c r="T97" i="2"/>
  <c r="T575" i="2" s="1"/>
  <c r="R97" i="2"/>
  <c r="R575" i="2" s="1"/>
  <c r="Q97" i="2"/>
  <c r="Q575" i="2" s="1"/>
  <c r="Z575" i="2" s="1"/>
  <c r="O97" i="2"/>
  <c r="G97" i="2"/>
  <c r="BO574" i="2"/>
  <c r="T96" i="2"/>
  <c r="T574" i="2" s="1"/>
  <c r="S96" i="2"/>
  <c r="S574" i="2" s="1"/>
  <c r="R96" i="2"/>
  <c r="R574" i="2" s="1"/>
  <c r="Q96" i="2"/>
  <c r="Q574" i="2" s="1"/>
  <c r="Z574" i="2" s="1"/>
  <c r="P96" i="2"/>
  <c r="P574" i="2" s="1"/>
  <c r="Y574" i="2" s="1"/>
  <c r="O96" i="2"/>
  <c r="O574" i="2" s="1"/>
  <c r="X574" i="2" s="1"/>
  <c r="I96" i="2"/>
  <c r="G96" i="2"/>
  <c r="G574" i="2" s="1"/>
  <c r="X95" i="2"/>
  <c r="W95" i="2"/>
  <c r="T95" i="2"/>
  <c r="T564" i="2" s="1"/>
  <c r="S95" i="2"/>
  <c r="S564" i="2" s="1"/>
  <c r="R95" i="2"/>
  <c r="R564" i="2" s="1"/>
  <c r="Q95" i="2"/>
  <c r="P95" i="2"/>
  <c r="P564" i="2" s="1"/>
  <c r="Y564" i="2" s="1"/>
  <c r="O95" i="2"/>
  <c r="O564" i="2" s="1"/>
  <c r="X564" i="2" s="1"/>
  <c r="J95" i="2"/>
  <c r="G95" i="2"/>
  <c r="G564" i="2" s="1"/>
  <c r="AY94" i="2"/>
  <c r="AY573" i="2" s="1"/>
  <c r="AV94" i="2"/>
  <c r="AV573" i="2" s="1"/>
  <c r="AM94" i="2"/>
  <c r="AE94" i="2"/>
  <c r="AE573" i="2" s="1"/>
  <c r="Y94" i="2"/>
  <c r="V94" i="2"/>
  <c r="V573" i="2" s="1"/>
  <c r="T94" i="2"/>
  <c r="T573" i="2" s="1"/>
  <c r="S94" i="2"/>
  <c r="S573" i="2" s="1"/>
  <c r="Q94" i="2"/>
  <c r="Q573" i="2" s="1"/>
  <c r="Z573" i="2" s="1"/>
  <c r="P94" i="2"/>
  <c r="P573" i="2" s="1"/>
  <c r="Y573" i="2" s="1"/>
  <c r="K94" i="2"/>
  <c r="G94" i="2"/>
  <c r="G573" i="2" s="1"/>
  <c r="Y93" i="2"/>
  <c r="T93" i="2"/>
  <c r="S93" i="2"/>
  <c r="R93" i="2"/>
  <c r="Q93" i="2"/>
  <c r="Z93" i="2" s="1"/>
  <c r="P93" i="2"/>
  <c r="V93" i="2" s="1"/>
  <c r="O93" i="2"/>
  <c r="U93" i="2" s="1"/>
  <c r="AV92" i="2"/>
  <c r="AM92" i="2"/>
  <c r="AH92" i="2"/>
  <c r="Z92" i="2"/>
  <c r="X92" i="2"/>
  <c r="U92" i="2"/>
  <c r="T92" i="2"/>
  <c r="R92" i="2"/>
  <c r="Q92" i="2"/>
  <c r="Z572" i="2" s="1"/>
  <c r="O92" i="2"/>
  <c r="X572" i="2" s="1"/>
  <c r="K92" i="2"/>
  <c r="J92" i="2"/>
  <c r="I92" i="2"/>
  <c r="G92" i="2"/>
  <c r="AZ91" i="2"/>
  <c r="U91" i="2"/>
  <c r="T91" i="2"/>
  <c r="T565" i="2" s="1"/>
  <c r="R91" i="2"/>
  <c r="R565" i="2" s="1"/>
  <c r="Q91" i="2"/>
  <c r="Q565" i="2" s="1"/>
  <c r="Z565" i="2" s="1"/>
  <c r="O91" i="2"/>
  <c r="X91" i="2" s="1"/>
  <c r="M91" i="2"/>
  <c r="M565" i="2" s="1"/>
  <c r="I91" i="2"/>
  <c r="G91" i="2"/>
  <c r="G565" i="2" s="1"/>
  <c r="Y90" i="2"/>
  <c r="W90" i="2"/>
  <c r="T90" i="2"/>
  <c r="S90" i="2"/>
  <c r="R90" i="2"/>
  <c r="Q90" i="2"/>
  <c r="P90" i="2"/>
  <c r="V90" i="2" s="1"/>
  <c r="O90" i="2"/>
  <c r="K90" i="2"/>
  <c r="G90" i="2"/>
  <c r="BO562" i="2"/>
  <c r="V89" i="2"/>
  <c r="T89" i="2"/>
  <c r="S89" i="2"/>
  <c r="S562" i="2" s="1"/>
  <c r="R89" i="2"/>
  <c r="Q89" i="2"/>
  <c r="Z89" i="2" s="1"/>
  <c r="P89" i="2"/>
  <c r="P562" i="2" s="1"/>
  <c r="Y562" i="2" s="1"/>
  <c r="O89" i="2"/>
  <c r="O562" i="2" s="1"/>
  <c r="M89" i="2"/>
  <c r="M562" i="2" s="1"/>
  <c r="J89" i="2"/>
  <c r="G89" i="2"/>
  <c r="Y88" i="2"/>
  <c r="T88" i="2"/>
  <c r="T559" i="2" s="1"/>
  <c r="S88" i="2"/>
  <c r="S559" i="2" s="1"/>
  <c r="R88" i="2"/>
  <c r="R559" i="2" s="1"/>
  <c r="Q88" i="2"/>
  <c r="Q559" i="2" s="1"/>
  <c r="Z559" i="2" s="1"/>
  <c r="P88" i="2"/>
  <c r="P559" i="2" s="1"/>
  <c r="Y559" i="2" s="1"/>
  <c r="O88" i="2"/>
  <c r="O559" i="2" s="1"/>
  <c r="X559" i="2" s="1"/>
  <c r="G88" i="2"/>
  <c r="Z87" i="2"/>
  <c r="Y87" i="2"/>
  <c r="X87" i="2"/>
  <c r="V87" i="2"/>
  <c r="T87" i="2"/>
  <c r="S87" i="2"/>
  <c r="R87" i="2"/>
  <c r="Q87" i="2"/>
  <c r="P87" i="2"/>
  <c r="Y558" i="2" s="1"/>
  <c r="O87" i="2"/>
  <c r="I87" i="2"/>
  <c r="G87" i="2"/>
  <c r="Y86" i="2"/>
  <c r="W86" i="2"/>
  <c r="T86" i="2"/>
  <c r="T557" i="2" s="1"/>
  <c r="S86" i="2"/>
  <c r="S557" i="2" s="1"/>
  <c r="R86" i="2"/>
  <c r="R557" i="2" s="1"/>
  <c r="Q86" i="2"/>
  <c r="P86" i="2"/>
  <c r="P557" i="2" s="1"/>
  <c r="Y557" i="2" s="1"/>
  <c r="O86" i="2"/>
  <c r="O557" i="2" s="1"/>
  <c r="X557" i="2" s="1"/>
  <c r="J86" i="2"/>
  <c r="I86" i="2"/>
  <c r="G86" i="2"/>
  <c r="G557" i="2" s="1"/>
  <c r="BO554" i="2"/>
  <c r="Z85" i="2"/>
  <c r="T85" i="2"/>
  <c r="T554" i="2" s="1"/>
  <c r="S85" i="2"/>
  <c r="S554" i="2" s="1"/>
  <c r="R85" i="2"/>
  <c r="R554" i="2" s="1"/>
  <c r="Q85" i="2"/>
  <c r="Q554" i="2" s="1"/>
  <c r="Z554" i="2" s="1"/>
  <c r="P85" i="2"/>
  <c r="P554" i="2" s="1"/>
  <c r="Y554" i="2" s="1"/>
  <c r="O85" i="2"/>
  <c r="K85" i="2"/>
  <c r="I85" i="2"/>
  <c r="G85" i="2"/>
  <c r="G554" i="2" s="1"/>
  <c r="AZ84" i="2"/>
  <c r="AT84" i="2"/>
  <c r="AT553" i="2" s="1"/>
  <c r="AK84" i="2"/>
  <c r="AK553" i="2" s="1"/>
  <c r="Z84" i="2"/>
  <c r="W84" i="2"/>
  <c r="T84" i="2"/>
  <c r="T553" i="2" s="1"/>
  <c r="R84" i="2"/>
  <c r="R553" i="2" s="1"/>
  <c r="Q84" i="2"/>
  <c r="O84" i="2"/>
  <c r="O553" i="2" s="1"/>
  <c r="X553" i="2" s="1"/>
  <c r="J84" i="2"/>
  <c r="I84" i="2"/>
  <c r="G84" i="2"/>
  <c r="G553" i="2" s="1"/>
  <c r="X83" i="2"/>
  <c r="W83" i="2"/>
  <c r="T83" i="2"/>
  <c r="S83" i="2"/>
  <c r="R83" i="2"/>
  <c r="Q83" i="2"/>
  <c r="Z83" i="2" s="1"/>
  <c r="P83" i="2"/>
  <c r="Y83" i="2" s="1"/>
  <c r="O83" i="2"/>
  <c r="U83" i="2" s="1"/>
  <c r="J83" i="2"/>
  <c r="G83" i="2"/>
  <c r="I83" i="2" s="1"/>
  <c r="Y82" i="2"/>
  <c r="T82" i="2"/>
  <c r="S82" i="2"/>
  <c r="R82" i="2"/>
  <c r="Q82" i="2"/>
  <c r="Z82" i="2" s="1"/>
  <c r="P82" i="2"/>
  <c r="V82" i="2" s="1"/>
  <c r="O82" i="2"/>
  <c r="X82" i="2" s="1"/>
  <c r="K82" i="2"/>
  <c r="U82" i="2" s="1"/>
  <c r="G82" i="2"/>
  <c r="I82" i="2" s="1"/>
  <c r="AY81" i="2"/>
  <c r="AY552" i="2" s="1"/>
  <c r="AV81" i="2"/>
  <c r="AV552" i="2" s="1"/>
  <c r="AP81" i="2"/>
  <c r="AP552" i="2" s="1"/>
  <c r="AE81" i="2"/>
  <c r="AE552" i="2" s="1"/>
  <c r="AB81" i="2"/>
  <c r="Z81" i="2"/>
  <c r="T81" i="2"/>
  <c r="Q81" i="2"/>
  <c r="K81" i="2"/>
  <c r="I81" i="2"/>
  <c r="G81" i="2"/>
  <c r="Z80" i="2"/>
  <c r="X80" i="2"/>
  <c r="W80" i="2"/>
  <c r="T80" i="2"/>
  <c r="T550" i="2" s="1"/>
  <c r="S80" i="2"/>
  <c r="S550" i="2" s="1"/>
  <c r="R80" i="2"/>
  <c r="R550" i="2" s="1"/>
  <c r="Q80" i="2"/>
  <c r="Q550" i="2" s="1"/>
  <c r="Z550" i="2" s="1"/>
  <c r="P80" i="2"/>
  <c r="O80" i="2"/>
  <c r="X550" i="2" s="1"/>
  <c r="J80" i="2"/>
  <c r="G80" i="2"/>
  <c r="G550" i="2" s="1"/>
  <c r="AE79" i="2"/>
  <c r="AE549" i="2" s="1"/>
  <c r="Z79" i="2"/>
  <c r="Y79" i="2"/>
  <c r="X79" i="2"/>
  <c r="V79" i="2"/>
  <c r="T79" i="2"/>
  <c r="S79" i="2"/>
  <c r="R79" i="2"/>
  <c r="Q79" i="2"/>
  <c r="P79" i="2"/>
  <c r="O79" i="2"/>
  <c r="U79" i="2" s="1"/>
  <c r="I79" i="2"/>
  <c r="G79" i="2"/>
  <c r="J79" i="2" s="1"/>
  <c r="Y78" i="2"/>
  <c r="T78" i="2"/>
  <c r="S78" i="2"/>
  <c r="R78" i="2"/>
  <c r="Q78" i="2"/>
  <c r="P78" i="2"/>
  <c r="V78" i="2" s="1"/>
  <c r="O78" i="2"/>
  <c r="J78" i="2"/>
  <c r="I78" i="2"/>
  <c r="G78" i="2"/>
  <c r="AW77" i="2"/>
  <c r="AW549" i="2" s="1"/>
  <c r="AQ77" i="2"/>
  <c r="AQ549" i="2" s="1"/>
  <c r="X77" i="2"/>
  <c r="W77" i="2"/>
  <c r="T77" i="2"/>
  <c r="R77" i="2"/>
  <c r="Q77" i="2"/>
  <c r="O77" i="2"/>
  <c r="U77" i="2" s="1"/>
  <c r="J77" i="2"/>
  <c r="G77" i="2"/>
  <c r="I77" i="2" s="1"/>
  <c r="Y76" i="2"/>
  <c r="T76" i="2"/>
  <c r="S76" i="2"/>
  <c r="R76" i="2"/>
  <c r="Q76" i="2"/>
  <c r="Z76" i="2" s="1"/>
  <c r="P76" i="2"/>
  <c r="V76" i="2" s="1"/>
  <c r="O76" i="2"/>
  <c r="X76" i="2" s="1"/>
  <c r="K76" i="2"/>
  <c r="U76" i="2" s="1"/>
  <c r="Z75" i="2"/>
  <c r="X75" i="2"/>
  <c r="V75" i="2"/>
  <c r="T75" i="2"/>
  <c r="S75" i="2"/>
  <c r="R75" i="2"/>
  <c r="Q75" i="2"/>
  <c r="W75" i="2" s="1"/>
  <c r="P75" i="2"/>
  <c r="Y75" i="2" s="1"/>
  <c r="O75" i="2"/>
  <c r="K75" i="2"/>
  <c r="U75" i="2" s="1"/>
  <c r="J75" i="2"/>
  <c r="I75" i="2"/>
  <c r="G75" i="2"/>
  <c r="AY74" i="2"/>
  <c r="AY548" i="2" s="1"/>
  <c r="AV74" i="2"/>
  <c r="AV548" i="2" s="1"/>
  <c r="AP74" i="2"/>
  <c r="AP548" i="2" s="1"/>
  <c r="Y74" i="2"/>
  <c r="W74" i="2"/>
  <c r="T74" i="2"/>
  <c r="S74" i="2"/>
  <c r="Q74" i="2"/>
  <c r="P74" i="2"/>
  <c r="V74" i="2" s="1"/>
  <c r="K74" i="2"/>
  <c r="I74" i="2"/>
  <c r="G74" i="2"/>
  <c r="Y73" i="2"/>
  <c r="T73" i="2"/>
  <c r="S73" i="2"/>
  <c r="R73" i="2"/>
  <c r="Q73" i="2"/>
  <c r="P73" i="2"/>
  <c r="V73" i="2" s="1"/>
  <c r="O73" i="2"/>
  <c r="J73" i="2"/>
  <c r="I73" i="2"/>
  <c r="G73" i="2"/>
  <c r="AP72" i="2"/>
  <c r="T72" i="2"/>
  <c r="S72" i="2"/>
  <c r="Q72" i="2"/>
  <c r="Z72" i="2" s="1"/>
  <c r="P72" i="2"/>
  <c r="V72" i="2" s="1"/>
  <c r="O72" i="2"/>
  <c r="U72" i="2" s="1"/>
  <c r="I72" i="2"/>
  <c r="G72" i="2"/>
  <c r="AZ71" i="2"/>
  <c r="U71" i="2"/>
  <c r="T71" i="2"/>
  <c r="R71" i="2"/>
  <c r="Q71" i="2"/>
  <c r="Z71" i="2" s="1"/>
  <c r="O71" i="2"/>
  <c r="G71" i="2"/>
  <c r="AQ70" i="2"/>
  <c r="AQ548" i="2" s="1"/>
  <c r="T70" i="2"/>
  <c r="S70" i="2"/>
  <c r="R70" i="2"/>
  <c r="Q70" i="2"/>
  <c r="O70" i="2"/>
  <c r="J70" i="2"/>
  <c r="I70" i="2"/>
  <c r="G70" i="2"/>
  <c r="AN69" i="2"/>
  <c r="AN548" i="2" s="1"/>
  <c r="T69" i="2"/>
  <c r="S69" i="2"/>
  <c r="R69" i="2"/>
  <c r="Q69" i="2"/>
  <c r="Z69" i="2" s="1"/>
  <c r="P69" i="2"/>
  <c r="O69" i="2"/>
  <c r="J69" i="2"/>
  <c r="I69" i="2"/>
  <c r="G69" i="2"/>
  <c r="Y68" i="2"/>
  <c r="X68" i="2"/>
  <c r="V68" i="2"/>
  <c r="T68" i="2"/>
  <c r="S68" i="2"/>
  <c r="R68" i="2"/>
  <c r="Q68" i="2"/>
  <c r="P68" i="2"/>
  <c r="O68" i="2"/>
  <c r="Y67" i="2"/>
  <c r="T67" i="2"/>
  <c r="S67" i="2"/>
  <c r="R67" i="2"/>
  <c r="Q67" i="2"/>
  <c r="W67" i="2" s="1"/>
  <c r="P67" i="2"/>
  <c r="V67" i="2" s="1"/>
  <c r="O67" i="2"/>
  <c r="X67" i="2" s="1"/>
  <c r="J67" i="2"/>
  <c r="I67" i="2"/>
  <c r="G67" i="2"/>
  <c r="Z66" i="2"/>
  <c r="X66" i="2"/>
  <c r="V66" i="2"/>
  <c r="T66" i="2"/>
  <c r="S66" i="2"/>
  <c r="R66" i="2"/>
  <c r="Q66" i="2"/>
  <c r="Z547" i="2" s="1"/>
  <c r="P66" i="2"/>
  <c r="O66" i="2"/>
  <c r="J66" i="2"/>
  <c r="G66" i="2"/>
  <c r="BO545" i="2"/>
  <c r="AY65" i="2"/>
  <c r="AY545" i="2" s="1"/>
  <c r="AV65" i="2"/>
  <c r="AV545" i="2" s="1"/>
  <c r="AP65" i="2"/>
  <c r="AP545" i="2" s="1"/>
  <c r="Z65" i="2"/>
  <c r="T65" i="2"/>
  <c r="T545" i="2" s="1"/>
  <c r="S65" i="2"/>
  <c r="S545" i="2" s="1"/>
  <c r="R65" i="2"/>
  <c r="R545" i="2" s="1"/>
  <c r="Q65" i="2"/>
  <c r="Q545" i="2" s="1"/>
  <c r="Z545" i="2" s="1"/>
  <c r="P65" i="2"/>
  <c r="P545" i="2" s="1"/>
  <c r="Y545" i="2" s="1"/>
  <c r="K65" i="2"/>
  <c r="G65" i="2"/>
  <c r="G545" i="2" s="1"/>
  <c r="AY64" i="2"/>
  <c r="AY8" i="2" s="1"/>
  <c r="AV64" i="2"/>
  <c r="AV544" i="2" s="1"/>
  <c r="AS64" i="2"/>
  <c r="AS544" i="2" s="1"/>
  <c r="Z64" i="2"/>
  <c r="Y64" i="2"/>
  <c r="T64" i="2"/>
  <c r="T544" i="2" s="1"/>
  <c r="S64" i="2"/>
  <c r="S544" i="2" s="1"/>
  <c r="Q64" i="2"/>
  <c r="Q544" i="2" s="1"/>
  <c r="Z544" i="2" s="1"/>
  <c r="P64" i="2"/>
  <c r="P544" i="2" s="1"/>
  <c r="Y544" i="2" s="1"/>
  <c r="K64" i="2"/>
  <c r="G64" i="2"/>
  <c r="AY63" i="2"/>
  <c r="AY543" i="2" s="1"/>
  <c r="AV63" i="2"/>
  <c r="AV543" i="2" s="1"/>
  <c r="Y63" i="2"/>
  <c r="T63" i="2"/>
  <c r="T543" i="2" s="1"/>
  <c r="S63" i="2"/>
  <c r="S543" i="2" s="1"/>
  <c r="R63" i="2"/>
  <c r="R543" i="2" s="1"/>
  <c r="Q63" i="2"/>
  <c r="BO543" i="2" s="1"/>
  <c r="P63" i="2"/>
  <c r="P543" i="2" s="1"/>
  <c r="Y543" i="2" s="1"/>
  <c r="K63" i="2"/>
  <c r="G63" i="2"/>
  <c r="F63" i="2"/>
  <c r="F543" i="2" s="1"/>
  <c r="Z62" i="2"/>
  <c r="T62" i="2"/>
  <c r="S62" i="2"/>
  <c r="R62" i="2"/>
  <c r="Q62" i="2"/>
  <c r="P62" i="2"/>
  <c r="Y542" i="2" s="1"/>
  <c r="O62" i="2"/>
  <c r="G62" i="2"/>
  <c r="T61" i="2"/>
  <c r="S61" i="2"/>
  <c r="R61" i="2"/>
  <c r="Q61" i="2"/>
  <c r="W61" i="2" s="1"/>
  <c r="P61" i="2"/>
  <c r="Y61" i="2" s="1"/>
  <c r="O61" i="2"/>
  <c r="I61" i="2"/>
  <c r="G61" i="2"/>
  <c r="Z60" i="2"/>
  <c r="X60" i="2"/>
  <c r="W60" i="2"/>
  <c r="V60" i="2"/>
  <c r="T60" i="2"/>
  <c r="T506" i="2" s="1"/>
  <c r="S60" i="2"/>
  <c r="S506" i="2" s="1"/>
  <c r="R60" i="2"/>
  <c r="R506" i="2" s="1"/>
  <c r="Q60" i="2"/>
  <c r="Q506" i="2" s="1"/>
  <c r="Z506" i="2" s="1"/>
  <c r="P60" i="2"/>
  <c r="O60" i="2"/>
  <c r="O506" i="2" s="1"/>
  <c r="X506" i="2" s="1"/>
  <c r="J60" i="2"/>
  <c r="G60" i="2"/>
  <c r="G506" i="2" s="1"/>
  <c r="Y59" i="2"/>
  <c r="W59" i="2"/>
  <c r="T59" i="2"/>
  <c r="S59" i="2"/>
  <c r="R59" i="2"/>
  <c r="Q59" i="2"/>
  <c r="P59" i="2"/>
  <c r="V59" i="2" s="1"/>
  <c r="O59" i="2"/>
  <c r="X59" i="2" s="1"/>
  <c r="G59" i="2"/>
  <c r="Z58" i="2"/>
  <c r="X58" i="2"/>
  <c r="T58" i="2"/>
  <c r="S58" i="2"/>
  <c r="R58" i="2"/>
  <c r="Q58" i="2"/>
  <c r="P58" i="2"/>
  <c r="Y539" i="2" s="1"/>
  <c r="O58" i="2"/>
  <c r="G58" i="2"/>
  <c r="Y57" i="2"/>
  <c r="W57" i="2"/>
  <c r="T57" i="2"/>
  <c r="S57" i="2"/>
  <c r="R57" i="2"/>
  <c r="Q57" i="2"/>
  <c r="P57" i="2"/>
  <c r="Y537" i="2" s="1"/>
  <c r="O57" i="2"/>
  <c r="X537" i="2" s="1"/>
  <c r="J57" i="2"/>
  <c r="I57" i="2"/>
  <c r="G57" i="2"/>
  <c r="Z56" i="2"/>
  <c r="X56" i="2"/>
  <c r="T56" i="2"/>
  <c r="S56" i="2"/>
  <c r="R56" i="2"/>
  <c r="Q56" i="2"/>
  <c r="W56" i="2" s="1"/>
  <c r="P56" i="2"/>
  <c r="V56" i="2" s="1"/>
  <c r="O56" i="2"/>
  <c r="G56" i="2"/>
  <c r="I56" i="2" s="1"/>
  <c r="BO532" i="2"/>
  <c r="Y55" i="2"/>
  <c r="T55" i="2"/>
  <c r="S55" i="2"/>
  <c r="S532" i="2" s="1"/>
  <c r="R55" i="2"/>
  <c r="Q55" i="2"/>
  <c r="Q532" i="2" s="1"/>
  <c r="Z532" i="2" s="1"/>
  <c r="P55" i="2"/>
  <c r="P532" i="2" s="1"/>
  <c r="Y532" i="2" s="1"/>
  <c r="O55" i="2"/>
  <c r="I55" i="2"/>
  <c r="G55" i="2"/>
  <c r="Z54" i="2"/>
  <c r="Y54" i="2"/>
  <c r="X54" i="2"/>
  <c r="V54" i="2"/>
  <c r="T54" i="2"/>
  <c r="S54" i="2"/>
  <c r="R54" i="2"/>
  <c r="Q54" i="2"/>
  <c r="W54" i="2" s="1"/>
  <c r="P54" i="2"/>
  <c r="O54" i="2"/>
  <c r="U54" i="2" s="1"/>
  <c r="AY53" i="2"/>
  <c r="AV53" i="2"/>
  <c r="AV531" i="2" s="1"/>
  <c r="Z53" i="2"/>
  <c r="T53" i="2"/>
  <c r="S53" i="2"/>
  <c r="R53" i="2"/>
  <c r="Q53" i="2"/>
  <c r="W53" i="2" s="1"/>
  <c r="P53" i="2"/>
  <c r="V53" i="2" s="1"/>
  <c r="G53" i="2"/>
  <c r="Y52" i="2"/>
  <c r="W52" i="2"/>
  <c r="W530" i="2" s="1"/>
  <c r="T52" i="2"/>
  <c r="T530" i="2" s="1"/>
  <c r="S52" i="2"/>
  <c r="S530" i="2" s="1"/>
  <c r="R52" i="2"/>
  <c r="R530" i="2" s="1"/>
  <c r="Q52" i="2"/>
  <c r="P52" i="2"/>
  <c r="P530" i="2" s="1"/>
  <c r="Y530" i="2" s="1"/>
  <c r="O52" i="2"/>
  <c r="O530" i="2" s="1"/>
  <c r="X530" i="2" s="1"/>
  <c r="J52" i="2"/>
  <c r="I52" i="2"/>
  <c r="G52" i="2"/>
  <c r="G530" i="2" s="1"/>
  <c r="Z51" i="2"/>
  <c r="T51" i="2"/>
  <c r="T531" i="2" s="1"/>
  <c r="S51" i="2"/>
  <c r="R51" i="2"/>
  <c r="R531" i="2" s="1"/>
  <c r="Q51" i="2"/>
  <c r="P51" i="2"/>
  <c r="Y51" i="2" s="1"/>
  <c r="O51" i="2"/>
  <c r="J51" i="2"/>
  <c r="G51" i="2"/>
  <c r="Y50" i="2"/>
  <c r="W50" i="2"/>
  <c r="T50" i="2"/>
  <c r="S50" i="2"/>
  <c r="R50" i="2"/>
  <c r="Q50" i="2"/>
  <c r="Z50" i="2" s="1"/>
  <c r="P50" i="2"/>
  <c r="V50" i="2" s="1"/>
  <c r="O50" i="2"/>
  <c r="X50" i="2" s="1"/>
  <c r="Y49" i="2"/>
  <c r="W49" i="2"/>
  <c r="T49" i="2"/>
  <c r="S49" i="2"/>
  <c r="R49" i="2"/>
  <c r="Q49" i="2"/>
  <c r="Z49" i="2" s="1"/>
  <c r="P49" i="2"/>
  <c r="V49" i="2" s="1"/>
  <c r="O49" i="2"/>
  <c r="U49" i="2" s="1"/>
  <c r="T48" i="2"/>
  <c r="S48" i="2"/>
  <c r="R48" i="2"/>
  <c r="Q48" i="2"/>
  <c r="W48" i="2" s="1"/>
  <c r="P48" i="2"/>
  <c r="Y48" i="2" s="1"/>
  <c r="O48" i="2"/>
  <c r="X48" i="2" s="1"/>
  <c r="J48" i="2"/>
  <c r="I48" i="2"/>
  <c r="G48" i="2"/>
  <c r="Z47" i="2"/>
  <c r="X47" i="2"/>
  <c r="W47" i="2"/>
  <c r="V47" i="2"/>
  <c r="T47" i="2"/>
  <c r="S47" i="2"/>
  <c r="R47" i="2"/>
  <c r="Q47" i="2"/>
  <c r="P47" i="2"/>
  <c r="Y47" i="2" s="1"/>
  <c r="O47" i="2"/>
  <c r="J47" i="2"/>
  <c r="G47" i="2"/>
  <c r="I47" i="2" s="1"/>
  <c r="Y46" i="2"/>
  <c r="W46" i="2"/>
  <c r="T46" i="2"/>
  <c r="S46" i="2"/>
  <c r="R46" i="2"/>
  <c r="Q46" i="2"/>
  <c r="P46" i="2"/>
  <c r="V46" i="2" s="1"/>
  <c r="O46" i="2"/>
  <c r="X46" i="2" s="1"/>
  <c r="G46" i="2"/>
  <c r="Z45" i="2"/>
  <c r="X45" i="2"/>
  <c r="T45" i="2"/>
  <c r="S45" i="2"/>
  <c r="R45" i="2"/>
  <c r="Q45" i="2"/>
  <c r="W45" i="2" s="1"/>
  <c r="P45" i="2"/>
  <c r="V45" i="2" s="1"/>
  <c r="O45" i="2"/>
  <c r="G45" i="2"/>
  <c r="J45" i="2" s="1"/>
  <c r="Z44" i="2"/>
  <c r="Y44" i="2"/>
  <c r="T44" i="2"/>
  <c r="S44" i="2"/>
  <c r="R44" i="2"/>
  <c r="Q44" i="2"/>
  <c r="P44" i="2"/>
  <c r="V44" i="2" s="1"/>
  <c r="O44" i="2"/>
  <c r="X44" i="2" s="1"/>
  <c r="J44" i="2"/>
  <c r="I44" i="2"/>
  <c r="G44" i="2"/>
  <c r="Z43" i="2"/>
  <c r="X43" i="2"/>
  <c r="T43" i="2"/>
  <c r="S43" i="2"/>
  <c r="R43" i="2"/>
  <c r="Q43" i="2"/>
  <c r="W43" i="2" s="1"/>
  <c r="P43" i="2"/>
  <c r="Y43" i="2" s="1"/>
  <c r="O43" i="2"/>
  <c r="U43" i="2" s="1"/>
  <c r="J43" i="2"/>
  <c r="G43" i="2"/>
  <c r="I43" i="2" s="1"/>
  <c r="AM42" i="2"/>
  <c r="X42" i="2"/>
  <c r="W42" i="2"/>
  <c r="T42" i="2"/>
  <c r="S42" i="2"/>
  <c r="R42" i="2"/>
  <c r="Q42" i="2"/>
  <c r="Z42" i="2" s="1"/>
  <c r="P42" i="2"/>
  <c r="Y42" i="2" s="1"/>
  <c r="O42" i="2"/>
  <c r="K42" i="2"/>
  <c r="I42" i="2"/>
  <c r="G42" i="2"/>
  <c r="J42" i="2" s="1"/>
  <c r="AY41" i="2"/>
  <c r="O41" i="2" s="1"/>
  <c r="U41" i="2" s="1"/>
  <c r="AV41" i="2"/>
  <c r="Z41" i="2"/>
  <c r="W41" i="2"/>
  <c r="T41" i="2"/>
  <c r="S41" i="2"/>
  <c r="R41" i="2"/>
  <c r="Q41" i="2"/>
  <c r="P41" i="2"/>
  <c r="Y41" i="2" s="1"/>
  <c r="Z40" i="2"/>
  <c r="X40" i="2"/>
  <c r="T40" i="2"/>
  <c r="S40" i="2"/>
  <c r="R40" i="2"/>
  <c r="Q40" i="2"/>
  <c r="W40" i="2" s="1"/>
  <c r="P40" i="2"/>
  <c r="Y40" i="2" s="1"/>
  <c r="O40" i="2"/>
  <c r="U40" i="2" s="1"/>
  <c r="J40" i="2"/>
  <c r="G40" i="2"/>
  <c r="I40" i="2" s="1"/>
  <c r="Y39" i="2"/>
  <c r="T39" i="2"/>
  <c r="S39" i="2"/>
  <c r="R39" i="2"/>
  <c r="Q39" i="2"/>
  <c r="Z39" i="2" s="1"/>
  <c r="P39" i="2"/>
  <c r="V39" i="2" s="1"/>
  <c r="O39" i="2"/>
  <c r="X39" i="2" s="1"/>
  <c r="J39" i="2"/>
  <c r="I39" i="2"/>
  <c r="G39" i="2"/>
  <c r="X38" i="2"/>
  <c r="V38" i="2"/>
  <c r="T38" i="2"/>
  <c r="S38" i="2"/>
  <c r="R38" i="2"/>
  <c r="Q38" i="2"/>
  <c r="W38" i="2" s="1"/>
  <c r="P38" i="2"/>
  <c r="Y38" i="2" s="1"/>
  <c r="O38" i="2"/>
  <c r="J38" i="2"/>
  <c r="G38" i="2"/>
  <c r="I38" i="2" s="1"/>
  <c r="Y37" i="2"/>
  <c r="W37" i="2"/>
  <c r="T37" i="2"/>
  <c r="S37" i="2"/>
  <c r="R37" i="2"/>
  <c r="Q37" i="2"/>
  <c r="P37" i="2"/>
  <c r="V37" i="2" s="1"/>
  <c r="O37" i="2"/>
  <c r="X37" i="2" s="1"/>
  <c r="I37" i="2"/>
  <c r="G37" i="2"/>
  <c r="J37" i="2" s="1"/>
  <c r="Z36" i="2"/>
  <c r="X36" i="2"/>
  <c r="V36" i="2"/>
  <c r="T36" i="2"/>
  <c r="S36" i="2"/>
  <c r="R36" i="2"/>
  <c r="Q36" i="2"/>
  <c r="W36" i="2" s="1"/>
  <c r="P36" i="2"/>
  <c r="Y36" i="2" s="1"/>
  <c r="O36" i="2"/>
  <c r="G36" i="2"/>
  <c r="J36" i="2" s="1"/>
  <c r="Y35" i="2"/>
  <c r="W35" i="2"/>
  <c r="T35" i="2"/>
  <c r="S35" i="2"/>
  <c r="R35" i="2"/>
  <c r="Q35" i="2"/>
  <c r="P35" i="2"/>
  <c r="V35" i="2" s="1"/>
  <c r="O35" i="2"/>
  <c r="X35" i="2" s="1"/>
  <c r="J35" i="2"/>
  <c r="I35" i="2"/>
  <c r="G35" i="2"/>
  <c r="Z34" i="2"/>
  <c r="T34" i="2"/>
  <c r="S34" i="2"/>
  <c r="R34" i="2"/>
  <c r="Q34" i="2"/>
  <c r="W34" i="2" s="1"/>
  <c r="P34" i="2"/>
  <c r="Y34" i="2" s="1"/>
  <c r="O34" i="2"/>
  <c r="G34" i="2"/>
  <c r="I34" i="2" s="1"/>
  <c r="Y33" i="2"/>
  <c r="T33" i="2"/>
  <c r="S33" i="2"/>
  <c r="R33" i="2"/>
  <c r="Q33" i="2"/>
  <c r="W33" i="2" s="1"/>
  <c r="P33" i="2"/>
  <c r="V33" i="2" s="1"/>
  <c r="O33" i="2"/>
  <c r="X33" i="2" s="1"/>
  <c r="J33" i="2"/>
  <c r="I33" i="2"/>
  <c r="G33" i="2"/>
  <c r="T32" i="2"/>
  <c r="S32" i="2"/>
  <c r="R32" i="2"/>
  <c r="Q32" i="2"/>
  <c r="P32" i="2"/>
  <c r="Y32" i="2" s="1"/>
  <c r="O32" i="2"/>
  <c r="U32" i="2" s="1"/>
  <c r="J32" i="2"/>
  <c r="G32" i="2"/>
  <c r="I32" i="2" s="1"/>
  <c r="AP31" i="2"/>
  <c r="Z31" i="2"/>
  <c r="X31" i="2"/>
  <c r="W31" i="2"/>
  <c r="T31" i="2"/>
  <c r="S31" i="2"/>
  <c r="R31" i="2"/>
  <c r="Q31" i="2"/>
  <c r="P31" i="2"/>
  <c r="V31" i="2" s="1"/>
  <c r="O31" i="2"/>
  <c r="U31" i="2" s="1"/>
  <c r="I31" i="2"/>
  <c r="G31" i="2"/>
  <c r="J31" i="2" s="1"/>
  <c r="Y30" i="2"/>
  <c r="X30" i="2"/>
  <c r="T30" i="2"/>
  <c r="S30" i="2"/>
  <c r="R30" i="2"/>
  <c r="Q30" i="2"/>
  <c r="P30" i="2"/>
  <c r="V30" i="2" s="1"/>
  <c r="O30" i="2"/>
  <c r="U30" i="2" s="1"/>
  <c r="J30" i="2"/>
  <c r="G30" i="2"/>
  <c r="I30" i="2" s="1"/>
  <c r="Y29" i="2"/>
  <c r="T29" i="2"/>
  <c r="S29" i="2"/>
  <c r="R29" i="2"/>
  <c r="Q29" i="2"/>
  <c r="P29" i="2"/>
  <c r="O29" i="2"/>
  <c r="G29" i="2"/>
  <c r="Z28" i="2"/>
  <c r="X28" i="2"/>
  <c r="T28" i="2"/>
  <c r="T528" i="2" s="1"/>
  <c r="S28" i="2"/>
  <c r="S528" i="2" s="1"/>
  <c r="R28" i="2"/>
  <c r="R528" i="2" s="1"/>
  <c r="Q28" i="2"/>
  <c r="Q528" i="2" s="1"/>
  <c r="Z528" i="2" s="1"/>
  <c r="P28" i="2"/>
  <c r="P528" i="2" s="1"/>
  <c r="Y528" i="2" s="1"/>
  <c r="O28" i="2"/>
  <c r="O528" i="2" s="1"/>
  <c r="X528" i="2" s="1"/>
  <c r="I28" i="2"/>
  <c r="G28" i="2"/>
  <c r="Y27" i="2"/>
  <c r="T27" i="2"/>
  <c r="S27" i="2"/>
  <c r="R27" i="2"/>
  <c r="Q27" i="2"/>
  <c r="P27" i="2"/>
  <c r="V27" i="2" s="1"/>
  <c r="O27" i="2"/>
  <c r="J27" i="2"/>
  <c r="I27" i="2"/>
  <c r="G27" i="2"/>
  <c r="Z26" i="2"/>
  <c r="X26" i="2"/>
  <c r="U26" i="2"/>
  <c r="T26" i="2"/>
  <c r="S26" i="2"/>
  <c r="R26" i="2"/>
  <c r="Q26" i="2"/>
  <c r="W26" i="2" s="1"/>
  <c r="P26" i="2"/>
  <c r="V26" i="2" s="1"/>
  <c r="O26" i="2"/>
  <c r="G26" i="2"/>
  <c r="J26" i="2" s="1"/>
  <c r="Y25" i="2"/>
  <c r="T25" i="2"/>
  <c r="S25" i="2"/>
  <c r="R25" i="2"/>
  <c r="Q25" i="2"/>
  <c r="W25" i="2" s="1"/>
  <c r="P25" i="2"/>
  <c r="V25" i="2" s="1"/>
  <c r="O25" i="2"/>
  <c r="X25" i="2" s="1"/>
  <c r="I25" i="2"/>
  <c r="G25" i="2"/>
  <c r="J25" i="2" s="1"/>
  <c r="Z24" i="2"/>
  <c r="X24" i="2"/>
  <c r="T24" i="2"/>
  <c r="S24" i="2"/>
  <c r="R24" i="2"/>
  <c r="Q24" i="2"/>
  <c r="W24" i="2" s="1"/>
  <c r="P24" i="2"/>
  <c r="Y24" i="2" s="1"/>
  <c r="O24" i="2"/>
  <c r="J24" i="2"/>
  <c r="G24" i="2"/>
  <c r="I24" i="2" s="1"/>
  <c r="Y23" i="2"/>
  <c r="T23" i="2"/>
  <c r="S23" i="2"/>
  <c r="R23" i="2"/>
  <c r="Q23" i="2"/>
  <c r="Z23" i="2" s="1"/>
  <c r="P23" i="2"/>
  <c r="V23" i="2" s="1"/>
  <c r="O23" i="2"/>
  <c r="G23" i="2"/>
  <c r="J23" i="2" s="1"/>
  <c r="Z22" i="2"/>
  <c r="X22" i="2"/>
  <c r="T22" i="2"/>
  <c r="S22" i="2"/>
  <c r="R22" i="2"/>
  <c r="Q22" i="2"/>
  <c r="W22" i="2" s="1"/>
  <c r="P22" i="2"/>
  <c r="Y22" i="2" s="1"/>
  <c r="O22" i="2"/>
  <c r="I22" i="2"/>
  <c r="G22" i="2"/>
  <c r="J22" i="2" s="1"/>
  <c r="Y21" i="2"/>
  <c r="T21" i="2"/>
  <c r="S21" i="2"/>
  <c r="R21" i="2"/>
  <c r="Q21" i="2"/>
  <c r="P21" i="2"/>
  <c r="V21" i="2" s="1"/>
  <c r="O21" i="2"/>
  <c r="J21" i="2"/>
  <c r="I21" i="2"/>
  <c r="G21" i="2"/>
  <c r="Z20" i="2"/>
  <c r="X20" i="2"/>
  <c r="T20" i="2"/>
  <c r="S20" i="2"/>
  <c r="R20" i="2"/>
  <c r="Q20" i="2"/>
  <c r="W20" i="2" s="1"/>
  <c r="P20" i="2"/>
  <c r="V20" i="2" s="1"/>
  <c r="O20" i="2"/>
  <c r="G20" i="2"/>
  <c r="J20" i="2" s="1"/>
  <c r="Y19" i="2"/>
  <c r="T19" i="2"/>
  <c r="S19" i="2"/>
  <c r="R19" i="2"/>
  <c r="Q19" i="2"/>
  <c r="Z19" i="2" s="1"/>
  <c r="P19" i="2"/>
  <c r="O19" i="2"/>
  <c r="I19" i="2"/>
  <c r="G19" i="2"/>
  <c r="J19" i="2" s="1"/>
  <c r="Z18" i="2"/>
  <c r="X18" i="2"/>
  <c r="T18" i="2"/>
  <c r="T526" i="2" s="1"/>
  <c r="S18" i="2"/>
  <c r="S526" i="2" s="1"/>
  <c r="R18" i="2"/>
  <c r="R526" i="2" s="1"/>
  <c r="Q18" i="2"/>
  <c r="Q526" i="2" s="1"/>
  <c r="Z526" i="2" s="1"/>
  <c r="P18" i="2"/>
  <c r="P526" i="2" s="1"/>
  <c r="Y526" i="2" s="1"/>
  <c r="O18" i="2"/>
  <c r="O526" i="2" s="1"/>
  <c r="X526" i="2" s="1"/>
  <c r="J18" i="2"/>
  <c r="G18" i="2"/>
  <c r="G526" i="2" s="1"/>
  <c r="Y17" i="2"/>
  <c r="T17" i="2"/>
  <c r="S17" i="2"/>
  <c r="R17" i="2"/>
  <c r="Q17" i="2"/>
  <c r="Z17" i="2" s="1"/>
  <c r="P17" i="2"/>
  <c r="V17" i="2" s="1"/>
  <c r="O17" i="2"/>
  <c r="X17" i="2" s="1"/>
  <c r="G17" i="2"/>
  <c r="J17" i="2" s="1"/>
  <c r="Z16" i="2"/>
  <c r="X16" i="2"/>
  <c r="T16" i="2"/>
  <c r="S16" i="2"/>
  <c r="R16" i="2"/>
  <c r="Q16" i="2"/>
  <c r="W16" i="2" s="1"/>
  <c r="P16" i="2"/>
  <c r="Y16" i="2" s="1"/>
  <c r="O16" i="2"/>
  <c r="I16" i="2"/>
  <c r="G16" i="2"/>
  <c r="J16" i="2" s="1"/>
  <c r="Y15" i="2"/>
  <c r="T15" i="2"/>
  <c r="S15" i="2"/>
  <c r="R15" i="2"/>
  <c r="Q15" i="2"/>
  <c r="Z525" i="2" s="1"/>
  <c r="P15" i="2"/>
  <c r="O15" i="2"/>
  <c r="X15" i="2" s="1"/>
  <c r="J15" i="2"/>
  <c r="I15" i="2"/>
  <c r="G15" i="2"/>
  <c r="Z14" i="2"/>
  <c r="X14" i="2"/>
  <c r="T14" i="2"/>
  <c r="T522" i="2" s="1"/>
  <c r="S14" i="2"/>
  <c r="S522" i="2" s="1"/>
  <c r="R14" i="2"/>
  <c r="R522" i="2" s="1"/>
  <c r="Q14" i="2"/>
  <c r="Q522" i="2" s="1"/>
  <c r="Z522" i="2" s="1"/>
  <c r="P14" i="2"/>
  <c r="P522" i="2" s="1"/>
  <c r="Y522" i="2" s="1"/>
  <c r="O14" i="2"/>
  <c r="O522" i="2" s="1"/>
  <c r="X522" i="2" s="1"/>
  <c r="G14" i="2"/>
  <c r="G522" i="2" s="1"/>
  <c r="Y13" i="2"/>
  <c r="T13" i="2"/>
  <c r="S13" i="2"/>
  <c r="R13" i="2"/>
  <c r="Q13" i="2"/>
  <c r="Z13" i="2" s="1"/>
  <c r="P13" i="2"/>
  <c r="O13" i="2"/>
  <c r="X515" i="2" s="1"/>
  <c r="I13" i="2"/>
  <c r="G13" i="2"/>
  <c r="G515" i="2" s="1"/>
  <c r="Z12" i="2"/>
  <c r="X12" i="2"/>
  <c r="T12" i="2"/>
  <c r="S12" i="2"/>
  <c r="R12" i="2"/>
  <c r="Q12" i="2"/>
  <c r="Z513" i="2" s="1"/>
  <c r="P12" i="2"/>
  <c r="O12" i="2"/>
  <c r="X513" i="2" s="1"/>
  <c r="J12" i="2"/>
  <c r="G12" i="2"/>
  <c r="G513" i="2" s="1"/>
  <c r="Y11" i="2"/>
  <c r="T11" i="2"/>
  <c r="T512" i="2" s="1"/>
  <c r="S11" i="2"/>
  <c r="S512" i="2" s="1"/>
  <c r="R11" i="2"/>
  <c r="R512" i="2" s="1"/>
  <c r="Q11" i="2"/>
  <c r="Q512" i="2" s="1"/>
  <c r="Z512" i="2" s="1"/>
  <c r="P11" i="2"/>
  <c r="P512" i="2" s="1"/>
  <c r="Y512" i="2" s="1"/>
  <c r="O11" i="2"/>
  <c r="O512" i="2" s="1"/>
  <c r="G11" i="2"/>
  <c r="Z10" i="2"/>
  <c r="X10" i="2"/>
  <c r="T10" i="2"/>
  <c r="S10" i="2"/>
  <c r="S511" i="2" s="1"/>
  <c r="R10" i="2"/>
  <c r="Q10" i="2"/>
  <c r="Q511" i="2" s="1"/>
  <c r="Z511" i="2" s="1"/>
  <c r="P10" i="2"/>
  <c r="P511" i="2" s="1"/>
  <c r="Y511" i="2" s="1"/>
  <c r="O10" i="2"/>
  <c r="G10" i="2"/>
  <c r="G511" i="2" s="1"/>
  <c r="AS9" i="2"/>
  <c r="AS501" i="2" s="1"/>
  <c r="AP9" i="2"/>
  <c r="AP8" i="2" s="1"/>
  <c r="AG9" i="2"/>
  <c r="Z9" i="2"/>
  <c r="T9" i="2"/>
  <c r="T8" i="2" s="1"/>
  <c r="S9" i="2"/>
  <c r="Q9" i="2"/>
  <c r="P9" i="2"/>
  <c r="Y9" i="2" s="1"/>
  <c r="K9" i="2"/>
  <c r="K8" i="2" s="1"/>
  <c r="G9" i="2"/>
  <c r="BM8" i="2"/>
  <c r="BL8" i="2"/>
  <c r="BK8" i="2"/>
  <c r="BJ8" i="2"/>
  <c r="BI8" i="2"/>
  <c r="BH8" i="2"/>
  <c r="BG8" i="2"/>
  <c r="BF8" i="2"/>
  <c r="BE8" i="2"/>
  <c r="BD8" i="2"/>
  <c r="BC8" i="2"/>
  <c r="BB8" i="2"/>
  <c r="BA8" i="2"/>
  <c r="AX8" i="2"/>
  <c r="AW8" i="2"/>
  <c r="AV8" i="2"/>
  <c r="AU8" i="2"/>
  <c r="AT8" i="2"/>
  <c r="AS8" i="2"/>
  <c r="AR8" i="2"/>
  <c r="AQ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A8" i="2"/>
  <c r="N8" i="2"/>
  <c r="M8" i="2"/>
  <c r="L8" i="2"/>
  <c r="H8" i="2"/>
  <c r="G8" i="2"/>
  <c r="C35" i="3" s="1"/>
  <c r="F8" i="2"/>
  <c r="E8" i="2"/>
  <c r="Y7" i="2"/>
  <c r="T7" i="2"/>
  <c r="S7" i="2"/>
  <c r="R7" i="2"/>
  <c r="R507" i="2" s="1"/>
  <c r="Q7" i="2"/>
  <c r="Q507" i="2" s="1"/>
  <c r="Z507" i="2" s="1"/>
  <c r="P7" i="2"/>
  <c r="O7" i="2"/>
  <c r="O4" i="2" s="1"/>
  <c r="G7" i="2"/>
  <c r="I7" i="2" s="1"/>
  <c r="BO505" i="2"/>
  <c r="Z6" i="2"/>
  <c r="X6" i="2"/>
  <c r="T6" i="2"/>
  <c r="T505" i="2" s="1"/>
  <c r="S6" i="2"/>
  <c r="S505" i="2" s="1"/>
  <c r="R6" i="2"/>
  <c r="R505" i="2" s="1"/>
  <c r="Q6" i="2"/>
  <c r="Q505" i="2" s="1"/>
  <c r="Z505" i="2" s="1"/>
  <c r="P6" i="2"/>
  <c r="P505" i="2" s="1"/>
  <c r="Y505" i="2" s="1"/>
  <c r="O6" i="2"/>
  <c r="O505" i="2" s="1"/>
  <c r="X505" i="2" s="1"/>
  <c r="G6" i="2"/>
  <c r="G505" i="2" s="1"/>
  <c r="AP5" i="2"/>
  <c r="AG5" i="2"/>
  <c r="AG501" i="2" s="1"/>
  <c r="Y5" i="2"/>
  <c r="T5" i="2"/>
  <c r="S5" i="2"/>
  <c r="S501" i="2" s="1"/>
  <c r="Q5" i="2"/>
  <c r="Z5" i="2" s="1"/>
  <c r="P5" i="2"/>
  <c r="O5" i="2"/>
  <c r="U5" i="2" s="1"/>
  <c r="K5" i="2"/>
  <c r="E5" i="2"/>
  <c r="E501" i="2" s="1"/>
  <c r="BM4" i="2"/>
  <c r="T4" i="2" s="1"/>
  <c r="BL4" i="2"/>
  <c r="BK4" i="2"/>
  <c r="BJ4" i="2"/>
  <c r="BI4" i="2"/>
  <c r="BH4" i="2"/>
  <c r="BG4" i="2"/>
  <c r="BF4" i="2"/>
  <c r="BE4" i="2"/>
  <c r="BE3" i="2" s="1"/>
  <c r="BD4" i="2"/>
  <c r="BC4" i="2"/>
  <c r="BB4" i="2"/>
  <c r="BA4" i="2"/>
  <c r="AZ4" i="2"/>
  <c r="AY4" i="2"/>
  <c r="AX4" i="2"/>
  <c r="AW4" i="2"/>
  <c r="AV4" i="2"/>
  <c r="AU4" i="2"/>
  <c r="AT4" i="2"/>
  <c r="AS4" i="2"/>
  <c r="AR4" i="2"/>
  <c r="AQ4" i="2"/>
  <c r="AO4" i="2"/>
  <c r="AN4" i="2"/>
  <c r="AM4" i="2"/>
  <c r="AM3" i="2" s="1"/>
  <c r="AL4" i="2"/>
  <c r="AK4" i="2"/>
  <c r="AJ4" i="2"/>
  <c r="AI4" i="2"/>
  <c r="AH4" i="2"/>
  <c r="AG4" i="2"/>
  <c r="AG3" i="2" s="1"/>
  <c r="AF4" i="2"/>
  <c r="AE4" i="2"/>
  <c r="AD4" i="2"/>
  <c r="AC4" i="2"/>
  <c r="AB4" i="2"/>
  <c r="AA4" i="2"/>
  <c r="AA3" i="2" s="1"/>
  <c r="S4" i="2"/>
  <c r="N4" i="2"/>
  <c r="M4" i="2"/>
  <c r="L4" i="2"/>
  <c r="K4" i="2"/>
  <c r="H4" i="2"/>
  <c r="F4" i="2"/>
  <c r="BJ3" i="2"/>
  <c r="BH3" i="2"/>
  <c r="BD3" i="2"/>
  <c r="BB3" i="2"/>
  <c r="AD3" i="2"/>
  <c r="AC3" i="2"/>
  <c r="BD499" i="2" l="1"/>
  <c r="BJ499" i="2"/>
  <c r="AL499" i="2"/>
  <c r="BB499" i="2"/>
  <c r="AF499" i="2"/>
  <c r="AC499" i="2"/>
  <c r="AA499" i="2"/>
  <c r="BE499" i="2"/>
  <c r="BH499" i="2"/>
  <c r="J64" i="2"/>
  <c r="T116" i="2"/>
  <c r="R4" i="2"/>
  <c r="I34" i="3"/>
  <c r="X4" i="2"/>
  <c r="J9" i="2"/>
  <c r="F35" i="3"/>
  <c r="I8" i="2"/>
  <c r="V16" i="2"/>
  <c r="X529" i="2"/>
  <c r="U67" i="2"/>
  <c r="G575" i="2"/>
  <c r="J97" i="2"/>
  <c r="I97" i="2"/>
  <c r="O533" i="2"/>
  <c r="X533" i="2" s="1"/>
  <c r="X146" i="2"/>
  <c r="U146" i="2"/>
  <c r="V156" i="2"/>
  <c r="BT156" i="2"/>
  <c r="I171" i="2"/>
  <c r="J171" i="2"/>
  <c r="X279" i="2"/>
  <c r="U279" i="2"/>
  <c r="T281" i="2"/>
  <c r="Q281" i="2"/>
  <c r="T501" i="2"/>
  <c r="W6" i="2"/>
  <c r="P507" i="2"/>
  <c r="Y507" i="2" s="1"/>
  <c r="V7" i="2"/>
  <c r="O9" i="2"/>
  <c r="U9" i="2"/>
  <c r="W10" i="2"/>
  <c r="V11" i="2"/>
  <c r="U12" i="2"/>
  <c r="J13" i="2"/>
  <c r="I14" i="2"/>
  <c r="Y14" i="2"/>
  <c r="G525" i="2"/>
  <c r="U18" i="2"/>
  <c r="I20" i="2"/>
  <c r="Y20" i="2"/>
  <c r="X21" i="2"/>
  <c r="U24" i="2"/>
  <c r="Z25" i="2"/>
  <c r="I26" i="2"/>
  <c r="Y26" i="2"/>
  <c r="X27" i="2"/>
  <c r="W28" i="2"/>
  <c r="Y529" i="2"/>
  <c r="V29" i="2"/>
  <c r="X32" i="2"/>
  <c r="Z33" i="2"/>
  <c r="V34" i="2"/>
  <c r="I36" i="2"/>
  <c r="Z38" i="2"/>
  <c r="X41" i="2"/>
  <c r="U42" i="2"/>
  <c r="W44" i="2"/>
  <c r="Y45" i="2"/>
  <c r="X49" i="2"/>
  <c r="G531" i="2"/>
  <c r="I51" i="2"/>
  <c r="BR530" i="2"/>
  <c r="Y53" i="2"/>
  <c r="J56" i="2"/>
  <c r="Y58" i="2"/>
  <c r="BO506" i="2"/>
  <c r="X62" i="2"/>
  <c r="O63" i="2"/>
  <c r="W64" i="2"/>
  <c r="BO544" i="2"/>
  <c r="I65" i="2"/>
  <c r="Y547" i="2"/>
  <c r="Y66" i="2"/>
  <c r="W66" i="2"/>
  <c r="W70" i="2"/>
  <c r="W73" i="2"/>
  <c r="Z74" i="2"/>
  <c r="W76" i="2"/>
  <c r="P77" i="2"/>
  <c r="W78" i="2"/>
  <c r="R81" i="2"/>
  <c r="R552" i="2" s="1"/>
  <c r="W82" i="2"/>
  <c r="Q553" i="2"/>
  <c r="Z553" i="2" s="1"/>
  <c r="BO553" i="2"/>
  <c r="X88" i="2"/>
  <c r="Z90" i="2"/>
  <c r="W93" i="2"/>
  <c r="BT573" i="2"/>
  <c r="Q564" i="2"/>
  <c r="Z564" i="2" s="1"/>
  <c r="BO564" i="2"/>
  <c r="Z95" i="2"/>
  <c r="V96" i="2"/>
  <c r="O575" i="2"/>
  <c r="X575" i="2" s="1"/>
  <c r="H116" i="2"/>
  <c r="U124" i="2"/>
  <c r="W133" i="2"/>
  <c r="Z133" i="2"/>
  <c r="J145" i="2"/>
  <c r="I145" i="2"/>
  <c r="BO533" i="2"/>
  <c r="Z152" i="2"/>
  <c r="Q151" i="2"/>
  <c r="Z151" i="2" s="1"/>
  <c r="J180" i="2"/>
  <c r="I180" i="2"/>
  <c r="U23" i="2"/>
  <c r="W27" i="2"/>
  <c r="V28" i="2"/>
  <c r="U119" i="2"/>
  <c r="Z130" i="2"/>
  <c r="V9" i="2"/>
  <c r="W11" i="2"/>
  <c r="Y513" i="2"/>
  <c r="V12" i="2"/>
  <c r="U13" i="2"/>
  <c r="J14" i="2"/>
  <c r="W17" i="2"/>
  <c r="V18" i="2"/>
  <c r="BO526" i="2"/>
  <c r="X527" i="2"/>
  <c r="U19" i="2"/>
  <c r="W23" i="2"/>
  <c r="V24" i="2"/>
  <c r="U25" i="2"/>
  <c r="G528" i="2"/>
  <c r="Z529" i="2"/>
  <c r="W29" i="2"/>
  <c r="W30" i="2"/>
  <c r="Y31" i="2"/>
  <c r="Z32" i="2"/>
  <c r="X34" i="2"/>
  <c r="U35" i="2"/>
  <c r="W39" i="2"/>
  <c r="V40" i="2"/>
  <c r="V42" i="2"/>
  <c r="J46" i="2"/>
  <c r="I46" i="2"/>
  <c r="U56" i="2"/>
  <c r="J59" i="2"/>
  <c r="I59" i="2"/>
  <c r="X61" i="2"/>
  <c r="J61" i="2"/>
  <c r="U61" i="2"/>
  <c r="W63" i="2"/>
  <c r="U64" i="2"/>
  <c r="X69" i="2"/>
  <c r="U69" i="2"/>
  <c r="O549" i="2"/>
  <c r="X549" i="2" s="1"/>
  <c r="X72" i="2"/>
  <c r="J72" i="2"/>
  <c r="R74" i="2"/>
  <c r="R548" i="2" s="1"/>
  <c r="Z77" i="2"/>
  <c r="AZ553" i="2"/>
  <c r="S84" i="2"/>
  <c r="S553" i="2" s="1"/>
  <c r="W557" i="2"/>
  <c r="BR557" i="2"/>
  <c r="O565" i="2"/>
  <c r="X565" i="2" s="1"/>
  <c r="AZ565" i="2"/>
  <c r="S91" i="2"/>
  <c r="S565" i="2" s="1"/>
  <c r="P91" i="2"/>
  <c r="AM573" i="2"/>
  <c r="R94" i="2"/>
  <c r="R573" i="2" s="1"/>
  <c r="O94" i="2"/>
  <c r="Y96" i="2"/>
  <c r="P577" i="2"/>
  <c r="Y577" i="2" s="1"/>
  <c r="Y99" i="2"/>
  <c r="V102" i="2"/>
  <c r="U103" i="2"/>
  <c r="V108" i="2"/>
  <c r="O580" i="2"/>
  <c r="X580" i="2" s="1"/>
  <c r="X109" i="2"/>
  <c r="U109" i="2"/>
  <c r="V114" i="2"/>
  <c r="U115" i="2"/>
  <c r="L116" i="2"/>
  <c r="L3" i="2" s="1"/>
  <c r="Y123" i="2"/>
  <c r="P117" i="2"/>
  <c r="Z136" i="2"/>
  <c r="Y150" i="2"/>
  <c r="V173" i="2"/>
  <c r="Y173" i="2"/>
  <c r="X177" i="2"/>
  <c r="U177" i="2"/>
  <c r="J185" i="2"/>
  <c r="I185" i="2"/>
  <c r="X193" i="2"/>
  <c r="U193" i="2"/>
  <c r="V6" i="2"/>
  <c r="W15" i="2"/>
  <c r="U17" i="2"/>
  <c r="U44" i="2"/>
  <c r="U62" i="2"/>
  <c r="W550" i="2"/>
  <c r="U565" i="2"/>
  <c r="W9" i="2"/>
  <c r="Y10" i="2"/>
  <c r="X11" i="2"/>
  <c r="Y527" i="2"/>
  <c r="V19" i="2"/>
  <c r="Z27" i="2"/>
  <c r="Y28" i="2"/>
  <c r="G529" i="2"/>
  <c r="X29" i="2"/>
  <c r="U33" i="2"/>
  <c r="U37" i="2"/>
  <c r="U46" i="2"/>
  <c r="U48" i="2"/>
  <c r="U50" i="2"/>
  <c r="U51" i="2"/>
  <c r="G539" i="2"/>
  <c r="J58" i="2"/>
  <c r="U59" i="2"/>
  <c r="V506" i="2"/>
  <c r="V61" i="2"/>
  <c r="Q543" i="2"/>
  <c r="Z63" i="2"/>
  <c r="O65" i="2"/>
  <c r="V69" i="2"/>
  <c r="Z70" i="2"/>
  <c r="P549" i="2"/>
  <c r="Y549" i="2" s="1"/>
  <c r="Y72" i="2"/>
  <c r="Z73" i="2"/>
  <c r="Z78" i="2"/>
  <c r="O554" i="2"/>
  <c r="X554" i="2" s="1"/>
  <c r="J85" i="2"/>
  <c r="U85" i="2"/>
  <c r="J90" i="2"/>
  <c r="I90" i="2"/>
  <c r="AG577" i="2"/>
  <c r="O99" i="2"/>
  <c r="J99" i="2" s="1"/>
  <c r="R99" i="2"/>
  <c r="R577" i="2" s="1"/>
  <c r="Q587" i="2"/>
  <c r="Z587" i="2" s="1"/>
  <c r="Z122" i="2"/>
  <c r="Q117" i="2"/>
  <c r="W127" i="2"/>
  <c r="Z127" i="2"/>
  <c r="P589" i="2"/>
  <c r="Y589" i="2" s="1"/>
  <c r="Y129" i="2"/>
  <c r="X132" i="2"/>
  <c r="U132" i="2"/>
  <c r="V593" i="2"/>
  <c r="BT593" i="2"/>
  <c r="Z139" i="2"/>
  <c r="Y523" i="2"/>
  <c r="V144" i="2"/>
  <c r="Y144" i="2"/>
  <c r="P142" i="2"/>
  <c r="Y142" i="2" s="1"/>
  <c r="Q567" i="2"/>
  <c r="Z567" i="2" s="1"/>
  <c r="BO567" i="2"/>
  <c r="W148" i="2"/>
  <c r="Q142" i="2"/>
  <c r="Z142" i="2" s="1"/>
  <c r="Z148" i="2"/>
  <c r="I153" i="2"/>
  <c r="G151" i="2"/>
  <c r="F8" i="3" s="1"/>
  <c r="J153" i="2"/>
  <c r="T508" i="2"/>
  <c r="T151" i="2"/>
  <c r="Y576" i="2"/>
  <c r="Y155" i="2"/>
  <c r="W167" i="2"/>
  <c r="Z167" i="2"/>
  <c r="U7" i="2"/>
  <c r="V10" i="2"/>
  <c r="U11" i="2"/>
  <c r="W21" i="2"/>
  <c r="V22" i="2"/>
  <c r="W32" i="2"/>
  <c r="U34" i="2"/>
  <c r="G544" i="2"/>
  <c r="I64" i="2"/>
  <c r="AY544" i="2"/>
  <c r="O64" i="2"/>
  <c r="AZ548" i="2"/>
  <c r="S71" i="2"/>
  <c r="P71" i="2"/>
  <c r="P550" i="2"/>
  <c r="Y550" i="2" s="1"/>
  <c r="Y80" i="2"/>
  <c r="AB552" i="2"/>
  <c r="P81" i="2"/>
  <c r="S81" i="2"/>
  <c r="BN554" i="2"/>
  <c r="U88" i="2"/>
  <c r="V577" i="2"/>
  <c r="BT577" i="2"/>
  <c r="W7" i="2"/>
  <c r="AP501" i="2"/>
  <c r="Y6" i="2"/>
  <c r="X7" i="2"/>
  <c r="AB8" i="2"/>
  <c r="AB3" i="2" s="1"/>
  <c r="AZ8" i="2"/>
  <c r="U14" i="2"/>
  <c r="Z15" i="2"/>
  <c r="U20" i="2"/>
  <c r="X23" i="2"/>
  <c r="E4" i="2"/>
  <c r="F34" i="3"/>
  <c r="Q4" i="2"/>
  <c r="G5" i="2"/>
  <c r="Q501" i="2"/>
  <c r="W5" i="2"/>
  <c r="J6" i="2"/>
  <c r="S507" i="2"/>
  <c r="Q8" i="2"/>
  <c r="Z8" i="2" s="1"/>
  <c r="I9" i="2"/>
  <c r="R9" i="2"/>
  <c r="J10" i="2"/>
  <c r="T511" i="2"/>
  <c r="I11" i="2"/>
  <c r="W13" i="2"/>
  <c r="V14" i="2"/>
  <c r="X525" i="2"/>
  <c r="U15" i="2"/>
  <c r="I17" i="2"/>
  <c r="Z527" i="2"/>
  <c r="W19" i="2"/>
  <c r="U21" i="2"/>
  <c r="I23" i="2"/>
  <c r="U27" i="2"/>
  <c r="J28" i="2"/>
  <c r="I29" i="2"/>
  <c r="I45" i="2"/>
  <c r="V48" i="2"/>
  <c r="X51" i="2"/>
  <c r="AY531" i="2"/>
  <c r="O53" i="2"/>
  <c r="O531" i="2" s="1"/>
  <c r="X531" i="2" s="1"/>
  <c r="O532" i="2"/>
  <c r="X532" i="2" s="1"/>
  <c r="X55" i="2"/>
  <c r="J55" i="2"/>
  <c r="U55" i="2"/>
  <c r="Z537" i="2"/>
  <c r="Z57" i="2"/>
  <c r="I58" i="2"/>
  <c r="P506" i="2"/>
  <c r="Y506" i="2" s="1"/>
  <c r="Y60" i="2"/>
  <c r="W506" i="2"/>
  <c r="BR506" i="2"/>
  <c r="I62" i="2"/>
  <c r="G543" i="2"/>
  <c r="J63" i="2"/>
  <c r="Z68" i="2"/>
  <c r="W68" i="2"/>
  <c r="Y69" i="2"/>
  <c r="J71" i="2"/>
  <c r="I71" i="2"/>
  <c r="W71" i="2"/>
  <c r="AP549" i="2"/>
  <c r="R72" i="2"/>
  <c r="R549" i="2" s="1"/>
  <c r="W553" i="2"/>
  <c r="BR553" i="2"/>
  <c r="X85" i="2"/>
  <c r="Q557" i="2"/>
  <c r="Z557" i="2" s="1"/>
  <c r="BO557" i="2"/>
  <c r="Z86" i="2"/>
  <c r="V562" i="2"/>
  <c r="BT562" i="2"/>
  <c r="U90" i="2"/>
  <c r="Z579" i="2"/>
  <c r="Z101" i="2"/>
  <c r="Z107" i="2"/>
  <c r="BO580" i="2"/>
  <c r="Q590" i="2"/>
  <c r="Z590" i="2" s="1"/>
  <c r="Z113" i="2"/>
  <c r="J118" i="2"/>
  <c r="S117" i="2"/>
  <c r="J121" i="2"/>
  <c r="I121" i="2"/>
  <c r="W130" i="2"/>
  <c r="P593" i="2"/>
  <c r="Y593" i="2" s="1"/>
  <c r="Y135" i="2"/>
  <c r="I151" i="2"/>
  <c r="J157" i="2"/>
  <c r="G156" i="2"/>
  <c r="I157" i="2"/>
  <c r="W172" i="2"/>
  <c r="Z172" i="2"/>
  <c r="Y186" i="2"/>
  <c r="V186" i="2"/>
  <c r="BO511" i="2"/>
  <c r="U29" i="2"/>
  <c r="U39" i="2"/>
  <c r="BN591" i="2"/>
  <c r="AG500" i="2"/>
  <c r="AG499" i="2" s="1"/>
  <c r="P4" i="2"/>
  <c r="P501" i="2"/>
  <c r="V5" i="2"/>
  <c r="I6" i="2"/>
  <c r="I10" i="2"/>
  <c r="W12" i="2"/>
  <c r="V13" i="2"/>
  <c r="W18" i="2"/>
  <c r="Z21" i="2"/>
  <c r="AP4" i="2"/>
  <c r="R5" i="2"/>
  <c r="X5" i="2"/>
  <c r="U6" i="2"/>
  <c r="U4" i="2" s="1"/>
  <c r="J7" i="2"/>
  <c r="T507" i="2"/>
  <c r="Z7" i="2"/>
  <c r="U10" i="2"/>
  <c r="J11" i="2"/>
  <c r="Z11" i="2"/>
  <c r="I12" i="2"/>
  <c r="Y12" i="2"/>
  <c r="X13" i="2"/>
  <c r="W14" i="2"/>
  <c r="Y525" i="2"/>
  <c r="V15" i="2"/>
  <c r="U16" i="2"/>
  <c r="I18" i="2"/>
  <c r="Y18" i="2"/>
  <c r="G527" i="2"/>
  <c r="X19" i="2"/>
  <c r="U22" i="2"/>
  <c r="U28" i="2"/>
  <c r="J29" i="2"/>
  <c r="Z29" i="2"/>
  <c r="Z30" i="2"/>
  <c r="V32" i="2"/>
  <c r="J34" i="2"/>
  <c r="Z35" i="2"/>
  <c r="Z37" i="2"/>
  <c r="V41" i="2"/>
  <c r="V43" i="2"/>
  <c r="Z46" i="2"/>
  <c r="Q530" i="2"/>
  <c r="Z530" i="2" s="1"/>
  <c r="BO530" i="2"/>
  <c r="Z52" i="2"/>
  <c r="I53" i="2"/>
  <c r="V55" i="2"/>
  <c r="V58" i="2"/>
  <c r="Z59" i="2"/>
  <c r="J62" i="2"/>
  <c r="I63" i="2"/>
  <c r="X71" i="2"/>
  <c r="O74" i="2"/>
  <c r="O548" i="2" s="1"/>
  <c r="X548" i="2" s="1"/>
  <c r="V80" i="2"/>
  <c r="O81" i="2"/>
  <c r="J82" i="2"/>
  <c r="G559" i="2"/>
  <c r="J88" i="2"/>
  <c r="I88" i="2"/>
  <c r="Y89" i="2"/>
  <c r="P92" i="2"/>
  <c r="S92" i="2"/>
  <c r="W564" i="2"/>
  <c r="BR564" i="2"/>
  <c r="U575" i="2"/>
  <c r="J106" i="2"/>
  <c r="I106" i="2"/>
  <c r="G586" i="2"/>
  <c r="J112" i="2"/>
  <c r="I112" i="2"/>
  <c r="E116" i="2"/>
  <c r="K117" i="2"/>
  <c r="K116" i="2" s="1"/>
  <c r="J119" i="2"/>
  <c r="X126" i="2"/>
  <c r="U126" i="2"/>
  <c r="X147" i="2"/>
  <c r="U147" i="2"/>
  <c r="J165" i="2"/>
  <c r="I165" i="2"/>
  <c r="U38" i="2"/>
  <c r="U47" i="2"/>
  <c r="Z48" i="2"/>
  <c r="S531" i="2"/>
  <c r="X52" i="2"/>
  <c r="T532" i="2"/>
  <c r="Z55" i="2"/>
  <c r="Y56" i="2"/>
  <c r="X57" i="2"/>
  <c r="Z539" i="2"/>
  <c r="W58" i="2"/>
  <c r="U60" i="2"/>
  <c r="Z61" i="2"/>
  <c r="Y62" i="2"/>
  <c r="V63" i="2"/>
  <c r="R64" i="2"/>
  <c r="R544" i="2" s="1"/>
  <c r="Y65" i="2"/>
  <c r="X547" i="2"/>
  <c r="U66" i="2"/>
  <c r="Z67" i="2"/>
  <c r="T548" i="2"/>
  <c r="X70" i="2"/>
  <c r="T549" i="2"/>
  <c r="X73" i="2"/>
  <c r="X78" i="2"/>
  <c r="W79" i="2"/>
  <c r="U80" i="2"/>
  <c r="X84" i="2"/>
  <c r="Y85" i="2"/>
  <c r="X86" i="2"/>
  <c r="Z558" i="2"/>
  <c r="W87" i="2"/>
  <c r="V88" i="2"/>
  <c r="BO559" i="2"/>
  <c r="T562" i="2"/>
  <c r="X90" i="2"/>
  <c r="X93" i="2"/>
  <c r="Z94" i="2"/>
  <c r="BO573" i="2"/>
  <c r="U95" i="2"/>
  <c r="J96" i="2"/>
  <c r="Z96" i="2"/>
  <c r="S97" i="2"/>
  <c r="S575" i="2" s="1"/>
  <c r="Z98" i="2"/>
  <c r="W99" i="2"/>
  <c r="U104" i="2"/>
  <c r="Z105" i="2"/>
  <c r="Y106" i="2"/>
  <c r="X107" i="2"/>
  <c r="P580" i="2"/>
  <c r="Y580" i="2" s="1"/>
  <c r="V109" i="2"/>
  <c r="U110" i="2"/>
  <c r="Z111" i="2"/>
  <c r="Y112" i="2"/>
  <c r="G590" i="2"/>
  <c r="R590" i="2"/>
  <c r="AS117" i="2"/>
  <c r="AS116" i="2" s="1"/>
  <c r="AS3" i="2" s="1"/>
  <c r="AY117" i="2"/>
  <c r="AY116" i="2" s="1"/>
  <c r="AY3" i="2" s="1"/>
  <c r="O118" i="2"/>
  <c r="O501" i="2" s="1"/>
  <c r="AM500" i="2"/>
  <c r="AM499" i="2" s="1"/>
  <c r="BO117" i="2"/>
  <c r="U120" i="2"/>
  <c r="Y121" i="2"/>
  <c r="G587" i="2"/>
  <c r="R587" i="2"/>
  <c r="O584" i="2"/>
  <c r="X584" i="2" s="1"/>
  <c r="U125" i="2"/>
  <c r="Q589" i="2"/>
  <c r="Z589" i="2" s="1"/>
  <c r="Z129" i="2"/>
  <c r="W129" i="2"/>
  <c r="W132" i="2"/>
  <c r="U134" i="2"/>
  <c r="W135" i="2"/>
  <c r="W138" i="2"/>
  <c r="J141" i="2"/>
  <c r="O142" i="2"/>
  <c r="X142" i="2" s="1"/>
  <c r="Z523" i="2"/>
  <c r="P533" i="2"/>
  <c r="Y533" i="2" s="1"/>
  <c r="Y146" i="2"/>
  <c r="V146" i="2"/>
  <c r="BO568" i="2"/>
  <c r="Z570" i="2"/>
  <c r="Z150" i="2"/>
  <c r="W150" i="2"/>
  <c r="R151" i="2"/>
  <c r="X152" i="2"/>
  <c r="O508" i="2"/>
  <c r="X508" i="2" s="1"/>
  <c r="X154" i="2"/>
  <c r="U154" i="2"/>
  <c r="V161" i="2"/>
  <c r="U162" i="2"/>
  <c r="V163" i="2"/>
  <c r="BN160" i="2"/>
  <c r="W168" i="2"/>
  <c r="O169" i="2"/>
  <c r="X169" i="2" s="1"/>
  <c r="U170" i="2"/>
  <c r="U180" i="2"/>
  <c r="V188" i="2"/>
  <c r="E197" i="2"/>
  <c r="E196" i="2" s="1"/>
  <c r="G198" i="2"/>
  <c r="BN538" i="2"/>
  <c r="AX500" i="2"/>
  <c r="AX197" i="2"/>
  <c r="T223" i="2"/>
  <c r="Q223" i="2"/>
  <c r="W223" i="2" s="1"/>
  <c r="H196" i="2"/>
  <c r="H482" i="2" s="1"/>
  <c r="AH241" i="2"/>
  <c r="AH196" i="2" s="1"/>
  <c r="Q536" i="2"/>
  <c r="Z536" i="2" s="1"/>
  <c r="Z246" i="2"/>
  <c r="BO536" i="2"/>
  <c r="W246" i="2"/>
  <c r="W247" i="2"/>
  <c r="Z247" i="2"/>
  <c r="X272" i="2"/>
  <c r="U272" i="2"/>
  <c r="X281" i="2"/>
  <c r="U281" i="2"/>
  <c r="V83" i="2"/>
  <c r="W88" i="2"/>
  <c r="X562" i="2"/>
  <c r="U89" i="2"/>
  <c r="W91" i="2"/>
  <c r="BO565" i="2"/>
  <c r="V95" i="2"/>
  <c r="U96" i="2"/>
  <c r="U98" i="2"/>
  <c r="V100" i="2"/>
  <c r="W103" i="2"/>
  <c r="V104" i="2"/>
  <c r="U105" i="2"/>
  <c r="Q580" i="2"/>
  <c r="Z580" i="2" s="1"/>
  <c r="W109" i="2"/>
  <c r="V110" i="2"/>
  <c r="U111" i="2"/>
  <c r="S590" i="2"/>
  <c r="W115" i="2"/>
  <c r="V118" i="2"/>
  <c r="W119" i="2"/>
  <c r="V120" i="2"/>
  <c r="BO555" i="2"/>
  <c r="S587" i="2"/>
  <c r="W124" i="2"/>
  <c r="V125" i="2"/>
  <c r="BO584" i="2"/>
  <c r="V128" i="2"/>
  <c r="R589" i="2"/>
  <c r="U131" i="2"/>
  <c r="V134" i="2"/>
  <c r="U137" i="2"/>
  <c r="G502" i="2"/>
  <c r="I139" i="2"/>
  <c r="U141" i="2"/>
  <c r="W143" i="2"/>
  <c r="G523" i="2"/>
  <c r="U145" i="2"/>
  <c r="W146" i="2"/>
  <c r="V149" i="2"/>
  <c r="S151" i="2"/>
  <c r="U153" i="2"/>
  <c r="V154" i="2"/>
  <c r="W158" i="2"/>
  <c r="V162" i="2"/>
  <c r="W163" i="2"/>
  <c r="U164" i="2"/>
  <c r="Q169" i="2"/>
  <c r="Z169" i="2" s="1"/>
  <c r="V170" i="2"/>
  <c r="U171" i="2"/>
  <c r="J174" i="2"/>
  <c r="I174" i="2"/>
  <c r="U176" i="2"/>
  <c r="Z178" i="2"/>
  <c r="U182" i="2"/>
  <c r="U185" i="2"/>
  <c r="G571" i="2"/>
  <c r="J194" i="2"/>
  <c r="I194" i="2"/>
  <c r="P519" i="2"/>
  <c r="Y519" i="2" s="1"/>
  <c r="Y201" i="2"/>
  <c r="P197" i="2"/>
  <c r="J204" i="2"/>
  <c r="I204" i="2"/>
  <c r="V208" i="2"/>
  <c r="G560" i="2"/>
  <c r="J229" i="2"/>
  <c r="I229" i="2"/>
  <c r="Y252" i="2"/>
  <c r="V252" i="2"/>
  <c r="J259" i="2"/>
  <c r="I259" i="2"/>
  <c r="V271" i="2"/>
  <c r="Y271" i="2"/>
  <c r="Y275" i="2"/>
  <c r="V275" i="2"/>
  <c r="X319" i="2"/>
  <c r="U319" i="2"/>
  <c r="O302" i="2"/>
  <c r="X302" i="2" s="1"/>
  <c r="U106" i="2"/>
  <c r="V111" i="2"/>
  <c r="U112" i="2"/>
  <c r="AV500" i="2"/>
  <c r="W120" i="2"/>
  <c r="U121" i="2"/>
  <c r="W125" i="2"/>
  <c r="G589" i="2"/>
  <c r="J129" i="2"/>
  <c r="S589" i="2"/>
  <c r="V131" i="2"/>
  <c r="Q591" i="2"/>
  <c r="Z591" i="2" s="1"/>
  <c r="Z134" i="2"/>
  <c r="W134" i="2"/>
  <c r="G593" i="2"/>
  <c r="I135" i="2"/>
  <c r="V137" i="2"/>
  <c r="J150" i="2"/>
  <c r="BN151" i="2"/>
  <c r="V153" i="2"/>
  <c r="W154" i="2"/>
  <c r="W151" i="2" s="1"/>
  <c r="U157" i="2"/>
  <c r="Q160" i="2"/>
  <c r="Z160" i="2" s="1"/>
  <c r="U166" i="2"/>
  <c r="W170" i="2"/>
  <c r="V171" i="2"/>
  <c r="U174" i="2"/>
  <c r="V176" i="2"/>
  <c r="Z180" i="2"/>
  <c r="Z184" i="2"/>
  <c r="W221" i="2"/>
  <c r="K197" i="2"/>
  <c r="W561" i="2"/>
  <c r="BR561" i="2"/>
  <c r="O581" i="2"/>
  <c r="X581" i="2" s="1"/>
  <c r="X233" i="2"/>
  <c r="U233" i="2"/>
  <c r="AU253" i="2"/>
  <c r="AU241" i="2" s="1"/>
  <c r="P531" i="2"/>
  <c r="Y531" i="2" s="1"/>
  <c r="V51" i="2"/>
  <c r="BO531" i="2"/>
  <c r="U52" i="2"/>
  <c r="W55" i="2"/>
  <c r="U57" i="2"/>
  <c r="V62" i="2"/>
  <c r="V65" i="2"/>
  <c r="Q548" i="2"/>
  <c r="Z548" i="2" s="1"/>
  <c r="W69" i="2"/>
  <c r="U70" i="2"/>
  <c r="Q549" i="2"/>
  <c r="Z549" i="2" s="1"/>
  <c r="W72" i="2"/>
  <c r="BO549" i="2"/>
  <c r="U73" i="2"/>
  <c r="U78" i="2"/>
  <c r="U84" i="2"/>
  <c r="V85" i="2"/>
  <c r="U86" i="2"/>
  <c r="J87" i="2"/>
  <c r="G562" i="2"/>
  <c r="Q562" i="2"/>
  <c r="Z562" i="2" s="1"/>
  <c r="W89" i="2"/>
  <c r="J91" i="2"/>
  <c r="W94" i="2"/>
  <c r="W96" i="2"/>
  <c r="P97" i="2"/>
  <c r="X579" i="2"/>
  <c r="U101" i="2"/>
  <c r="I103" i="2"/>
  <c r="U107" i="2"/>
  <c r="I109" i="2"/>
  <c r="W111" i="2"/>
  <c r="V112" i="2"/>
  <c r="O590" i="2"/>
  <c r="X590" i="2" s="1"/>
  <c r="U113" i="2"/>
  <c r="I115" i="2"/>
  <c r="AV117" i="2"/>
  <c r="AV116" i="2" s="1"/>
  <c r="I118" i="2"/>
  <c r="I119" i="2"/>
  <c r="O587" i="2"/>
  <c r="X587" i="2" s="1"/>
  <c r="U122" i="2"/>
  <c r="I124" i="2"/>
  <c r="G584" i="2"/>
  <c r="R584" i="2"/>
  <c r="I126" i="2"/>
  <c r="I129" i="2"/>
  <c r="BN589" i="2"/>
  <c r="X130" i="2"/>
  <c r="U130" i="2"/>
  <c r="I132" i="2"/>
  <c r="Z132" i="2"/>
  <c r="J135" i="2"/>
  <c r="U136" i="2"/>
  <c r="Z138" i="2"/>
  <c r="X502" i="2"/>
  <c r="U139" i="2"/>
  <c r="I140" i="2"/>
  <c r="R142" i="2"/>
  <c r="J144" i="2"/>
  <c r="W145" i="2"/>
  <c r="G533" i="2"/>
  <c r="I146" i="2"/>
  <c r="Z146" i="2"/>
  <c r="I147" i="2"/>
  <c r="U148" i="2"/>
  <c r="I150" i="2"/>
  <c r="U152" i="2"/>
  <c r="Y154" i="2"/>
  <c r="J155" i="2"/>
  <c r="Q156" i="2"/>
  <c r="Z156" i="2" s="1"/>
  <c r="Z161" i="2"/>
  <c r="R169" i="2"/>
  <c r="Y170" i="2"/>
  <c r="U172" i="2"/>
  <c r="Z185" i="2"/>
  <c r="J188" i="2"/>
  <c r="I188" i="2"/>
  <c r="Z198" i="2"/>
  <c r="W198" i="2"/>
  <c r="Q197" i="2"/>
  <c r="X198" i="2"/>
  <c r="U198" i="2"/>
  <c r="X231" i="2"/>
  <c r="U231" i="2"/>
  <c r="V518" i="2"/>
  <c r="BT518" i="2"/>
  <c r="S264" i="2"/>
  <c r="AN263" i="2"/>
  <c r="AN241" i="2" s="1"/>
  <c r="AN196" i="2" s="1"/>
  <c r="AN3" i="2" s="1"/>
  <c r="P264" i="2"/>
  <c r="Z280" i="2"/>
  <c r="W280" i="2"/>
  <c r="Y290" i="2"/>
  <c r="V290" i="2"/>
  <c r="U36" i="2"/>
  <c r="U45" i="2"/>
  <c r="Q531" i="2"/>
  <c r="Z531" i="2" s="1"/>
  <c r="W51" i="2"/>
  <c r="V52" i="2"/>
  <c r="G532" i="2"/>
  <c r="R532" i="2"/>
  <c r="V57" i="2"/>
  <c r="X539" i="2"/>
  <c r="U58" i="2"/>
  <c r="I60" i="2"/>
  <c r="W62" i="2"/>
  <c r="V64" i="2"/>
  <c r="W65" i="2"/>
  <c r="I66" i="2"/>
  <c r="G548" i="2"/>
  <c r="P70" i="2"/>
  <c r="G549" i="2"/>
  <c r="S77" i="2"/>
  <c r="S549" i="2" s="1"/>
  <c r="AE500" i="2"/>
  <c r="I80" i="2"/>
  <c r="G552" i="2"/>
  <c r="Q552" i="2"/>
  <c r="Z552" i="2" s="1"/>
  <c r="W81" i="2"/>
  <c r="P84" i="2"/>
  <c r="W85" i="2"/>
  <c r="V86" i="2"/>
  <c r="X558" i="2"/>
  <c r="U87" i="2"/>
  <c r="Z88" i="2"/>
  <c r="I89" i="2"/>
  <c r="R562" i="2"/>
  <c r="X89" i="2"/>
  <c r="Z91" i="2"/>
  <c r="W92" i="2"/>
  <c r="I94" i="2"/>
  <c r="I95" i="2"/>
  <c r="Y95" i="2"/>
  <c r="X96" i="2"/>
  <c r="W97" i="2"/>
  <c r="BO575" i="2"/>
  <c r="Y579" i="2"/>
  <c r="V101" i="2"/>
  <c r="U102" i="2"/>
  <c r="U108" i="2"/>
  <c r="J109" i="2"/>
  <c r="T580" i="2"/>
  <c r="Z109" i="2"/>
  <c r="X111" i="2"/>
  <c r="W112" i="2"/>
  <c r="P590" i="2"/>
  <c r="Y590" i="2" s="1"/>
  <c r="V113" i="2"/>
  <c r="U114" i="2"/>
  <c r="G117" i="2"/>
  <c r="I120" i="2"/>
  <c r="Y120" i="2"/>
  <c r="P587" i="2"/>
  <c r="Y587" i="2" s="1"/>
  <c r="V122" i="2"/>
  <c r="U123" i="2"/>
  <c r="I125" i="2"/>
  <c r="S584" i="2"/>
  <c r="Y125" i="2"/>
  <c r="O589" i="2"/>
  <c r="X589" i="2" s="1"/>
  <c r="U129" i="2"/>
  <c r="G591" i="2"/>
  <c r="J134" i="2"/>
  <c r="Y134" i="2"/>
  <c r="U135" i="2"/>
  <c r="G138" i="2"/>
  <c r="Y502" i="2"/>
  <c r="Y139" i="2"/>
  <c r="V139" i="2"/>
  <c r="J140" i="2"/>
  <c r="G142" i="2"/>
  <c r="S142" i="2"/>
  <c r="Z143" i="2"/>
  <c r="J146" i="2"/>
  <c r="Y149" i="2"/>
  <c r="U150" i="2"/>
  <c r="Z154" i="2"/>
  <c r="U155" i="2"/>
  <c r="X157" i="2"/>
  <c r="Z158" i="2"/>
  <c r="O160" i="2"/>
  <c r="X160" i="2" s="1"/>
  <c r="I161" i="2"/>
  <c r="G160" i="2"/>
  <c r="S160" i="2"/>
  <c r="R162" i="2"/>
  <c r="Z164" i="2"/>
  <c r="Z166" i="2"/>
  <c r="U168" i="2"/>
  <c r="Z174" i="2"/>
  <c r="J177" i="2"/>
  <c r="J193" i="2"/>
  <c r="S193" i="2"/>
  <c r="S169" i="2" s="1"/>
  <c r="P193" i="2"/>
  <c r="AP196" i="2"/>
  <c r="V206" i="2"/>
  <c r="Y206" i="2"/>
  <c r="W235" i="2"/>
  <c r="Y273" i="2"/>
  <c r="V273" i="2"/>
  <c r="T279" i="2"/>
  <c r="Q279" i="2"/>
  <c r="P289" i="2"/>
  <c r="S289" i="2"/>
  <c r="S548" i="2" s="1"/>
  <c r="U128" i="2"/>
  <c r="T589" i="2"/>
  <c r="U133" i="2"/>
  <c r="X523" i="2"/>
  <c r="U144" i="2"/>
  <c r="V148" i="2"/>
  <c r="X568" i="2"/>
  <c r="U149" i="2"/>
  <c r="W155" i="2"/>
  <c r="U159" i="2"/>
  <c r="U161" i="2"/>
  <c r="U167" i="2"/>
  <c r="AV169" i="2"/>
  <c r="U175" i="2"/>
  <c r="Z176" i="2"/>
  <c r="Y177" i="2"/>
  <c r="X178" i="2"/>
  <c r="U181" i="2"/>
  <c r="Z182" i="2"/>
  <c r="Y183" i="2"/>
  <c r="X184" i="2"/>
  <c r="U186" i="2"/>
  <c r="Z187" i="2"/>
  <c r="W188" i="2"/>
  <c r="U189" i="2"/>
  <c r="Z190" i="2"/>
  <c r="Y192" i="2"/>
  <c r="Y194" i="2"/>
  <c r="U195" i="2"/>
  <c r="N197" i="2"/>
  <c r="AU197" i="2"/>
  <c r="R198" i="2"/>
  <c r="R199" i="2"/>
  <c r="R511" i="2" s="1"/>
  <c r="X201" i="2"/>
  <c r="X202" i="2"/>
  <c r="U202" i="2"/>
  <c r="U207" i="2"/>
  <c r="W208" i="2"/>
  <c r="V210" i="2"/>
  <c r="X213" i="2"/>
  <c r="X216" i="2"/>
  <c r="G538" i="2"/>
  <c r="I218" i="2"/>
  <c r="O220" i="2"/>
  <c r="J220" i="2" s="1"/>
  <c r="V222" i="2"/>
  <c r="J224" i="2"/>
  <c r="I224" i="2"/>
  <c r="X226" i="2"/>
  <c r="J226" i="2"/>
  <c r="U226" i="2"/>
  <c r="Z228" i="2"/>
  <c r="P561" i="2"/>
  <c r="Y561" i="2" s="1"/>
  <c r="Y230" i="2"/>
  <c r="Z230" i="2"/>
  <c r="W232" i="2"/>
  <c r="V233" i="2"/>
  <c r="W237" i="2"/>
  <c r="I239" i="2"/>
  <c r="S242" i="2"/>
  <c r="BR517" i="2"/>
  <c r="J251" i="2"/>
  <c r="I251" i="2"/>
  <c r="V255" i="2"/>
  <c r="X256" i="2"/>
  <c r="T256" i="2"/>
  <c r="Q256" i="2"/>
  <c r="AX253" i="2"/>
  <c r="S270" i="2"/>
  <c r="AH263" i="2"/>
  <c r="P270" i="2"/>
  <c r="I301" i="2"/>
  <c r="J301" i="2"/>
  <c r="G541" i="2"/>
  <c r="I303" i="2"/>
  <c r="G302" i="2"/>
  <c r="J303" i="2"/>
  <c r="Z309" i="2"/>
  <c r="J311" i="2"/>
  <c r="I311" i="2"/>
  <c r="Z316" i="2"/>
  <c r="W316" i="2"/>
  <c r="Z317" i="2"/>
  <c r="S320" i="2"/>
  <c r="P320" i="2"/>
  <c r="T321" i="2"/>
  <c r="BN328" i="2"/>
  <c r="U187" i="2"/>
  <c r="V189" i="2"/>
  <c r="U190" i="2"/>
  <c r="W193" i="2"/>
  <c r="V195" i="2"/>
  <c r="U204" i="2"/>
  <c r="R206" i="2"/>
  <c r="X535" i="2"/>
  <c r="X211" i="2"/>
  <c r="J211" i="2"/>
  <c r="U211" i="2"/>
  <c r="U224" i="2"/>
  <c r="V226" i="2"/>
  <c r="V560" i="2"/>
  <c r="BT560" i="2"/>
  <c r="Z231" i="2"/>
  <c r="BT236" i="2"/>
  <c r="V236" i="2"/>
  <c r="J238" i="2"/>
  <c r="G236" i="2"/>
  <c r="W255" i="2"/>
  <c r="U262" i="2"/>
  <c r="J263" i="2"/>
  <c r="I263" i="2"/>
  <c r="X264" i="2"/>
  <c r="O263" i="2"/>
  <c r="X263" i="2" s="1"/>
  <c r="V269" i="2"/>
  <c r="X270" i="2"/>
  <c r="T276" i="2"/>
  <c r="Q276" i="2"/>
  <c r="AX263" i="2"/>
  <c r="BA263" i="2"/>
  <c r="T280" i="2"/>
  <c r="X285" i="2"/>
  <c r="U285" i="2"/>
  <c r="T288" i="2"/>
  <c r="Q288" i="2"/>
  <c r="AX552" i="2"/>
  <c r="Q293" i="2"/>
  <c r="T293" i="2"/>
  <c r="T552" i="2" s="1"/>
  <c r="Y312" i="2"/>
  <c r="V312" i="2"/>
  <c r="U183" i="2"/>
  <c r="W189" i="2"/>
  <c r="P190" i="2"/>
  <c r="U194" i="2"/>
  <c r="J199" i="2"/>
  <c r="G519" i="2"/>
  <c r="I201" i="2"/>
  <c r="BN519" i="2"/>
  <c r="Z521" i="2"/>
  <c r="V211" i="2"/>
  <c r="U214" i="2"/>
  <c r="U217" i="2"/>
  <c r="U218" i="2"/>
  <c r="Z220" i="2"/>
  <c r="W225" i="2"/>
  <c r="AS561" i="2"/>
  <c r="R230" i="2"/>
  <c r="R561" i="2" s="1"/>
  <c r="O230" i="2"/>
  <c r="U230" i="2" s="1"/>
  <c r="Z232" i="2"/>
  <c r="Z237" i="2"/>
  <c r="I238" i="2"/>
  <c r="Y503" i="2"/>
  <c r="Y239" i="2"/>
  <c r="AK241" i="2"/>
  <c r="AK196" i="2" s="1"/>
  <c r="AK3" i="2" s="1"/>
  <c r="BC241" i="2"/>
  <c r="BC196" i="2" s="1"/>
  <c r="BC3" i="2" s="1"/>
  <c r="BC499" i="2" s="1"/>
  <c r="BI241" i="2"/>
  <c r="BI196" i="2" s="1"/>
  <c r="BI3" i="2" s="1"/>
  <c r="BI499" i="2" s="1"/>
  <c r="U243" i="2"/>
  <c r="G536" i="2"/>
  <c r="J246" i="2"/>
  <c r="I246" i="2"/>
  <c r="X248" i="2"/>
  <c r="J248" i="2"/>
  <c r="U248" i="2"/>
  <c r="S273" i="2"/>
  <c r="AZ263" i="2"/>
  <c r="AZ241" i="2" s="1"/>
  <c r="AZ196" i="2" s="1"/>
  <c r="J280" i="2"/>
  <c r="I280" i="2"/>
  <c r="W282" i="2"/>
  <c r="Z297" i="2"/>
  <c r="W297" i="2"/>
  <c r="O582" i="2"/>
  <c r="X582" i="2" s="1"/>
  <c r="X298" i="2"/>
  <c r="U298" i="2"/>
  <c r="AK541" i="2"/>
  <c r="AK500" i="2" s="1"/>
  <c r="AK302" i="2"/>
  <c r="P303" i="2"/>
  <c r="Y313" i="2"/>
  <c r="V313" i="2"/>
  <c r="AO541" i="2"/>
  <c r="AO302" i="2"/>
  <c r="Q319" i="2"/>
  <c r="Q541" i="2" s="1"/>
  <c r="Z541" i="2" s="1"/>
  <c r="T319" i="2"/>
  <c r="T302" i="2" s="1"/>
  <c r="U178" i="2"/>
  <c r="U184" i="2"/>
  <c r="W190" i="2"/>
  <c r="I193" i="2"/>
  <c r="V194" i="2"/>
  <c r="G195" i="2"/>
  <c r="O199" i="2"/>
  <c r="J201" i="2"/>
  <c r="BO519" i="2"/>
  <c r="Z202" i="2"/>
  <c r="Z204" i="2"/>
  <c r="Z207" i="2"/>
  <c r="I209" i="2"/>
  <c r="Z210" i="2"/>
  <c r="Z535" i="2"/>
  <c r="Z211" i="2"/>
  <c r="W211" i="2"/>
  <c r="J223" i="2"/>
  <c r="I223" i="2"/>
  <c r="Z224" i="2"/>
  <c r="T236" i="2"/>
  <c r="Z503" i="2"/>
  <c r="BO236" i="2"/>
  <c r="Z240" i="2"/>
  <c r="AX241" i="2"/>
  <c r="X243" i="2"/>
  <c r="G518" i="2"/>
  <c r="J245" i="2"/>
  <c r="U246" i="2"/>
  <c r="J249" i="2"/>
  <c r="Q551" i="2"/>
  <c r="Z551" i="2" s="1"/>
  <c r="Z250" i="2"/>
  <c r="U252" i="2"/>
  <c r="K242" i="2"/>
  <c r="T255" i="2"/>
  <c r="AR253" i="2"/>
  <c r="AR241" i="2" s="1"/>
  <c r="AR196" i="2" s="1"/>
  <c r="AR3" i="2" s="1"/>
  <c r="Q255" i="2"/>
  <c r="R263" i="2"/>
  <c r="R241" i="2" s="1"/>
  <c r="X267" i="2"/>
  <c r="T267" i="2"/>
  <c r="AO263" i="2"/>
  <c r="Q267" i="2"/>
  <c r="Z515" i="2" s="1"/>
  <c r="Y283" i="2"/>
  <c r="V283" i="2"/>
  <c r="J292" i="2"/>
  <c r="I292" i="2"/>
  <c r="V308" i="2"/>
  <c r="Y308" i="2"/>
  <c r="AT541" i="2"/>
  <c r="AT500" i="2" s="1"/>
  <c r="P310" i="2"/>
  <c r="AT302" i="2"/>
  <c r="AT241" i="2" s="1"/>
  <c r="AT196" i="2" s="1"/>
  <c r="AT3" i="2" s="1"/>
  <c r="P314" i="2"/>
  <c r="AZ302" i="2"/>
  <c r="S314" i="2"/>
  <c r="Y327" i="2"/>
  <c r="V327" i="2"/>
  <c r="BT322" i="2" s="1"/>
  <c r="P322" i="2"/>
  <c r="U165" i="2"/>
  <c r="AZ169" i="2"/>
  <c r="AZ116" i="2" s="1"/>
  <c r="U173" i="2"/>
  <c r="U179" i="2"/>
  <c r="U188" i="2"/>
  <c r="I189" i="2"/>
  <c r="Y189" i="2"/>
  <c r="U191" i="2"/>
  <c r="W194" i="2"/>
  <c r="BK196" i="2"/>
  <c r="BA196" i="2"/>
  <c r="BA3" i="2" s="1"/>
  <c r="BG196" i="2"/>
  <c r="BG3" i="2" s="1"/>
  <c r="AV197" i="2"/>
  <c r="AV196" i="2" s="1"/>
  <c r="V199" i="2"/>
  <c r="U201" i="2"/>
  <c r="O206" i="2"/>
  <c r="X521" i="2" s="1"/>
  <c r="U208" i="2"/>
  <c r="G210" i="2"/>
  <c r="Y211" i="2"/>
  <c r="Z219" i="2"/>
  <c r="I220" i="2"/>
  <c r="G561" i="2"/>
  <c r="I230" i="2"/>
  <c r="V561" i="2"/>
  <c r="BT561" i="2"/>
  <c r="J231" i="2"/>
  <c r="I231" i="2"/>
  <c r="P236" i="2"/>
  <c r="Y236" i="2" s="1"/>
  <c r="AY500" i="2"/>
  <c r="R239" i="2"/>
  <c r="O239" i="2"/>
  <c r="U239" i="2" s="1"/>
  <c r="G242" i="2"/>
  <c r="P242" i="2"/>
  <c r="W242" i="2"/>
  <c r="Q517" i="2"/>
  <c r="Z517" i="2" s="1"/>
  <c r="Q242" i="2"/>
  <c r="Z244" i="2"/>
  <c r="I245" i="2"/>
  <c r="BR551" i="2"/>
  <c r="Z260" i="2"/>
  <c r="U264" i="2"/>
  <c r="S272" i="2"/>
  <c r="P272" i="2"/>
  <c r="J296" i="2"/>
  <c r="I296" i="2"/>
  <c r="BR582" i="2"/>
  <c r="R321" i="2"/>
  <c r="J325" i="2"/>
  <c r="I325" i="2"/>
  <c r="U200" i="2"/>
  <c r="U205" i="2"/>
  <c r="U210" i="2"/>
  <c r="Y218" i="2"/>
  <c r="X219" i="2"/>
  <c r="X221" i="2"/>
  <c r="U223" i="2"/>
  <c r="U225" i="2"/>
  <c r="Z226" i="2"/>
  <c r="Y227" i="2"/>
  <c r="X228" i="2"/>
  <c r="W229" i="2"/>
  <c r="U232" i="2"/>
  <c r="Z233" i="2"/>
  <c r="X235" i="2"/>
  <c r="X237" i="2"/>
  <c r="X240" i="2"/>
  <c r="Y243" i="2"/>
  <c r="X244" i="2"/>
  <c r="W245" i="2"/>
  <c r="V246" i="2"/>
  <c r="U247" i="2"/>
  <c r="Z248" i="2"/>
  <c r="Y249" i="2"/>
  <c r="X250" i="2"/>
  <c r="G253" i="2"/>
  <c r="N500" i="2"/>
  <c r="T254" i="2"/>
  <c r="Z258" i="2"/>
  <c r="Y259" i="2"/>
  <c r="X260" i="2"/>
  <c r="N263" i="2"/>
  <c r="N241" i="2" s="1"/>
  <c r="AR263" i="2"/>
  <c r="X265" i="2"/>
  <c r="Y266" i="2"/>
  <c r="Z271" i="2"/>
  <c r="Z274" i="2"/>
  <c r="W275" i="2"/>
  <c r="Z277" i="2"/>
  <c r="X280" i="2"/>
  <c r="V281" i="2"/>
  <c r="V282" i="2"/>
  <c r="Q284" i="2"/>
  <c r="W285" i="2"/>
  <c r="V286" i="2"/>
  <c r="T287" i="2"/>
  <c r="W290" i="2"/>
  <c r="S292" i="2"/>
  <c r="U294" i="2"/>
  <c r="AX511" i="2"/>
  <c r="T297" i="2"/>
  <c r="V299" i="2"/>
  <c r="U300" i="2"/>
  <c r="X307" i="2"/>
  <c r="T343" i="2"/>
  <c r="C6" i="3"/>
  <c r="I5" i="3"/>
  <c r="U254" i="2"/>
  <c r="U258" i="2"/>
  <c r="W262" i="2"/>
  <c r="W264" i="2"/>
  <c r="W270" i="2"/>
  <c r="U271" i="2"/>
  <c r="W272" i="2"/>
  <c r="U274" i="2"/>
  <c r="U277" i="2"/>
  <c r="U291" i="2"/>
  <c r="N552" i="2"/>
  <c r="W293" i="2"/>
  <c r="V294" i="2"/>
  <c r="V563" i="2"/>
  <c r="BT563" i="2"/>
  <c r="U296" i="2"/>
  <c r="Q582" i="2"/>
  <c r="Z582" i="2" s="1"/>
  <c r="BO582" i="2"/>
  <c r="U306" i="2"/>
  <c r="Z328" i="2"/>
  <c r="V334" i="2"/>
  <c r="U249" i="2"/>
  <c r="O253" i="2"/>
  <c r="V254" i="2"/>
  <c r="I256" i="2"/>
  <c r="U259" i="2"/>
  <c r="I261" i="2"/>
  <c r="U268" i="2"/>
  <c r="AZ500" i="2"/>
  <c r="I269" i="2"/>
  <c r="I273" i="2"/>
  <c r="I278" i="2"/>
  <c r="I283" i="2"/>
  <c r="Z285" i="2"/>
  <c r="Y546" i="2"/>
  <c r="Y287" i="2"/>
  <c r="W294" i="2"/>
  <c r="Z298" i="2"/>
  <c r="Z300" i="2"/>
  <c r="C7" i="3"/>
  <c r="I7" i="3"/>
  <c r="U305" i="2"/>
  <c r="V306" i="2"/>
  <c r="AZ541" i="2"/>
  <c r="P307" i="2"/>
  <c r="I308" i="2"/>
  <c r="X310" i="2"/>
  <c r="Z315" i="2"/>
  <c r="I316" i="2"/>
  <c r="J316" i="2"/>
  <c r="X318" i="2"/>
  <c r="I341" i="2"/>
  <c r="G340" i="2"/>
  <c r="Q566" i="2"/>
  <c r="Z566" i="2" s="1"/>
  <c r="Q340" i="2"/>
  <c r="Z340" i="2" s="1"/>
  <c r="BO566" i="2"/>
  <c r="Z342" i="2"/>
  <c r="W342" i="2"/>
  <c r="V218" i="2"/>
  <c r="U219" i="2"/>
  <c r="U221" i="2"/>
  <c r="U228" i="2"/>
  <c r="W233" i="2"/>
  <c r="U235" i="2"/>
  <c r="U237" i="2"/>
  <c r="U240" i="2"/>
  <c r="U244" i="2"/>
  <c r="U250" i="2"/>
  <c r="I252" i="2"/>
  <c r="Q254" i="2"/>
  <c r="Z502" i="2" s="1"/>
  <c r="U260" i="2"/>
  <c r="I262" i="2"/>
  <c r="I264" i="2"/>
  <c r="U265" i="2"/>
  <c r="I267" i="2"/>
  <c r="P268" i="2"/>
  <c r="I270" i="2"/>
  <c r="I272" i="2"/>
  <c r="I279" i="2"/>
  <c r="U280" i="2"/>
  <c r="I281" i="2"/>
  <c r="I282" i="2"/>
  <c r="Q287" i="2"/>
  <c r="X289" i="2"/>
  <c r="P292" i="2"/>
  <c r="Y295" i="2"/>
  <c r="Z296" i="2"/>
  <c r="Z303" i="2"/>
  <c r="V305" i="2"/>
  <c r="S307" i="2"/>
  <c r="U309" i="2"/>
  <c r="Z311" i="2"/>
  <c r="I312" i="2"/>
  <c r="J312" i="2"/>
  <c r="X314" i="2"/>
  <c r="U317" i="2"/>
  <c r="Z336" i="2"/>
  <c r="Q334" i="2"/>
  <c r="J341" i="2"/>
  <c r="T340" i="2"/>
  <c r="W201" i="2"/>
  <c r="Y521" i="2"/>
  <c r="V202" i="2"/>
  <c r="U203" i="2"/>
  <c r="U209" i="2"/>
  <c r="W218" i="2"/>
  <c r="U222" i="2"/>
  <c r="U229" i="2"/>
  <c r="U238" i="2"/>
  <c r="V244" i="2"/>
  <c r="U245" i="2"/>
  <c r="V250" i="2"/>
  <c r="U251" i="2"/>
  <c r="AI253" i="2"/>
  <c r="AO253" i="2"/>
  <c r="AO241" i="2" s="1"/>
  <c r="AO196" i="2" s="1"/>
  <c r="AO3" i="2" s="1"/>
  <c r="BA253" i="2"/>
  <c r="BA241" i="2" s="1"/>
  <c r="AR500" i="2"/>
  <c r="U261" i="2"/>
  <c r="T264" i="2"/>
  <c r="W268" i="2"/>
  <c r="AN500" i="2"/>
  <c r="U269" i="2"/>
  <c r="X271" i="2"/>
  <c r="Z272" i="2"/>
  <c r="U278" i="2"/>
  <c r="V280" i="2"/>
  <c r="J287" i="2"/>
  <c r="U290" i="2"/>
  <c r="Z291" i="2"/>
  <c r="R541" i="2"/>
  <c r="M541" i="2"/>
  <c r="M302" i="2"/>
  <c r="M241" i="2" s="1"/>
  <c r="M196" i="2" s="1"/>
  <c r="W305" i="2"/>
  <c r="V309" i="2"/>
  <c r="S310" i="2"/>
  <c r="V317" i="2"/>
  <c r="AX541" i="2"/>
  <c r="Q318" i="2"/>
  <c r="J319" i="2"/>
  <c r="S319" i="2"/>
  <c r="P319" i="2"/>
  <c r="I323" i="2"/>
  <c r="G322" i="2"/>
  <c r="BR334" i="2"/>
  <c r="W334" i="2"/>
  <c r="AK347" i="2"/>
  <c r="AQ541" i="2"/>
  <c r="W307" i="2"/>
  <c r="U308" i="2"/>
  <c r="U311" i="2"/>
  <c r="W314" i="2"/>
  <c r="U315" i="2"/>
  <c r="Z326" i="2"/>
  <c r="Z332" i="2"/>
  <c r="BN334" i="2"/>
  <c r="BT334" i="2"/>
  <c r="BO343" i="2"/>
  <c r="Z344" i="2"/>
  <c r="P343" i="2"/>
  <c r="Y343" i="2" s="1"/>
  <c r="Y345" i="2"/>
  <c r="U346" i="2"/>
  <c r="V349" i="2"/>
  <c r="U353" i="2"/>
  <c r="O353" i="2"/>
  <c r="AV349" i="2"/>
  <c r="AV348" i="2" s="1"/>
  <c r="AV347" i="2" s="1"/>
  <c r="J357" i="2"/>
  <c r="I357" i="2"/>
  <c r="U283" i="2"/>
  <c r="U287" i="2"/>
  <c r="W295" i="2"/>
  <c r="U301" i="2"/>
  <c r="AQ302" i="2"/>
  <c r="AQ241" i="2" s="1"/>
  <c r="AQ196" i="2" s="1"/>
  <c r="AQ3" i="2" s="1"/>
  <c r="O541" i="2"/>
  <c r="X541" i="2" s="1"/>
  <c r="U303" i="2"/>
  <c r="U312" i="2"/>
  <c r="U316" i="2"/>
  <c r="X334" i="2"/>
  <c r="O334" i="2"/>
  <c r="X336" i="2"/>
  <c r="U336" i="2"/>
  <c r="J339" i="2"/>
  <c r="R343" i="2"/>
  <c r="G343" i="2"/>
  <c r="AB347" i="2"/>
  <c r="S348" i="2"/>
  <c r="BL347" i="2"/>
  <c r="Z349" i="2"/>
  <c r="Q348" i="2"/>
  <c r="AJ347" i="2"/>
  <c r="AJ3" i="2" s="1"/>
  <c r="Z350" i="2"/>
  <c r="U354" i="2"/>
  <c r="Z346" i="2"/>
  <c r="BK348" i="2"/>
  <c r="Q322" i="2"/>
  <c r="Q321" i="2" s="1"/>
  <c r="BO522" i="2"/>
  <c r="Z324" i="2"/>
  <c r="U326" i="2"/>
  <c r="Y329" i="2"/>
  <c r="Y328" i="2" s="1"/>
  <c r="P328" i="2"/>
  <c r="X330" i="2"/>
  <c r="O328" i="2"/>
  <c r="U330" i="2"/>
  <c r="J333" i="2"/>
  <c r="I333" i="2"/>
  <c r="S334" i="2"/>
  <c r="S321" i="2" s="1"/>
  <c r="Q343" i="2"/>
  <c r="Z343" i="2" s="1"/>
  <c r="BN343" i="2"/>
  <c r="J345" i="2"/>
  <c r="I345" i="2"/>
  <c r="BT349" i="2"/>
  <c r="U282" i="2"/>
  <c r="U286" i="2"/>
  <c r="U295" i="2"/>
  <c r="V298" i="2"/>
  <c r="U299" i="2"/>
  <c r="S303" i="2"/>
  <c r="AW541" i="2"/>
  <c r="AW500" i="2" s="1"/>
  <c r="V322" i="2"/>
  <c r="O322" i="2"/>
  <c r="W326" i="2"/>
  <c r="Q328" i="2"/>
  <c r="BO328" i="2"/>
  <c r="I331" i="2"/>
  <c r="G328" i="2"/>
  <c r="V333" i="2"/>
  <c r="G334" i="2"/>
  <c r="J335" i="2"/>
  <c r="I335" i="2"/>
  <c r="J338" i="2"/>
  <c r="X338" i="2"/>
  <c r="U338" i="2"/>
  <c r="R340" i="2"/>
  <c r="S566" i="2"/>
  <c r="S340" i="2"/>
  <c r="V343" i="2"/>
  <c r="V345" i="2"/>
  <c r="AN347" i="2"/>
  <c r="BF347" i="2"/>
  <c r="BF3" i="2" s="1"/>
  <c r="BF499" i="2" s="1"/>
  <c r="F350" i="2"/>
  <c r="E348" i="2"/>
  <c r="T349" i="2"/>
  <c r="BM348" i="2"/>
  <c r="U350" i="2"/>
  <c r="W351" i="2"/>
  <c r="W349" i="2" s="1"/>
  <c r="P578" i="2"/>
  <c r="Y578" i="2" s="1"/>
  <c r="P349" i="2"/>
  <c r="Y352" i="2"/>
  <c r="U323" i="2"/>
  <c r="W329" i="2"/>
  <c r="U331" i="2"/>
  <c r="U339" i="2"/>
  <c r="U341" i="2"/>
  <c r="W352" i="2"/>
  <c r="U355" i="2"/>
  <c r="Z356" i="2"/>
  <c r="Y358" i="2"/>
  <c r="X359" i="2"/>
  <c r="W362" i="2"/>
  <c r="AE367" i="2"/>
  <c r="AE347" i="2" s="1"/>
  <c r="AE3" i="2" s="1"/>
  <c r="AK367" i="2"/>
  <c r="AV368" i="2"/>
  <c r="AV367" i="2" s="1"/>
  <c r="U373" i="2"/>
  <c r="I376" i="2"/>
  <c r="G379" i="2"/>
  <c r="U380" i="2"/>
  <c r="V381" i="2"/>
  <c r="I383" i="2"/>
  <c r="BN510" i="2"/>
  <c r="Z396" i="2"/>
  <c r="Z398" i="2"/>
  <c r="Q397" i="2"/>
  <c r="Z397" i="2" s="1"/>
  <c r="E512" i="2"/>
  <c r="G401" i="2"/>
  <c r="G512" i="2" s="1"/>
  <c r="E397" i="2"/>
  <c r="I405" i="2"/>
  <c r="J405" i="2"/>
  <c r="X421" i="2"/>
  <c r="U421" i="2"/>
  <c r="X320" i="2"/>
  <c r="BO322" i="2"/>
  <c r="U324" i="2"/>
  <c r="Z325" i="2"/>
  <c r="Z322" i="2" s="1"/>
  <c r="Z321" i="2" s="1"/>
  <c r="I326" i="2"/>
  <c r="Y326" i="2"/>
  <c r="Y322" i="2" s="1"/>
  <c r="Y321" i="2" s="1"/>
  <c r="X327" i="2"/>
  <c r="X322" i="2" s="1"/>
  <c r="X321" i="2" s="1"/>
  <c r="X329" i="2"/>
  <c r="X328" i="2" s="1"/>
  <c r="U332" i="2"/>
  <c r="Z333" i="2"/>
  <c r="Z335" i="2"/>
  <c r="Z334" i="2" s="1"/>
  <c r="I336" i="2"/>
  <c r="Y336" i="2"/>
  <c r="Y334" i="2" s="1"/>
  <c r="X337" i="2"/>
  <c r="V341" i="2"/>
  <c r="U342" i="2"/>
  <c r="U344" i="2"/>
  <c r="Z345" i="2"/>
  <c r="I346" i="2"/>
  <c r="Y346" i="2"/>
  <c r="Y350" i="2"/>
  <c r="X352" i="2"/>
  <c r="U356" i="2"/>
  <c r="Z358" i="2"/>
  <c r="I359" i="2"/>
  <c r="Y359" i="2"/>
  <c r="I360" i="2"/>
  <c r="Z360" i="2"/>
  <c r="X362" i="2"/>
  <c r="I364" i="2"/>
  <c r="J365" i="2"/>
  <c r="Z366" i="2"/>
  <c r="P368" i="2"/>
  <c r="R371" i="2"/>
  <c r="R368" i="2" s="1"/>
  <c r="R367" i="2" s="1"/>
  <c r="U372" i="2"/>
  <c r="V373" i="2"/>
  <c r="I375" i="2"/>
  <c r="O379" i="2"/>
  <c r="X379" i="2" s="1"/>
  <c r="Y380" i="2"/>
  <c r="P379" i="2"/>
  <c r="Y379" i="2" s="1"/>
  <c r="V380" i="2"/>
  <c r="J383" i="2"/>
  <c r="Z388" i="2"/>
  <c r="Y400" i="2"/>
  <c r="P397" i="2"/>
  <c r="Y397" i="2" s="1"/>
  <c r="U325" i="2"/>
  <c r="U333" i="2"/>
  <c r="U335" i="2"/>
  <c r="O340" i="2"/>
  <c r="X340" i="2" s="1"/>
  <c r="W341" i="2"/>
  <c r="V342" i="2"/>
  <c r="U345" i="2"/>
  <c r="I352" i="2"/>
  <c r="Z359" i="2"/>
  <c r="W361" i="2"/>
  <c r="Z362" i="2"/>
  <c r="U363" i="2"/>
  <c r="I365" i="2"/>
  <c r="Q368" i="2"/>
  <c r="Z369" i="2"/>
  <c r="V372" i="2"/>
  <c r="U378" i="2"/>
  <c r="S379" i="2"/>
  <c r="S367" i="2" s="1"/>
  <c r="Z380" i="2"/>
  <c r="Q379" i="2"/>
  <c r="Z379" i="2" s="1"/>
  <c r="W380" i="2"/>
  <c r="Z384" i="2"/>
  <c r="O385" i="2"/>
  <c r="U386" i="2"/>
  <c r="W389" i="2"/>
  <c r="G556" i="2"/>
  <c r="I395" i="2"/>
  <c r="J395" i="2"/>
  <c r="AS511" i="2"/>
  <c r="AS500" i="2" s="1"/>
  <c r="R400" i="2"/>
  <c r="R397" i="2" s="1"/>
  <c r="V358" i="2"/>
  <c r="U359" i="2"/>
  <c r="J369" i="2"/>
  <c r="W372" i="2"/>
  <c r="Z376" i="2"/>
  <c r="O377" i="2"/>
  <c r="V378" i="2"/>
  <c r="E507" i="2"/>
  <c r="E500" i="2" s="1"/>
  <c r="E379" i="2"/>
  <c r="E367" i="2" s="1"/>
  <c r="W391" i="2"/>
  <c r="U327" i="2"/>
  <c r="U329" i="2"/>
  <c r="U337" i="2"/>
  <c r="U352" i="2"/>
  <c r="BO357" i="2"/>
  <c r="J361" i="2"/>
  <c r="V366" i="2"/>
  <c r="G368" i="2"/>
  <c r="M367" i="2"/>
  <c r="M347" i="2" s="1"/>
  <c r="AW367" i="2"/>
  <c r="AW347" i="2" s="1"/>
  <c r="AW3" i="2" s="1"/>
  <c r="BC367" i="2"/>
  <c r="BC347" i="2" s="1"/>
  <c r="BI367" i="2"/>
  <c r="BI347" i="2" s="1"/>
  <c r="I369" i="2"/>
  <c r="T368" i="2"/>
  <c r="T367" i="2" s="1"/>
  <c r="O369" i="2"/>
  <c r="AP368" i="2"/>
  <c r="AP367" i="2" s="1"/>
  <c r="AP347" i="2" s="1"/>
  <c r="J370" i="2"/>
  <c r="U371" i="2"/>
  <c r="J374" i="2"/>
  <c r="W378" i="2"/>
  <c r="J380" i="2"/>
  <c r="J381" i="2"/>
  <c r="U382" i="2"/>
  <c r="G388" i="2"/>
  <c r="O510" i="2"/>
  <c r="X510" i="2" s="1"/>
  <c r="X390" i="2"/>
  <c r="U390" i="2"/>
  <c r="W396" i="2"/>
  <c r="W398" i="2"/>
  <c r="Z405" i="2"/>
  <c r="W405" i="2"/>
  <c r="V362" i="2"/>
  <c r="Z365" i="2"/>
  <c r="U369" i="2"/>
  <c r="X371" i="2"/>
  <c r="U374" i="2"/>
  <c r="U381" i="2"/>
  <c r="P510" i="2"/>
  <c r="Y510" i="2" s="1"/>
  <c r="Y390" i="2"/>
  <c r="V390" i="2"/>
  <c r="X399" i="2"/>
  <c r="U399" i="2"/>
  <c r="V386" i="2"/>
  <c r="U387" i="2"/>
  <c r="W390" i="2"/>
  <c r="V393" i="2"/>
  <c r="U394" i="2"/>
  <c r="I396" i="2"/>
  <c r="I398" i="2"/>
  <c r="V402" i="2"/>
  <c r="V403" i="2"/>
  <c r="X514" i="2"/>
  <c r="U404" i="2"/>
  <c r="Z422" i="2"/>
  <c r="V520" i="2"/>
  <c r="BT520" i="2"/>
  <c r="U430" i="2"/>
  <c r="J432" i="2"/>
  <c r="I432" i="2"/>
  <c r="U437" i="2"/>
  <c r="X462" i="2"/>
  <c r="U462" i="2"/>
  <c r="J466" i="2"/>
  <c r="I466" i="2"/>
  <c r="X468" i="2"/>
  <c r="U468" i="2"/>
  <c r="U364" i="2"/>
  <c r="U375" i="2"/>
  <c r="U383" i="2"/>
  <c r="I389" i="2"/>
  <c r="U395" i="2"/>
  <c r="AJ397" i="2"/>
  <c r="J398" i="2"/>
  <c r="I399" i="2"/>
  <c r="I400" i="2"/>
  <c r="Z400" i="2"/>
  <c r="U401" i="2"/>
  <c r="X402" i="2"/>
  <c r="W403" i="2"/>
  <c r="X404" i="2"/>
  <c r="J406" i="2"/>
  <c r="I406" i="2"/>
  <c r="U414" i="2"/>
  <c r="Z416" i="2"/>
  <c r="P520" i="2"/>
  <c r="Y520" i="2" s="1"/>
  <c r="Y429" i="2"/>
  <c r="W455" i="2"/>
  <c r="Z455" i="2"/>
  <c r="Y466" i="2"/>
  <c r="V466" i="2"/>
  <c r="W473" i="2"/>
  <c r="W504" i="2"/>
  <c r="BR504" i="2"/>
  <c r="U376" i="2"/>
  <c r="V383" i="2"/>
  <c r="U384" i="2"/>
  <c r="U388" i="2"/>
  <c r="X393" i="2"/>
  <c r="V395" i="2"/>
  <c r="U396" i="2"/>
  <c r="U398" i="2"/>
  <c r="X403" i="2"/>
  <c r="O406" i="2"/>
  <c r="J415" i="2"/>
  <c r="Z428" i="2"/>
  <c r="U447" i="2"/>
  <c r="J463" i="2"/>
  <c r="I463" i="2"/>
  <c r="P504" i="2"/>
  <c r="Y504" i="2" s="1"/>
  <c r="V475" i="2"/>
  <c r="Y475" i="2"/>
  <c r="P473" i="2"/>
  <c r="Y473" i="2" s="1"/>
  <c r="U360" i="2"/>
  <c r="U366" i="2"/>
  <c r="U370" i="2"/>
  <c r="W383" i="2"/>
  <c r="U389" i="2"/>
  <c r="J390" i="2"/>
  <c r="Z390" i="2"/>
  <c r="W395" i="2"/>
  <c r="O400" i="2"/>
  <c r="U400" i="2" s="1"/>
  <c r="G514" i="2"/>
  <c r="V406" i="2"/>
  <c r="O408" i="2"/>
  <c r="U412" i="2"/>
  <c r="U426" i="2"/>
  <c r="V427" i="2"/>
  <c r="W540" i="2"/>
  <c r="BR540" i="2"/>
  <c r="W460" i="2"/>
  <c r="Z460" i="2"/>
  <c r="M91" i="3"/>
  <c r="M34" i="3"/>
  <c r="G483" i="2"/>
  <c r="M488" i="2"/>
  <c r="R421" i="2"/>
  <c r="J423" i="2"/>
  <c r="I423" i="2"/>
  <c r="Y516" i="2"/>
  <c r="Y424" i="2"/>
  <c r="U425" i="2"/>
  <c r="Z433" i="2"/>
  <c r="J440" i="2"/>
  <c r="I440" i="2"/>
  <c r="W449" i="2"/>
  <c r="Z449" i="2"/>
  <c r="W453" i="2"/>
  <c r="Z453" i="2"/>
  <c r="BO550" i="2"/>
  <c r="W464" i="2"/>
  <c r="Z464" i="2"/>
  <c r="L93" i="3"/>
  <c r="L65" i="3"/>
  <c r="M500" i="2"/>
  <c r="U393" i="2"/>
  <c r="Z412" i="2"/>
  <c r="J417" i="2"/>
  <c r="I417" i="2"/>
  <c r="U459" i="2"/>
  <c r="X461" i="2"/>
  <c r="U461" i="2"/>
  <c r="Q588" i="2"/>
  <c r="Z588" i="2" s="1"/>
  <c r="BO588" i="2"/>
  <c r="W472" i="2"/>
  <c r="Z472" i="2"/>
  <c r="Y514" i="2"/>
  <c r="V404" i="2"/>
  <c r="U415" i="2"/>
  <c r="Z516" i="2"/>
  <c r="W424" i="2"/>
  <c r="X428" i="2"/>
  <c r="W429" i="2"/>
  <c r="U431" i="2"/>
  <c r="Y432" i="2"/>
  <c r="X433" i="2"/>
  <c r="Z434" i="2"/>
  <c r="Z435" i="2"/>
  <c r="U438" i="2"/>
  <c r="Z439" i="2"/>
  <c r="Y440" i="2"/>
  <c r="J441" i="2"/>
  <c r="Y441" i="2"/>
  <c r="U442" i="2"/>
  <c r="X448" i="2"/>
  <c r="X450" i="2"/>
  <c r="G453" i="2"/>
  <c r="X454" i="2"/>
  <c r="Q540" i="2"/>
  <c r="Z540" i="2" s="1"/>
  <c r="X456" i="2"/>
  <c r="R460" i="2"/>
  <c r="Y467" i="2"/>
  <c r="W468" i="2"/>
  <c r="Z469" i="2"/>
  <c r="Y470" i="2"/>
  <c r="Q504" i="2"/>
  <c r="Z504" i="2" s="1"/>
  <c r="Z475" i="2"/>
  <c r="J476" i="2"/>
  <c r="I476" i="2"/>
  <c r="O509" i="2"/>
  <c r="X509" i="2" s="1"/>
  <c r="X477" i="2"/>
  <c r="U477" i="2"/>
  <c r="Z514" i="2"/>
  <c r="W404" i="2"/>
  <c r="U405" i="2"/>
  <c r="Z406" i="2"/>
  <c r="X407" i="2"/>
  <c r="W408" i="2"/>
  <c r="Z409" i="2"/>
  <c r="Y412" i="2"/>
  <c r="X413" i="2"/>
  <c r="U416" i="2"/>
  <c r="Z417" i="2"/>
  <c r="W421" i="2"/>
  <c r="U422" i="2"/>
  <c r="Z423" i="2"/>
  <c r="G516" i="2"/>
  <c r="Y426" i="2"/>
  <c r="Z427" i="2"/>
  <c r="Y428" i="2"/>
  <c r="X429" i="2"/>
  <c r="Z432" i="2"/>
  <c r="Y433" i="2"/>
  <c r="X436" i="2"/>
  <c r="U439" i="2"/>
  <c r="Z440" i="2"/>
  <c r="Y534" i="2"/>
  <c r="R445" i="2"/>
  <c r="W451" i="2"/>
  <c r="U457" i="2"/>
  <c r="U466" i="2"/>
  <c r="J470" i="2"/>
  <c r="G588" i="2"/>
  <c r="I472" i="2"/>
  <c r="Q473" i="2"/>
  <c r="Z473" i="2" s="1"/>
  <c r="BO473" i="2"/>
  <c r="Z474" i="2"/>
  <c r="X512" i="2"/>
  <c r="X473" i="2"/>
  <c r="AC490" i="2"/>
  <c r="AC493" i="2" s="1"/>
  <c r="V477" i="2"/>
  <c r="U409" i="2"/>
  <c r="U427" i="2"/>
  <c r="U432" i="2"/>
  <c r="U440" i="2"/>
  <c r="Z534" i="2"/>
  <c r="V443" i="2"/>
  <c r="U444" i="2"/>
  <c r="G540" i="2"/>
  <c r="I456" i="2"/>
  <c r="V457" i="2"/>
  <c r="V463" i="2"/>
  <c r="J464" i="2"/>
  <c r="U471" i="2"/>
  <c r="U476" i="2"/>
  <c r="Y477" i="2"/>
  <c r="U428" i="2"/>
  <c r="U433" i="2"/>
  <c r="U460" i="2"/>
  <c r="U470" i="2"/>
  <c r="U472" i="2"/>
  <c r="AQ500" i="2"/>
  <c r="AJ500" i="2"/>
  <c r="W406" i="2"/>
  <c r="U407" i="2"/>
  <c r="U413" i="2"/>
  <c r="W417" i="2"/>
  <c r="W423" i="2"/>
  <c r="X516" i="2"/>
  <c r="U424" i="2"/>
  <c r="U429" i="2"/>
  <c r="U436" i="2"/>
  <c r="W441" i="2"/>
  <c r="G534" i="2"/>
  <c r="I442" i="2"/>
  <c r="O445" i="2"/>
  <c r="U456" i="2"/>
  <c r="I461" i="2"/>
  <c r="J468" i="2"/>
  <c r="V470" i="2"/>
  <c r="G473" i="2"/>
  <c r="J474" i="2"/>
  <c r="I477" i="2"/>
  <c r="I473" i="2" s="1"/>
  <c r="G509" i="2"/>
  <c r="J477" i="2"/>
  <c r="AD500" i="2"/>
  <c r="AD499" i="2" s="1"/>
  <c r="AB500" i="2"/>
  <c r="U474" i="2"/>
  <c r="L94" i="3"/>
  <c r="L66" i="3"/>
  <c r="L95" i="3"/>
  <c r="L67" i="3"/>
  <c r="BA500" i="2"/>
  <c r="BG500" i="2"/>
  <c r="BM500" i="2"/>
  <c r="V442" i="2"/>
  <c r="U443" i="2"/>
  <c r="W446" i="2"/>
  <c r="V450" i="2"/>
  <c r="U451" i="2"/>
  <c r="W454" i="2"/>
  <c r="V456" i="2"/>
  <c r="X542" i="2"/>
  <c r="W458" i="2"/>
  <c r="W461" i="2"/>
  <c r="V462" i="2"/>
  <c r="W466" i="2"/>
  <c r="W470" i="2"/>
  <c r="V472" i="2"/>
  <c r="V474" i="2"/>
  <c r="X504" i="2"/>
  <c r="U475" i="2"/>
  <c r="AC491" i="2"/>
  <c r="U478" i="2"/>
  <c r="H483" i="2"/>
  <c r="M489" i="2"/>
  <c r="AU500" i="2"/>
  <c r="AI500" i="2"/>
  <c r="AO500" i="2"/>
  <c r="Y442" i="2"/>
  <c r="U453" i="2"/>
  <c r="Y456" i="2"/>
  <c r="W457" i="2"/>
  <c r="U465" i="2"/>
  <c r="U469" i="2"/>
  <c r="Z470" i="2"/>
  <c r="Y472" i="2"/>
  <c r="X475" i="2"/>
  <c r="W477" i="2"/>
  <c r="U479" i="2"/>
  <c r="AW499" i="2" l="1"/>
  <c r="AJ499" i="2"/>
  <c r="AQ499" i="2"/>
  <c r="BA499" i="2"/>
  <c r="AE499" i="2"/>
  <c r="AR499" i="2"/>
  <c r="AY499" i="2"/>
  <c r="AB499" i="2"/>
  <c r="AO499" i="2"/>
  <c r="AN499" i="2"/>
  <c r="BG499" i="2"/>
  <c r="AK499" i="2"/>
  <c r="U561" i="2"/>
  <c r="S196" i="2"/>
  <c r="AS499" i="2"/>
  <c r="BP508" i="2"/>
  <c r="H487" i="2"/>
  <c r="J487" i="2" s="1"/>
  <c r="M3" i="2"/>
  <c r="M499" i="2" s="1"/>
  <c r="M484" i="2"/>
  <c r="G493" i="2" s="1"/>
  <c r="AT499" i="2"/>
  <c r="X501" i="2"/>
  <c r="BN349" i="2"/>
  <c r="AZ3" i="2"/>
  <c r="AZ499" i="2" s="1"/>
  <c r="C65" i="3"/>
  <c r="F63" i="3"/>
  <c r="W340" i="2"/>
  <c r="BU357" i="2"/>
  <c r="BQ357" i="2"/>
  <c r="V517" i="2"/>
  <c r="V242" i="2"/>
  <c r="AU196" i="2"/>
  <c r="AU3" i="2" s="1"/>
  <c r="AU499" i="2" s="1"/>
  <c r="T197" i="2"/>
  <c r="Z197" i="2"/>
  <c r="U151" i="2"/>
  <c r="U590" i="2"/>
  <c r="U557" i="2"/>
  <c r="BN581" i="2"/>
  <c r="U528" i="2"/>
  <c r="W526" i="2"/>
  <c r="BR526" i="2"/>
  <c r="W507" i="2"/>
  <c r="BR507" i="2"/>
  <c r="V505" i="2"/>
  <c r="BT505" i="2"/>
  <c r="BN565" i="2"/>
  <c r="V528" i="2"/>
  <c r="BT528" i="2"/>
  <c r="BN575" i="2"/>
  <c r="V519" i="2"/>
  <c r="BT151" i="2"/>
  <c r="W509" i="2"/>
  <c r="BR509" i="2"/>
  <c r="V588" i="2"/>
  <c r="BT588" i="2"/>
  <c r="U473" i="2"/>
  <c r="J473" i="2"/>
  <c r="U540" i="2"/>
  <c r="BO540" i="2"/>
  <c r="J388" i="2"/>
  <c r="I388" i="2"/>
  <c r="X369" i="2"/>
  <c r="O368" i="2"/>
  <c r="U578" i="2"/>
  <c r="V357" i="2"/>
  <c r="BT357" i="2"/>
  <c r="BT348" i="2" s="1"/>
  <c r="U343" i="2"/>
  <c r="BP510" i="2"/>
  <c r="BU510" i="2"/>
  <c r="BW510" i="2"/>
  <c r="U340" i="2"/>
  <c r="O397" i="2"/>
  <c r="X397" i="2" s="1"/>
  <c r="Y349" i="2"/>
  <c r="P348" i="2"/>
  <c r="E347" i="2"/>
  <c r="BT343" i="2"/>
  <c r="O321" i="2"/>
  <c r="BN563" i="2"/>
  <c r="Z348" i="2"/>
  <c r="X353" i="2"/>
  <c r="O349" i="2"/>
  <c r="W318" i="2"/>
  <c r="Z318" i="2"/>
  <c r="T253" i="2"/>
  <c r="AI241" i="2"/>
  <c r="AI196" i="2" s="1"/>
  <c r="Q263" i="2"/>
  <c r="Z263" i="2" s="1"/>
  <c r="U551" i="2"/>
  <c r="W581" i="2"/>
  <c r="BR581" i="2"/>
  <c r="W566" i="2"/>
  <c r="BR566" i="2"/>
  <c r="BN541" i="2"/>
  <c r="W518" i="2"/>
  <c r="BR518" i="2"/>
  <c r="T541" i="2"/>
  <c r="I210" i="2"/>
  <c r="J210" i="2"/>
  <c r="V197" i="2"/>
  <c r="W571" i="2"/>
  <c r="BR571" i="2"/>
  <c r="BU236" i="2"/>
  <c r="BW236" i="2"/>
  <c r="U582" i="2"/>
  <c r="V190" i="2"/>
  <c r="Y190" i="2"/>
  <c r="Z276" i="2"/>
  <c r="W276" i="2"/>
  <c r="Y320" i="2"/>
  <c r="V320" i="2"/>
  <c r="Y270" i="2"/>
  <c r="V270" i="2"/>
  <c r="V581" i="2"/>
  <c r="BT581" i="2"/>
  <c r="N196" i="2"/>
  <c r="U569" i="2"/>
  <c r="BW151" i="2"/>
  <c r="BU151" i="2"/>
  <c r="BP151" i="2"/>
  <c r="W586" i="2"/>
  <c r="BR586" i="2"/>
  <c r="W575" i="2"/>
  <c r="BR575" i="2"/>
  <c r="W554" i="2"/>
  <c r="BR554" i="2"/>
  <c r="V70" i="2"/>
  <c r="Y70" i="2"/>
  <c r="V530" i="2"/>
  <c r="BT530" i="2"/>
  <c r="W197" i="2"/>
  <c r="BN587" i="2"/>
  <c r="W562" i="2"/>
  <c r="BR562" i="2"/>
  <c r="V554" i="2"/>
  <c r="BT554" i="2"/>
  <c r="BN530" i="2"/>
  <c r="K196" i="2"/>
  <c r="W584" i="2"/>
  <c r="BR584" i="2"/>
  <c r="V585" i="2"/>
  <c r="BT585" i="2"/>
  <c r="V169" i="2"/>
  <c r="W156" i="2"/>
  <c r="W142" i="2"/>
  <c r="U574" i="2"/>
  <c r="BN562" i="2"/>
  <c r="BU242" i="2"/>
  <c r="BW242" i="2"/>
  <c r="I198" i="2"/>
  <c r="J198" i="2"/>
  <c r="G197" i="2"/>
  <c r="U169" i="2"/>
  <c r="U555" i="2"/>
  <c r="V580" i="2"/>
  <c r="BT580" i="2"/>
  <c r="BN553" i="2"/>
  <c r="V543" i="2"/>
  <c r="BT543" i="2"/>
  <c r="V550" i="2"/>
  <c r="BT550" i="2"/>
  <c r="R501" i="2"/>
  <c r="R500" i="2" s="1"/>
  <c r="V501" i="2"/>
  <c r="V4" i="2"/>
  <c r="BN4" i="2"/>
  <c r="BN522" i="2"/>
  <c r="P8" i="2"/>
  <c r="Y8" i="2" s="1"/>
  <c r="S552" i="2"/>
  <c r="S8" i="2"/>
  <c r="O544" i="2"/>
  <c r="X544" i="2" s="1"/>
  <c r="X64" i="2"/>
  <c r="Z543" i="2"/>
  <c r="Y570" i="2"/>
  <c r="U580" i="2"/>
  <c r="J74" i="2"/>
  <c r="W512" i="2"/>
  <c r="BR512" i="2"/>
  <c r="BN501" i="2"/>
  <c r="X9" i="2"/>
  <c r="O8" i="2"/>
  <c r="V151" i="2"/>
  <c r="BT589" i="2"/>
  <c r="P367" i="2"/>
  <c r="Y367" i="2" s="1"/>
  <c r="Y368" i="2"/>
  <c r="J343" i="2"/>
  <c r="I343" i="2"/>
  <c r="V567" i="2"/>
  <c r="BT567" i="2"/>
  <c r="U584" i="2"/>
  <c r="O552" i="2"/>
  <c r="X552" i="2" s="1"/>
  <c r="J81" i="2"/>
  <c r="X81" i="2"/>
  <c r="U81" i="2"/>
  <c r="V510" i="2"/>
  <c r="BT510" i="2"/>
  <c r="F13" i="3"/>
  <c r="G367" i="2"/>
  <c r="J368" i="2"/>
  <c r="I368" i="2"/>
  <c r="U334" i="2"/>
  <c r="BN566" i="2"/>
  <c r="F503" i="2"/>
  <c r="F349" i="2"/>
  <c r="F348" i="2" s="1"/>
  <c r="F347" i="2" s="1"/>
  <c r="G350" i="2"/>
  <c r="J328" i="2"/>
  <c r="I328" i="2"/>
  <c r="U563" i="2"/>
  <c r="BR357" i="2"/>
  <c r="BO334" i="2"/>
  <c r="BO321" i="2" s="1"/>
  <c r="I322" i="2"/>
  <c r="G321" i="2"/>
  <c r="J322" i="2"/>
  <c r="T263" i="2"/>
  <c r="W538" i="2"/>
  <c r="BR538" i="2"/>
  <c r="Y292" i="2"/>
  <c r="V292" i="2"/>
  <c r="V268" i="2"/>
  <c r="Y268" i="2"/>
  <c r="BN517" i="2"/>
  <c r="U253" i="2"/>
  <c r="Z284" i="2"/>
  <c r="W284" i="2"/>
  <c r="Y242" i="2"/>
  <c r="J230" i="2"/>
  <c r="X242" i="2"/>
  <c r="K241" i="2"/>
  <c r="U536" i="2"/>
  <c r="U199" i="2"/>
  <c r="X199" i="2"/>
  <c r="BN582" i="2"/>
  <c r="W569" i="2"/>
  <c r="BR569" i="2"/>
  <c r="V328" i="2"/>
  <c r="V321" i="2" s="1"/>
  <c r="J302" i="2"/>
  <c r="I302" i="2"/>
  <c r="Y193" i="2"/>
  <c r="V193" i="2"/>
  <c r="BN169" i="2"/>
  <c r="W531" i="2"/>
  <c r="BR531" i="2"/>
  <c r="Y264" i="2"/>
  <c r="P263" i="2"/>
  <c r="Y263" i="2" s="1"/>
  <c r="V264" i="2"/>
  <c r="O197" i="2"/>
  <c r="U587" i="2"/>
  <c r="V586" i="2"/>
  <c r="BT586" i="2"/>
  <c r="U553" i="2"/>
  <c r="W549" i="2"/>
  <c r="BR549" i="2"/>
  <c r="U530" i="2"/>
  <c r="U156" i="2"/>
  <c r="P169" i="2"/>
  <c r="Y169" i="2" s="1"/>
  <c r="BN156" i="2"/>
  <c r="V568" i="2"/>
  <c r="BT568" i="2"/>
  <c r="BN585" i="2"/>
  <c r="V564" i="2"/>
  <c r="BT564" i="2"/>
  <c r="U562" i="2"/>
  <c r="W536" i="2"/>
  <c r="BR536" i="2"/>
  <c r="BP538" i="2"/>
  <c r="BT160" i="2"/>
  <c r="V160" i="2"/>
  <c r="W589" i="2"/>
  <c r="BR589" i="2"/>
  <c r="W160" i="2"/>
  <c r="V532" i="2"/>
  <c r="BT532" i="2"/>
  <c r="AP3" i="2"/>
  <c r="Y501" i="2"/>
  <c r="BN508" i="2"/>
  <c r="U532" i="2"/>
  <c r="J53" i="2"/>
  <c r="R8" i="2"/>
  <c r="R486" i="2" s="1"/>
  <c r="G486" i="2" s="1"/>
  <c r="W501" i="2"/>
  <c r="W4" i="2"/>
  <c r="E482" i="2"/>
  <c r="E3" i="2"/>
  <c r="E499" i="2" s="1"/>
  <c r="U522" i="2"/>
  <c r="P552" i="2"/>
  <c r="Y552" i="2" s="1"/>
  <c r="V81" i="2"/>
  <c r="Y81" i="2"/>
  <c r="U512" i="2"/>
  <c r="BO587" i="2"/>
  <c r="BT548" i="2"/>
  <c r="BO151" i="2"/>
  <c r="U142" i="2"/>
  <c r="V574" i="2"/>
  <c r="BT574" i="2"/>
  <c r="BO507" i="2"/>
  <c r="U533" i="2"/>
  <c r="V589" i="2"/>
  <c r="U556" i="2"/>
  <c r="W510" i="2"/>
  <c r="BR510" i="2"/>
  <c r="U368" i="2"/>
  <c r="U367" i="2" s="1"/>
  <c r="BN578" i="2"/>
  <c r="V582" i="2"/>
  <c r="BT582" i="2"/>
  <c r="BN571" i="2"/>
  <c r="W545" i="2"/>
  <c r="BR545" i="2"/>
  <c r="W548" i="2"/>
  <c r="BR548" i="2"/>
  <c r="W532" i="2"/>
  <c r="BR532" i="2"/>
  <c r="W591" i="2"/>
  <c r="BR591" i="2"/>
  <c r="V591" i="2"/>
  <c r="BT591" i="2"/>
  <c r="V559" i="2"/>
  <c r="BT559" i="2"/>
  <c r="U550" i="2"/>
  <c r="BP591" i="2"/>
  <c r="BW591" i="2"/>
  <c r="BU591" i="2"/>
  <c r="V522" i="2"/>
  <c r="BT522" i="2"/>
  <c r="Y71" i="2"/>
  <c r="V71" i="2"/>
  <c r="Q116" i="2"/>
  <c r="Z116" i="2" s="1"/>
  <c r="Z117" i="2"/>
  <c r="V540" i="2"/>
  <c r="BT540" i="2"/>
  <c r="BN504" i="2"/>
  <c r="U445" i="2"/>
  <c r="X445" i="2"/>
  <c r="BN520" i="2"/>
  <c r="U509" i="2"/>
  <c r="X534" i="2"/>
  <c r="W588" i="2"/>
  <c r="BR588" i="2"/>
  <c r="BR473" i="2"/>
  <c r="U510" i="2"/>
  <c r="BN379" i="2"/>
  <c r="BR368" i="2"/>
  <c r="W368" i="2"/>
  <c r="W367" i="2" s="1"/>
  <c r="W379" i="2"/>
  <c r="V368" i="2"/>
  <c r="V367" i="2" s="1"/>
  <c r="V379" i="2"/>
  <c r="U566" i="2"/>
  <c r="S347" i="2"/>
  <c r="U541" i="2"/>
  <c r="U302" i="2"/>
  <c r="W563" i="2"/>
  <c r="BR563" i="2"/>
  <c r="W357" i="2"/>
  <c r="W348" i="2" s="1"/>
  <c r="W347" i="2" s="1"/>
  <c r="V551" i="2"/>
  <c r="BT551" i="2"/>
  <c r="W519" i="2"/>
  <c r="BR519" i="2"/>
  <c r="Q302" i="2"/>
  <c r="Z302" i="2" s="1"/>
  <c r="U517" i="2"/>
  <c r="BN253" i="2"/>
  <c r="W302" i="2"/>
  <c r="Y272" i="2"/>
  <c r="V272" i="2"/>
  <c r="Z242" i="2"/>
  <c r="Q241" i="2"/>
  <c r="Z241" i="2" s="1"/>
  <c r="F10" i="3"/>
  <c r="I4" i="3"/>
  <c r="I242" i="2"/>
  <c r="G241" i="2"/>
  <c r="J242" i="2"/>
  <c r="X206" i="2"/>
  <c r="U206" i="2"/>
  <c r="V314" i="2"/>
  <c r="Y314" i="2"/>
  <c r="Z267" i="2"/>
  <c r="W267" i="2"/>
  <c r="I195" i="2"/>
  <c r="J195" i="2"/>
  <c r="G169" i="2"/>
  <c r="R197" i="2"/>
  <c r="F9" i="3"/>
  <c r="I236" i="2"/>
  <c r="BT328" i="2"/>
  <c r="BT321" i="2" s="1"/>
  <c r="U160" i="2"/>
  <c r="BN568" i="2"/>
  <c r="V289" i="2"/>
  <c r="Y289" i="2"/>
  <c r="BO160" i="2"/>
  <c r="J117" i="2"/>
  <c r="I117" i="2"/>
  <c r="G116" i="2"/>
  <c r="C36" i="3" s="1"/>
  <c r="V544" i="2"/>
  <c r="BT544" i="2"/>
  <c r="BR568" i="2"/>
  <c r="AV3" i="2"/>
  <c r="AV499" i="2" s="1"/>
  <c r="W585" i="2"/>
  <c r="BR585" i="2"/>
  <c r="W573" i="2"/>
  <c r="BR573" i="2"/>
  <c r="W508" i="2"/>
  <c r="W568" i="2"/>
  <c r="W555" i="2"/>
  <c r="BR555" i="2"/>
  <c r="W533" i="2"/>
  <c r="BR533" i="2"/>
  <c r="V555" i="2"/>
  <c r="BT555" i="2"/>
  <c r="U585" i="2"/>
  <c r="Z223" i="2"/>
  <c r="BO508" i="2"/>
  <c r="V142" i="2"/>
  <c r="BN564" i="2"/>
  <c r="BR160" i="2"/>
  <c r="U74" i="2"/>
  <c r="X74" i="2"/>
  <c r="BN505" i="2"/>
  <c r="L484" i="2"/>
  <c r="Y4" i="2"/>
  <c r="BO590" i="2"/>
  <c r="Z501" i="2"/>
  <c r="V511" i="2"/>
  <c r="BT511" i="2"/>
  <c r="P548" i="2"/>
  <c r="Y548" i="2" s="1"/>
  <c r="BQ565" i="2"/>
  <c r="Y117" i="2"/>
  <c r="P116" i="2"/>
  <c r="Y116" i="2" s="1"/>
  <c r="O573" i="2"/>
  <c r="X94" i="2"/>
  <c r="U94" i="2"/>
  <c r="J94" i="2"/>
  <c r="P565" i="2"/>
  <c r="Y565" i="2" s="1"/>
  <c r="Y91" i="2"/>
  <c r="V91" i="2"/>
  <c r="U544" i="2"/>
  <c r="W117" i="2"/>
  <c r="W116" i="2" s="1"/>
  <c r="Y77" i="2"/>
  <c r="V77" i="2"/>
  <c r="W544" i="2"/>
  <c r="BR544" i="2"/>
  <c r="BO512" i="2"/>
  <c r="V507" i="2"/>
  <c r="BT507" i="2"/>
  <c r="R160" i="2"/>
  <c r="R116" i="2" s="1"/>
  <c r="BO8" i="2"/>
  <c r="BP532" i="2"/>
  <c r="BW532" i="2"/>
  <c r="BU532" i="2"/>
  <c r="BN588" i="2"/>
  <c r="Z368" i="2"/>
  <c r="Q367" i="2"/>
  <c r="Z367" i="2" s="1"/>
  <c r="J379" i="2"/>
  <c r="I379" i="2"/>
  <c r="U322" i="2"/>
  <c r="BR322" i="2"/>
  <c r="BW334" i="2"/>
  <c r="BU334" i="2"/>
  <c r="U560" i="2"/>
  <c r="V538" i="2"/>
  <c r="BT538" i="2"/>
  <c r="U263" i="2"/>
  <c r="U519" i="2"/>
  <c r="BR236" i="2"/>
  <c r="W236" i="2"/>
  <c r="BN569" i="2"/>
  <c r="U593" i="2"/>
  <c r="V557" i="2"/>
  <c r="BT557" i="2"/>
  <c r="W574" i="2"/>
  <c r="BR574" i="2"/>
  <c r="U586" i="2"/>
  <c r="W580" i="2"/>
  <c r="BR580" i="2"/>
  <c r="BN242" i="2"/>
  <c r="L499" i="2"/>
  <c r="L64" i="3"/>
  <c r="L92" i="3"/>
  <c r="N489" i="2"/>
  <c r="M64" i="3" s="1"/>
  <c r="BN509" i="2"/>
  <c r="J453" i="2"/>
  <c r="I453" i="2"/>
  <c r="X400" i="2"/>
  <c r="V504" i="2"/>
  <c r="BT504" i="2"/>
  <c r="BO340" i="2"/>
  <c r="BR328" i="2"/>
  <c r="W328" i="2"/>
  <c r="U349" i="2"/>
  <c r="V348" i="2"/>
  <c r="V307" i="2"/>
  <c r="Y307" i="2"/>
  <c r="AH500" i="2"/>
  <c r="V253" i="2"/>
  <c r="BT253" i="2"/>
  <c r="BO517" i="2"/>
  <c r="BO242" i="2"/>
  <c r="X503" i="2"/>
  <c r="X239" i="2"/>
  <c r="O236" i="2"/>
  <c r="X236" i="2" s="1"/>
  <c r="P321" i="2"/>
  <c r="V571" i="2"/>
  <c r="BT571" i="2"/>
  <c r="P541" i="2"/>
  <c r="Y541" i="2" s="1"/>
  <c r="Y303" i="2"/>
  <c r="P302" i="2"/>
  <c r="Y302" i="2" s="1"/>
  <c r="V303" i="2"/>
  <c r="U242" i="2"/>
  <c r="O561" i="2"/>
  <c r="X561" i="2" s="1"/>
  <c r="X230" i="2"/>
  <c r="U538" i="2"/>
  <c r="BP519" i="2"/>
  <c r="BW519" i="2"/>
  <c r="BU519" i="2"/>
  <c r="U571" i="2"/>
  <c r="V569" i="2"/>
  <c r="BT569" i="2"/>
  <c r="J239" i="2"/>
  <c r="X220" i="2"/>
  <c r="U220" i="2"/>
  <c r="F7" i="3"/>
  <c r="J142" i="2"/>
  <c r="I142" i="2"/>
  <c r="F5" i="3"/>
  <c r="I138" i="2"/>
  <c r="J138" i="2"/>
  <c r="BO589" i="2"/>
  <c r="P553" i="2"/>
  <c r="Y553" i="2" s="1"/>
  <c r="V84" i="2"/>
  <c r="Y84" i="2"/>
  <c r="S263" i="2"/>
  <c r="S241" i="2" s="1"/>
  <c r="V531" i="2"/>
  <c r="BT531" i="2"/>
  <c r="BN567" i="2"/>
  <c r="Y197" i="2"/>
  <c r="W565" i="2"/>
  <c r="BR565" i="2"/>
  <c r="W559" i="2"/>
  <c r="BR559" i="2"/>
  <c r="U508" i="2"/>
  <c r="V533" i="2"/>
  <c r="BT533" i="2"/>
  <c r="W593" i="2"/>
  <c r="BR593" i="2"/>
  <c r="X118" i="2"/>
  <c r="O117" i="2"/>
  <c r="W577" i="2"/>
  <c r="BR577" i="2"/>
  <c r="U564" i="2"/>
  <c r="BN506" i="2"/>
  <c r="U118" i="2"/>
  <c r="BN549" i="2"/>
  <c r="U511" i="2"/>
  <c r="U505" i="2"/>
  <c r="BU142" i="2"/>
  <c r="BP142" i="2"/>
  <c r="BW142" i="2"/>
  <c r="G501" i="2"/>
  <c r="I5" i="2"/>
  <c r="J5" i="2"/>
  <c r="G4" i="2"/>
  <c r="Y515" i="2"/>
  <c r="AP500" i="2"/>
  <c r="U559" i="2"/>
  <c r="BO528" i="2"/>
  <c r="BN559" i="2"/>
  <c r="BR590" i="2"/>
  <c r="V526" i="2"/>
  <c r="BT526" i="2"/>
  <c r="BO142" i="2"/>
  <c r="O543" i="2"/>
  <c r="X543" i="2" s="1"/>
  <c r="X63" i="2"/>
  <c r="U63" i="2"/>
  <c r="BN526" i="2"/>
  <c r="V512" i="2"/>
  <c r="BT512" i="2"/>
  <c r="BN533" i="2"/>
  <c r="T500" i="2"/>
  <c r="AH3" i="2"/>
  <c r="BR587" i="2"/>
  <c r="BN532" i="2"/>
  <c r="V473" i="2"/>
  <c r="BR397" i="2"/>
  <c r="W397" i="2"/>
  <c r="I401" i="2"/>
  <c r="J401" i="2"/>
  <c r="BN340" i="2"/>
  <c r="BO379" i="2"/>
  <c r="Z546" i="2"/>
  <c r="Z287" i="2"/>
  <c r="W287" i="2"/>
  <c r="BN551" i="2"/>
  <c r="I340" i="2"/>
  <c r="J340" i="2"/>
  <c r="V536" i="2"/>
  <c r="BT536" i="2"/>
  <c r="W319" i="2"/>
  <c r="BR541" i="2" s="1"/>
  <c r="Z319" i="2"/>
  <c r="BP536" i="2"/>
  <c r="BU536" i="2"/>
  <c r="Z279" i="2"/>
  <c r="W279" i="2"/>
  <c r="BN574" i="2"/>
  <c r="BN555" i="2"/>
  <c r="BQ575" i="2"/>
  <c r="U53" i="2"/>
  <c r="X53" i="2"/>
  <c r="O577" i="2"/>
  <c r="U99" i="2"/>
  <c r="X99" i="2"/>
  <c r="U504" i="2"/>
  <c r="U520" i="2"/>
  <c r="W520" i="2"/>
  <c r="BR520" i="2"/>
  <c r="BO368" i="2"/>
  <c r="BO367" i="2" s="1"/>
  <c r="BO397" i="2"/>
  <c r="S541" i="2"/>
  <c r="S302" i="2"/>
  <c r="BT578" i="2"/>
  <c r="R349" i="2"/>
  <c r="BO349" i="2"/>
  <c r="BO348" i="2" s="1"/>
  <c r="Y319" i="2"/>
  <c r="V319" i="2"/>
  <c r="BN518" i="2"/>
  <c r="Q253" i="2"/>
  <c r="Z253" i="2" s="1"/>
  <c r="BO253" i="2"/>
  <c r="W254" i="2"/>
  <c r="Z254" i="2"/>
  <c r="J483" i="2"/>
  <c r="U588" i="2"/>
  <c r="V509" i="2"/>
  <c r="BT509" i="2"/>
  <c r="L63" i="3"/>
  <c r="L91" i="3"/>
  <c r="M493" i="2"/>
  <c r="N488" i="2"/>
  <c r="M63" i="3" s="1"/>
  <c r="X408" i="2"/>
  <c r="U408" i="2"/>
  <c r="W556" i="2"/>
  <c r="BR556" i="2"/>
  <c r="X406" i="2"/>
  <c r="U406" i="2"/>
  <c r="V556" i="2"/>
  <c r="BT556" i="2"/>
  <c r="BN473" i="2"/>
  <c r="BN556" i="2"/>
  <c r="V397" i="2"/>
  <c r="U328" i="2"/>
  <c r="G397" i="2"/>
  <c r="X377" i="2"/>
  <c r="U377" i="2"/>
  <c r="X385" i="2"/>
  <c r="U385" i="2"/>
  <c r="V566" i="2"/>
  <c r="BT566" i="2"/>
  <c r="V340" i="2"/>
  <c r="U379" i="2"/>
  <c r="W578" i="2"/>
  <c r="BN322" i="2"/>
  <c r="BN321" i="2" s="1"/>
  <c r="BM347" i="2"/>
  <c r="T348" i="2"/>
  <c r="I334" i="2"/>
  <c r="J334" i="2"/>
  <c r="BN357" i="2"/>
  <c r="V578" i="2"/>
  <c r="U357" i="2"/>
  <c r="R348" i="2"/>
  <c r="BK347" i="2"/>
  <c r="R347" i="2" s="1"/>
  <c r="R3" i="2" s="1"/>
  <c r="W322" i="2"/>
  <c r="BN302" i="2"/>
  <c r="U518" i="2"/>
  <c r="BN560" i="2"/>
  <c r="BO263" i="2"/>
  <c r="U236" i="2"/>
  <c r="O241" i="2"/>
  <c r="X241" i="2" s="1"/>
  <c r="X253" i="2"/>
  <c r="J253" i="2"/>
  <c r="I253" i="2"/>
  <c r="W560" i="2"/>
  <c r="BR560" i="2"/>
  <c r="R196" i="2"/>
  <c r="Y310" i="2"/>
  <c r="V310" i="2"/>
  <c r="Z255" i="2"/>
  <c r="BO551" i="2"/>
  <c r="BO552" i="2"/>
  <c r="Z293" i="2"/>
  <c r="Z288" i="2"/>
  <c r="W288" i="2"/>
  <c r="BN263" i="2"/>
  <c r="BW328" i="2"/>
  <c r="BU328" i="2"/>
  <c r="Z256" i="2"/>
  <c r="W256" i="2"/>
  <c r="I160" i="2"/>
  <c r="J160" i="2"/>
  <c r="BO593" i="2"/>
  <c r="U589" i="2"/>
  <c r="V587" i="2"/>
  <c r="BT587" i="2"/>
  <c r="V590" i="2"/>
  <c r="BT590" i="2"/>
  <c r="W552" i="2"/>
  <c r="BR552" i="2"/>
  <c r="Z542" i="2"/>
  <c r="BO197" i="2"/>
  <c r="BN590" i="2"/>
  <c r="P575" i="2"/>
  <c r="Y575" i="2" s="1"/>
  <c r="V97" i="2"/>
  <c r="Y97" i="2"/>
  <c r="BN557" i="2"/>
  <c r="BO548" i="2"/>
  <c r="V545" i="2"/>
  <c r="BT545" i="2"/>
  <c r="U581" i="2"/>
  <c r="BR169" i="2"/>
  <c r="W169" i="2"/>
  <c r="BN586" i="2"/>
  <c r="V508" i="2"/>
  <c r="BT508" i="2"/>
  <c r="V584" i="2"/>
  <c r="BT584" i="2"/>
  <c r="V117" i="2"/>
  <c r="V116" i="2" s="1"/>
  <c r="AX196" i="2"/>
  <c r="AX3" i="2" s="1"/>
  <c r="AX499" i="2" s="1"/>
  <c r="U591" i="2"/>
  <c r="BN584" i="2"/>
  <c r="BN550" i="2"/>
  <c r="U506" i="2"/>
  <c r="BO169" i="2"/>
  <c r="F36" i="3"/>
  <c r="I116" i="2"/>
  <c r="Y572" i="2"/>
  <c r="V92" i="2"/>
  <c r="Y92" i="2"/>
  <c r="BN528" i="2"/>
  <c r="W522" i="2"/>
  <c r="BR522" i="2"/>
  <c r="O511" i="2"/>
  <c r="X511" i="2" s="1"/>
  <c r="BO501" i="2"/>
  <c r="BO4" i="2"/>
  <c r="G507" i="2"/>
  <c r="BN512" i="2"/>
  <c r="I156" i="2"/>
  <c r="J156" i="2"/>
  <c r="BN142" i="2"/>
  <c r="S116" i="2"/>
  <c r="BN580" i="2"/>
  <c r="Z4" i="2"/>
  <c r="BP554" i="2"/>
  <c r="BU554" i="2"/>
  <c r="BW554" i="2"/>
  <c r="O507" i="2"/>
  <c r="X507" i="2" s="1"/>
  <c r="J151" i="2"/>
  <c r="W567" i="2"/>
  <c r="BR567" i="2"/>
  <c r="U554" i="2"/>
  <c r="O545" i="2"/>
  <c r="J65" i="2"/>
  <c r="X65" i="2"/>
  <c r="U65" i="2"/>
  <c r="BT506" i="2"/>
  <c r="U531" i="2"/>
  <c r="W8" i="2"/>
  <c r="BR550" i="2"/>
  <c r="W590" i="2"/>
  <c r="W543" i="2"/>
  <c r="BR543" i="2"/>
  <c r="V8" i="2"/>
  <c r="H3" i="2"/>
  <c r="W528" i="2"/>
  <c r="BR528" i="2"/>
  <c r="U526" i="2"/>
  <c r="W511" i="2"/>
  <c r="BR511" i="2"/>
  <c r="W505" i="2"/>
  <c r="BR505" i="2"/>
  <c r="Z281" i="2"/>
  <c r="W281" i="2"/>
  <c r="BT519" i="2"/>
  <c r="BN507" i="2"/>
  <c r="BQ549" i="2"/>
  <c r="BL3" i="2"/>
  <c r="BL499" i="2" s="1"/>
  <c r="W587" i="2"/>
  <c r="R499" i="2" l="1"/>
  <c r="BO500" i="2"/>
  <c r="BR321" i="2"/>
  <c r="BO116" i="2"/>
  <c r="F66" i="3"/>
  <c r="I486" i="2"/>
  <c r="BP518" i="2"/>
  <c r="BW518" i="2"/>
  <c r="BU518" i="2"/>
  <c r="BP555" i="2"/>
  <c r="BW555" i="2"/>
  <c r="BU555" i="2"/>
  <c r="U577" i="2"/>
  <c r="BQ507" i="2"/>
  <c r="BQ505" i="2"/>
  <c r="BP588" i="2"/>
  <c r="BU588" i="2"/>
  <c r="BW588" i="2"/>
  <c r="X573" i="2"/>
  <c r="BQ509" i="2"/>
  <c r="BQ253" i="2"/>
  <c r="J350" i="2"/>
  <c r="G349" i="2"/>
  <c r="I350" i="2"/>
  <c r="G503" i="2"/>
  <c r="F37" i="3"/>
  <c r="K484" i="2"/>
  <c r="BW197" i="2"/>
  <c r="BU197" i="2"/>
  <c r="BO302" i="2"/>
  <c r="BO241" i="2" s="1"/>
  <c r="BO196" i="2" s="1"/>
  <c r="Y348" i="2"/>
  <c r="P347" i="2"/>
  <c r="Y347" i="2" s="1"/>
  <c r="BQ343" i="2"/>
  <c r="BP581" i="2"/>
  <c r="BW581" i="2"/>
  <c r="BU581" i="2"/>
  <c r="BQ151" i="2"/>
  <c r="BN348" i="2"/>
  <c r="BU508" i="2"/>
  <c r="BP584" i="2"/>
  <c r="BW584" i="2"/>
  <c r="BU584" i="2"/>
  <c r="BQ554" i="2"/>
  <c r="BP560" i="2"/>
  <c r="BW560" i="2"/>
  <c r="BU560" i="2"/>
  <c r="J397" i="2"/>
  <c r="I397" i="2"/>
  <c r="BQ504" i="2"/>
  <c r="BN117" i="2"/>
  <c r="BN116" i="2" s="1"/>
  <c r="W263" i="2"/>
  <c r="BS565" i="2"/>
  <c r="BV565" i="2"/>
  <c r="I63" i="3"/>
  <c r="BQ517" i="2"/>
  <c r="BT379" i="2"/>
  <c r="BW379" i="2"/>
  <c r="BU538" i="2"/>
  <c r="BW156" i="2"/>
  <c r="BU156" i="2"/>
  <c r="BP156" i="2"/>
  <c r="BN368" i="2"/>
  <c r="BN367" i="2" s="1"/>
  <c r="BS549" i="2"/>
  <c r="BV549" i="2"/>
  <c r="BQ526" i="2"/>
  <c r="BP528" i="2"/>
  <c r="BU528" i="2"/>
  <c r="BW528" i="2"/>
  <c r="BP556" i="2"/>
  <c r="BU556" i="2"/>
  <c r="BW556" i="2"/>
  <c r="BQ588" i="2"/>
  <c r="BU349" i="2"/>
  <c r="BU348" i="2" s="1"/>
  <c r="BW349" i="2"/>
  <c r="BW397" i="2"/>
  <c r="BU397" i="2"/>
  <c r="BU473" i="2"/>
  <c r="BW473" i="2"/>
  <c r="X577" i="2"/>
  <c r="AH499" i="2"/>
  <c r="BP526" i="2"/>
  <c r="BW526" i="2"/>
  <c r="BU526" i="2"/>
  <c r="U507" i="2"/>
  <c r="U117" i="2"/>
  <c r="U116" i="2" s="1"/>
  <c r="BP567" i="2"/>
  <c r="BQ568" i="2"/>
  <c r="BQ242" i="2"/>
  <c r="W541" i="2"/>
  <c r="U348" i="2"/>
  <c r="BQ586" i="2"/>
  <c r="BP569" i="2"/>
  <c r="BW569" i="2"/>
  <c r="BU569" i="2"/>
  <c r="BQ519" i="2"/>
  <c r="BQ560" i="2"/>
  <c r="BP505" i="2"/>
  <c r="BW505" i="2"/>
  <c r="BU505" i="2"/>
  <c r="J169" i="2"/>
  <c r="I169" i="2"/>
  <c r="BQ541" i="2"/>
  <c r="BQ302" i="2"/>
  <c r="BQ368" i="2"/>
  <c r="V548" i="2"/>
  <c r="BR501" i="2"/>
  <c r="BR4" i="2"/>
  <c r="BQ530" i="2"/>
  <c r="BQ536" i="2"/>
  <c r="P241" i="2"/>
  <c r="F11" i="3"/>
  <c r="J321" i="2"/>
  <c r="I321" i="2"/>
  <c r="BQ563" i="2"/>
  <c r="F3" i="2"/>
  <c r="F482" i="2"/>
  <c r="I367" i="2"/>
  <c r="BP541" i="2"/>
  <c r="BQ580" i="2"/>
  <c r="S3" i="2"/>
  <c r="S486" i="2"/>
  <c r="BP530" i="2"/>
  <c r="BU530" i="2"/>
  <c r="BW530" i="2"/>
  <c r="BN197" i="2"/>
  <c r="BQ569" i="2"/>
  <c r="BQ540" i="2"/>
  <c r="BQ548" i="2"/>
  <c r="BW357" i="2"/>
  <c r="BK3" i="2"/>
  <c r="BW508" i="2"/>
  <c r="BQ561" i="2"/>
  <c r="BP557" i="2"/>
  <c r="BU557" i="2"/>
  <c r="BW557" i="2"/>
  <c r="BU263" i="2"/>
  <c r="BN531" i="2"/>
  <c r="K499" i="2"/>
  <c r="BP586" i="2"/>
  <c r="BU586" i="2"/>
  <c r="BW586" i="2"/>
  <c r="V575" i="2"/>
  <c r="BT575" i="2"/>
  <c r="BQ564" i="2"/>
  <c r="BQ585" i="2"/>
  <c r="BQ197" i="2"/>
  <c r="V552" i="2"/>
  <c r="BT552" i="2"/>
  <c r="U545" i="2"/>
  <c r="BP550" i="2"/>
  <c r="BW550" i="2"/>
  <c r="BU550" i="2"/>
  <c r="BQ567" i="2"/>
  <c r="BP593" i="2"/>
  <c r="BU593" i="2"/>
  <c r="BW593" i="2"/>
  <c r="BR8" i="2"/>
  <c r="BN545" i="2"/>
  <c r="BQ581" i="2"/>
  <c r="BP590" i="2"/>
  <c r="BQ518" i="2"/>
  <c r="T347" i="2"/>
  <c r="BM3" i="2"/>
  <c r="BM499" i="2" s="1"/>
  <c r="BQ379" i="2"/>
  <c r="BQ328" i="2"/>
  <c r="BO347" i="2"/>
  <c r="BQ520" i="2"/>
  <c r="BW536" i="2"/>
  <c r="BP559" i="2"/>
  <c r="BU559" i="2"/>
  <c r="BW559" i="2"/>
  <c r="BQ511" i="2"/>
  <c r="BP549" i="2"/>
  <c r="BU549" i="2"/>
  <c r="BQ538" i="2"/>
  <c r="U241" i="2"/>
  <c r="BN236" i="2"/>
  <c r="BQ349" i="2"/>
  <c r="BQ348" i="2" s="1"/>
  <c r="J236" i="2"/>
  <c r="BT368" i="2"/>
  <c r="U501" i="2"/>
  <c r="U500" i="2" s="1"/>
  <c r="BQ522" i="2"/>
  <c r="W500" i="2"/>
  <c r="AP499" i="2"/>
  <c r="BP582" i="2"/>
  <c r="BU582" i="2"/>
  <c r="BW582" i="2"/>
  <c r="BR302" i="2"/>
  <c r="BQ334" i="2"/>
  <c r="BQ584" i="2"/>
  <c r="I35" i="3"/>
  <c r="X8" i="2"/>
  <c r="J8" i="2"/>
  <c r="V500" i="2"/>
  <c r="BQ169" i="2"/>
  <c r="BR142" i="2"/>
  <c r="BQ582" i="2"/>
  <c r="BR242" i="2"/>
  <c r="BW343" i="2"/>
  <c r="BU343" i="2"/>
  <c r="Q347" i="2"/>
  <c r="Z347" i="2" s="1"/>
  <c r="BQ578" i="2"/>
  <c r="BQ4" i="2"/>
  <c r="BQ557" i="2"/>
  <c r="Q196" i="2"/>
  <c r="BQ512" i="2"/>
  <c r="BP517" i="2"/>
  <c r="BU517" i="2"/>
  <c r="BW517" i="2"/>
  <c r="U552" i="2"/>
  <c r="J197" i="2"/>
  <c r="I197" i="2"/>
  <c r="G196" i="2"/>
  <c r="BP562" i="2"/>
  <c r="BW562" i="2"/>
  <c r="BU562" i="2"/>
  <c r="N3" i="2"/>
  <c r="N499" i="2" s="1"/>
  <c r="N484" i="2"/>
  <c r="AI3" i="2"/>
  <c r="AI499" i="2" s="1"/>
  <c r="T196" i="2"/>
  <c r="O348" i="2"/>
  <c r="X349" i="2"/>
  <c r="BQ340" i="2"/>
  <c r="BN397" i="2"/>
  <c r="BP540" i="2"/>
  <c r="BU540" i="2"/>
  <c r="BW540" i="2"/>
  <c r="BP565" i="2"/>
  <c r="BU565" i="2"/>
  <c r="BS357" i="2"/>
  <c r="BV357" i="2"/>
  <c r="BR340" i="2"/>
  <c r="I66" i="3"/>
  <c r="I493" i="2"/>
  <c r="BP551" i="2"/>
  <c r="BU551" i="2"/>
  <c r="BW551" i="2"/>
  <c r="C34" i="3"/>
  <c r="I4" i="2"/>
  <c r="J4" i="2"/>
  <c r="BQ508" i="2"/>
  <c r="BP589" i="2"/>
  <c r="BU589" i="2"/>
  <c r="BW589" i="2"/>
  <c r="BQ571" i="2"/>
  <c r="V541" i="2"/>
  <c r="V302" i="2"/>
  <c r="BQ593" i="2"/>
  <c r="BQ263" i="2"/>
  <c r="BQ322" i="2"/>
  <c r="BQ544" i="2"/>
  <c r="BN573" i="2"/>
  <c r="BN548" i="2"/>
  <c r="BP568" i="2"/>
  <c r="BW568" i="2"/>
  <c r="BU568" i="2"/>
  <c r="BQ566" i="2"/>
  <c r="BQ510" i="2"/>
  <c r="BQ533" i="2"/>
  <c r="BQ531" i="2"/>
  <c r="BP580" i="2"/>
  <c r="BW580" i="2"/>
  <c r="BU580" i="2"/>
  <c r="BP512" i="2"/>
  <c r="BW512" i="2"/>
  <c r="BU512" i="2"/>
  <c r="S500" i="2"/>
  <c r="BQ236" i="2"/>
  <c r="BU322" i="2"/>
  <c r="BU321" i="2" s="1"/>
  <c r="BW322" i="2"/>
  <c r="BW321" i="2" s="1"/>
  <c r="BT340" i="2"/>
  <c r="N493" i="2"/>
  <c r="N490" i="2"/>
  <c r="M65" i="3" s="1"/>
  <c r="N491" i="2"/>
  <c r="M66" i="3" s="1"/>
  <c r="N492" i="2"/>
  <c r="M67" i="3" s="1"/>
  <c r="BT397" i="2"/>
  <c r="BT473" i="2"/>
  <c r="U543" i="2"/>
  <c r="BR117" i="2"/>
  <c r="BT142" i="2"/>
  <c r="BP506" i="2"/>
  <c r="BU506" i="2"/>
  <c r="X117" i="2"/>
  <c r="O116" i="2"/>
  <c r="V347" i="2"/>
  <c r="BP509" i="2"/>
  <c r="BW509" i="2"/>
  <c r="BU509" i="2"/>
  <c r="BN241" i="2"/>
  <c r="U321" i="2"/>
  <c r="V549" i="2"/>
  <c r="U573" i="2"/>
  <c r="BN511" i="2"/>
  <c r="BN500" i="2" s="1"/>
  <c r="U397" i="2"/>
  <c r="BP520" i="2"/>
  <c r="BW520" i="2"/>
  <c r="BU520" i="2"/>
  <c r="BQ550" i="2"/>
  <c r="BP578" i="2"/>
  <c r="BW578" i="2"/>
  <c r="BU578" i="2"/>
  <c r="BQ556" i="2"/>
  <c r="BQ532" i="2"/>
  <c r="P500" i="2"/>
  <c r="Y500" i="2" s="1"/>
  <c r="X197" i="2"/>
  <c r="O196" i="2"/>
  <c r="BW169" i="2"/>
  <c r="BP169" i="2"/>
  <c r="BU169" i="2"/>
  <c r="BP566" i="2"/>
  <c r="BW566" i="2"/>
  <c r="BU566" i="2"/>
  <c r="BN8" i="2"/>
  <c r="BP501" i="2"/>
  <c r="BP522" i="2"/>
  <c r="BU522" i="2"/>
  <c r="BW522" i="2"/>
  <c r="BP553" i="2"/>
  <c r="BW553" i="2"/>
  <c r="BU553" i="2"/>
  <c r="BQ555" i="2"/>
  <c r="BR156" i="2"/>
  <c r="BO541" i="2"/>
  <c r="BQ551" i="2"/>
  <c r="T241" i="2"/>
  <c r="X368" i="2"/>
  <c r="O367" i="2"/>
  <c r="X367" i="2" s="1"/>
  <c r="U8" i="2"/>
  <c r="BQ528" i="2"/>
  <c r="BQ590" i="2"/>
  <c r="V241" i="2"/>
  <c r="V196" i="2" s="1"/>
  <c r="BP507" i="2"/>
  <c r="BU507" i="2"/>
  <c r="BP533" i="2"/>
  <c r="BU533" i="2"/>
  <c r="BW533" i="2"/>
  <c r="V553" i="2"/>
  <c r="BT553" i="2"/>
  <c r="BP511" i="2"/>
  <c r="BU511" i="2"/>
  <c r="BW511" i="2"/>
  <c r="C8" i="3"/>
  <c r="H499" i="2"/>
  <c r="X545" i="2"/>
  <c r="BQ506" i="2"/>
  <c r="BQ591" i="2"/>
  <c r="BT117" i="2"/>
  <c r="BQ589" i="2"/>
  <c r="W321" i="2"/>
  <c r="W196" i="2" s="1"/>
  <c r="BR578" i="2"/>
  <c r="BR349" i="2"/>
  <c r="BR348" i="2" s="1"/>
  <c r="W253" i="2"/>
  <c r="W241" i="2" s="1"/>
  <c r="BN577" i="2"/>
  <c r="BP574" i="2"/>
  <c r="BW574" i="2"/>
  <c r="BU574" i="2"/>
  <c r="BN543" i="2"/>
  <c r="BQ559" i="2"/>
  <c r="BN561" i="2"/>
  <c r="V565" i="2"/>
  <c r="BT565" i="2"/>
  <c r="Q500" i="2"/>
  <c r="Z500" i="2" s="1"/>
  <c r="BP564" i="2"/>
  <c r="BW564" i="2"/>
  <c r="BU564" i="2"/>
  <c r="BR508" i="2"/>
  <c r="BR151" i="2"/>
  <c r="U197" i="2"/>
  <c r="U196" i="2" s="1"/>
  <c r="BW160" i="2"/>
  <c r="BP160" i="2"/>
  <c r="BU160" i="2"/>
  <c r="BQ160" i="2"/>
  <c r="J241" i="2"/>
  <c r="I241" i="2"/>
  <c r="I8" i="3"/>
  <c r="BR379" i="2"/>
  <c r="BR367" i="2" s="1"/>
  <c r="BQ397" i="2"/>
  <c r="BW504" i="2"/>
  <c r="BP504" i="2"/>
  <c r="BU504" i="2"/>
  <c r="BP571" i="2"/>
  <c r="BW571" i="2"/>
  <c r="BU571" i="2"/>
  <c r="BW538" i="2"/>
  <c r="BQ562" i="2"/>
  <c r="BP585" i="2"/>
  <c r="BW585" i="2"/>
  <c r="BU585" i="2"/>
  <c r="BQ156" i="2"/>
  <c r="BQ553" i="2"/>
  <c r="BQ587" i="2"/>
  <c r="BT263" i="2"/>
  <c r="V263" i="2"/>
  <c r="BQ142" i="2"/>
  <c r="BN552" i="2"/>
  <c r="BU541" i="2"/>
  <c r="BU302" i="2"/>
  <c r="BN544" i="2"/>
  <c r="BT501" i="2"/>
  <c r="BT500" i="2" s="1"/>
  <c r="BT4" i="2"/>
  <c r="BQ574" i="2"/>
  <c r="BT169" i="2"/>
  <c r="BP587" i="2"/>
  <c r="BU587" i="2"/>
  <c r="BW587" i="2"/>
  <c r="BR197" i="2"/>
  <c r="BT197" i="2"/>
  <c r="BP563" i="2"/>
  <c r="BW563" i="2"/>
  <c r="BU563" i="2"/>
  <c r="BQ473" i="2"/>
  <c r="BP575" i="2"/>
  <c r="BU575" i="2"/>
  <c r="BW575" i="2"/>
  <c r="BT517" i="2"/>
  <c r="BT242" i="2"/>
  <c r="O500" i="2"/>
  <c r="X500" i="2" s="1"/>
  <c r="BP500" i="2" l="1"/>
  <c r="BQ321" i="2"/>
  <c r="BO3" i="2"/>
  <c r="BO499" i="2" s="1"/>
  <c r="BW590" i="2"/>
  <c r="BV253" i="2"/>
  <c r="BS253" i="2"/>
  <c r="V486" i="2"/>
  <c r="V3" i="2"/>
  <c r="V499" i="2" s="1"/>
  <c r="W486" i="2"/>
  <c r="W3" i="2"/>
  <c r="W499" i="2" s="1"/>
  <c r="BS551" i="2"/>
  <c r="BV551" i="2"/>
  <c r="BS550" i="2"/>
  <c r="BV550" i="2"/>
  <c r="BS508" i="2"/>
  <c r="BV508" i="2"/>
  <c r="BS4" i="2"/>
  <c r="BS578" i="2"/>
  <c r="BV578" i="2"/>
  <c r="BS538" i="2"/>
  <c r="BV538" i="2"/>
  <c r="BS328" i="2"/>
  <c r="BV328" i="2"/>
  <c r="BS518" i="2"/>
  <c r="BV518" i="2"/>
  <c r="BS569" i="2"/>
  <c r="BV569" i="2"/>
  <c r="S499" i="2"/>
  <c r="BV368" i="2"/>
  <c r="BS368" i="2"/>
  <c r="BS568" i="2"/>
  <c r="BV568" i="2"/>
  <c r="BU4" i="2"/>
  <c r="BS473" i="2"/>
  <c r="BV473" i="2"/>
  <c r="BS574" i="2"/>
  <c r="BV574" i="2"/>
  <c r="BV156" i="2"/>
  <c r="BS156" i="2"/>
  <c r="BS397" i="2"/>
  <c r="BV397" i="2"/>
  <c r="BS589" i="2"/>
  <c r="BV589" i="2"/>
  <c r="BW507" i="2"/>
  <c r="BS556" i="2"/>
  <c r="BV556" i="2"/>
  <c r="BS531" i="2"/>
  <c r="BV531" i="2"/>
  <c r="BS510" i="2"/>
  <c r="BV510" i="2"/>
  <c r="BV263" i="2"/>
  <c r="BS263" i="2"/>
  <c r="BS571" i="2"/>
  <c r="BV571" i="2"/>
  <c r="Z196" i="2"/>
  <c r="Q3" i="2"/>
  <c r="BS582" i="2"/>
  <c r="BV582" i="2"/>
  <c r="BV334" i="2"/>
  <c r="BS334" i="2"/>
  <c r="BS522" i="2"/>
  <c r="BV522" i="2"/>
  <c r="BT367" i="2"/>
  <c r="BT347" i="2" s="1"/>
  <c r="BV349" i="2"/>
  <c r="BV348" i="2" s="1"/>
  <c r="BS349" i="2"/>
  <c r="BS348" i="2" s="1"/>
  <c r="BS511" i="2"/>
  <c r="BV511" i="2"/>
  <c r="BS520" i="2"/>
  <c r="BV520" i="2"/>
  <c r="BP545" i="2"/>
  <c r="BU545" i="2"/>
  <c r="BW545" i="2"/>
  <c r="BS197" i="2"/>
  <c r="BV197" i="2"/>
  <c r="BS540" i="2"/>
  <c r="BV540" i="2"/>
  <c r="BS580" i="2"/>
  <c r="BV580" i="2"/>
  <c r="BQ117" i="2"/>
  <c r="BQ116" i="2" s="1"/>
  <c r="BQ501" i="2"/>
  <c r="BQ500" i="2" s="1"/>
  <c r="BW340" i="2"/>
  <c r="BS575" i="2"/>
  <c r="BV575" i="2"/>
  <c r="BS588" i="2"/>
  <c r="BV588" i="2"/>
  <c r="BU368" i="2"/>
  <c r="BU367" i="2" s="1"/>
  <c r="BU347" i="2" s="1"/>
  <c r="BW368" i="2"/>
  <c r="BW367" i="2" s="1"/>
  <c r="BS517" i="2"/>
  <c r="BV517" i="2"/>
  <c r="BV504" i="2"/>
  <c r="BS504" i="2"/>
  <c r="G484" i="2"/>
  <c r="G488" i="2"/>
  <c r="I488" i="2" s="1"/>
  <c r="BS505" i="2"/>
  <c r="BV505" i="2"/>
  <c r="BS562" i="2"/>
  <c r="BV562" i="2"/>
  <c r="BS160" i="2"/>
  <c r="BV160" i="2"/>
  <c r="BS506" i="2"/>
  <c r="BV506" i="2"/>
  <c r="I36" i="3"/>
  <c r="X116" i="2"/>
  <c r="J116" i="2"/>
  <c r="BP552" i="2"/>
  <c r="BW552" i="2"/>
  <c r="BU552" i="2"/>
  <c r="BQ573" i="2"/>
  <c r="BS544" i="2"/>
  <c r="BV544" i="2"/>
  <c r="BS593" i="2"/>
  <c r="BV593" i="2"/>
  <c r="H484" i="2"/>
  <c r="J484" i="2" s="1"/>
  <c r="H488" i="2"/>
  <c r="J488" i="2" s="1"/>
  <c r="BS557" i="2"/>
  <c r="BV557" i="2"/>
  <c r="BV169" i="2"/>
  <c r="BS169" i="2"/>
  <c r="BS567" i="2"/>
  <c r="BV567" i="2"/>
  <c r="Q485" i="2"/>
  <c r="H485" i="2" s="1"/>
  <c r="J485" i="2" s="1"/>
  <c r="BS585" i="2"/>
  <c r="BV585" i="2"/>
  <c r="BW531" i="2"/>
  <c r="BU531" i="2"/>
  <c r="BP531" i="2"/>
  <c r="BK499" i="2"/>
  <c r="F500" i="2"/>
  <c r="Y241" i="2"/>
  <c r="P196" i="2"/>
  <c r="BS530" i="2"/>
  <c r="BV530" i="2"/>
  <c r="BS560" i="2"/>
  <c r="BV560" i="2"/>
  <c r="U347" i="2"/>
  <c r="BS509" i="2"/>
  <c r="BV509" i="2"/>
  <c r="BR253" i="2"/>
  <c r="BR500" i="2"/>
  <c r="U3" i="2"/>
  <c r="U499" i="2" s="1"/>
  <c r="U486" i="2"/>
  <c r="I37" i="3"/>
  <c r="X196" i="2"/>
  <c r="BR116" i="2"/>
  <c r="BS587" i="2"/>
  <c r="BV587" i="2"/>
  <c r="BT116" i="2"/>
  <c r="BS555" i="2"/>
  <c r="BV555" i="2"/>
  <c r="BW506" i="2"/>
  <c r="BQ543" i="2"/>
  <c r="BS566" i="2"/>
  <c r="BV566" i="2"/>
  <c r="X348" i="2"/>
  <c r="O347" i="2"/>
  <c r="BS512" i="2"/>
  <c r="BS379" i="2"/>
  <c r="BV379" i="2"/>
  <c r="BU590" i="2"/>
  <c r="BQ545" i="2"/>
  <c r="BS8" i="2"/>
  <c r="BW263" i="2"/>
  <c r="BS561" i="2"/>
  <c r="BV561" i="2"/>
  <c r="BN196" i="2"/>
  <c r="J367" i="2"/>
  <c r="BS563" i="2"/>
  <c r="BV563" i="2"/>
  <c r="BS536" i="2"/>
  <c r="BV536" i="2"/>
  <c r="BS541" i="2"/>
  <c r="BS302" i="2"/>
  <c r="BS586" i="2"/>
  <c r="BV586" i="2"/>
  <c r="BW567" i="2"/>
  <c r="BU340" i="2"/>
  <c r="BS526" i="2"/>
  <c r="BV526" i="2"/>
  <c r="BS507" i="2"/>
  <c r="BV507" i="2"/>
  <c r="BS528" i="2"/>
  <c r="BV528" i="2"/>
  <c r="BP573" i="2"/>
  <c r="BU573" i="2"/>
  <c r="BW573" i="2"/>
  <c r="BS559" i="2"/>
  <c r="BV559" i="2"/>
  <c r="BR263" i="2"/>
  <c r="BP543" i="2"/>
  <c r="BW543" i="2"/>
  <c r="BU543" i="2"/>
  <c r="BR347" i="2"/>
  <c r="BS591" i="2"/>
  <c r="BV591" i="2"/>
  <c r="BS590" i="2"/>
  <c r="BV590" i="2"/>
  <c r="BS322" i="2"/>
  <c r="BV322" i="2"/>
  <c r="BQ8" i="2"/>
  <c r="T486" i="2"/>
  <c r="H486" i="2" s="1"/>
  <c r="J486" i="2" s="1"/>
  <c r="T3" i="2"/>
  <c r="T499" i="2" s="1"/>
  <c r="BQ552" i="2"/>
  <c r="BV142" i="2"/>
  <c r="BS142" i="2"/>
  <c r="BS564" i="2"/>
  <c r="BV564" i="2"/>
  <c r="BS519" i="2"/>
  <c r="BV519" i="2"/>
  <c r="BV242" i="2"/>
  <c r="BS242" i="2"/>
  <c r="BU567" i="2"/>
  <c r="BW348" i="2"/>
  <c r="BS554" i="2"/>
  <c r="BV554" i="2"/>
  <c r="BV151" i="2"/>
  <c r="BS151" i="2"/>
  <c r="BS343" i="2"/>
  <c r="BV343" i="2"/>
  <c r="F12" i="3"/>
  <c r="J349" i="2"/>
  <c r="G348" i="2"/>
  <c r="I349" i="2"/>
  <c r="BP544" i="2"/>
  <c r="BW544" i="2"/>
  <c r="BU544" i="2"/>
  <c r="BS553" i="2"/>
  <c r="BV553" i="2"/>
  <c r="BP561" i="2"/>
  <c r="BW561" i="2"/>
  <c r="BU561" i="2"/>
  <c r="BP577" i="2"/>
  <c r="BU577" i="2"/>
  <c r="BW577" i="2"/>
  <c r="BS532" i="2"/>
  <c r="BV532" i="2"/>
  <c r="BT549" i="2"/>
  <c r="BW549" i="2"/>
  <c r="BV236" i="2"/>
  <c r="BS236" i="2"/>
  <c r="BS533" i="2"/>
  <c r="BV533" i="2"/>
  <c r="BU548" i="2"/>
  <c r="BW548" i="2"/>
  <c r="BP548" i="2"/>
  <c r="BT541" i="2"/>
  <c r="BT302" i="2"/>
  <c r="BT241" i="2" s="1"/>
  <c r="BT196" i="2" s="1"/>
  <c r="BW565" i="2"/>
  <c r="BS340" i="2"/>
  <c r="C37" i="3"/>
  <c r="J196" i="2"/>
  <c r="I196" i="2"/>
  <c r="O485" i="2"/>
  <c r="G485" i="2" s="1"/>
  <c r="BS584" i="2"/>
  <c r="BV584" i="2"/>
  <c r="BS581" i="2"/>
  <c r="BV581" i="2"/>
  <c r="BT8" i="2"/>
  <c r="BS548" i="2"/>
  <c r="BV548" i="2"/>
  <c r="BQ367" i="2"/>
  <c r="BQ347" i="2" s="1"/>
  <c r="BQ241" i="2"/>
  <c r="BQ196" i="2" s="1"/>
  <c r="BW117" i="2"/>
  <c r="BW116" i="2" s="1"/>
  <c r="BU117" i="2"/>
  <c r="BU116" i="2" s="1"/>
  <c r="BP117" i="2"/>
  <c r="BP116" i="2" s="1"/>
  <c r="BN347" i="2"/>
  <c r="BW4" i="2"/>
  <c r="BQ577" i="2"/>
  <c r="BW347" i="2" l="1"/>
  <c r="BN3" i="2"/>
  <c r="G490" i="2" s="1"/>
  <c r="I490" i="2" s="1"/>
  <c r="BS321" i="2"/>
  <c r="BS241" i="2"/>
  <c r="BR241" i="2"/>
  <c r="BR196" i="2" s="1"/>
  <c r="BR3" i="2" s="1"/>
  <c r="BR499" i="2" s="1"/>
  <c r="H490" i="2"/>
  <c r="J490" i="2" s="1"/>
  <c r="BT3" i="2"/>
  <c r="BT499" i="2" s="1"/>
  <c r="BW8" i="2"/>
  <c r="BU8" i="2"/>
  <c r="BW501" i="2"/>
  <c r="BW500" i="2" s="1"/>
  <c r="BP499" i="2"/>
  <c r="BQ3" i="2"/>
  <c r="BQ499" i="2" s="1"/>
  <c r="BS577" i="2"/>
  <c r="BV577" i="2"/>
  <c r="F65" i="3"/>
  <c r="I485" i="2"/>
  <c r="BS552" i="2"/>
  <c r="BV552" i="2"/>
  <c r="J500" i="2"/>
  <c r="I500" i="2"/>
  <c r="H489" i="2"/>
  <c r="J489" i="2" s="1"/>
  <c r="I348" i="2"/>
  <c r="J348" i="2"/>
  <c r="G347" i="2"/>
  <c r="BW253" i="2"/>
  <c r="F499" i="2"/>
  <c r="BS573" i="2"/>
  <c r="BV573" i="2"/>
  <c r="G489" i="2"/>
  <c r="I489" i="2" s="1"/>
  <c r="BS117" i="2"/>
  <c r="BS116" i="2" s="1"/>
  <c r="BV117" i="2"/>
  <c r="BV116" i="2" s="1"/>
  <c r="BV512" i="2"/>
  <c r="F64" i="3"/>
  <c r="I484" i="2"/>
  <c r="BU501" i="2"/>
  <c r="BV4" i="2"/>
  <c r="I38" i="3"/>
  <c r="X347" i="2"/>
  <c r="BV367" i="2"/>
  <c r="BV347" i="2" s="1"/>
  <c r="O499" i="2"/>
  <c r="X499" i="2" s="1"/>
  <c r="X3" i="2"/>
  <c r="BU253" i="2"/>
  <c r="BU241" i="2" s="1"/>
  <c r="BU196" i="2" s="1"/>
  <c r="BS367" i="2"/>
  <c r="BS347" i="2" s="1"/>
  <c r="BS543" i="2"/>
  <c r="BV543" i="2"/>
  <c r="Y196" i="2"/>
  <c r="P485" i="2"/>
  <c r="P3" i="2"/>
  <c r="BV340" i="2"/>
  <c r="BW541" i="2"/>
  <c r="BW302" i="2"/>
  <c r="BV321" i="2"/>
  <c r="BV541" i="2"/>
  <c r="BV302" i="2"/>
  <c r="BV241" i="2" s="1"/>
  <c r="BS545" i="2"/>
  <c r="BV545" i="2"/>
  <c r="BS196" i="2"/>
  <c r="Q499" i="2"/>
  <c r="Z499" i="2" s="1"/>
  <c r="Z3" i="2"/>
  <c r="BS501" i="2"/>
  <c r="BS500" i="2" s="1"/>
  <c r="BU500" i="2" l="1"/>
  <c r="BN499" i="2"/>
  <c r="BV196" i="2"/>
  <c r="BW241" i="2"/>
  <c r="BW196" i="2" s="1"/>
  <c r="BW3" i="2" s="1"/>
  <c r="BW499" i="2" s="1"/>
  <c r="BS3" i="2"/>
  <c r="BS499" i="2" s="1"/>
  <c r="BV8" i="2"/>
  <c r="BU3" i="2"/>
  <c r="BV501" i="2"/>
  <c r="BV500" i="2" s="1"/>
  <c r="C38" i="3"/>
  <c r="J347" i="2"/>
  <c r="I347" i="2"/>
  <c r="G482" i="2"/>
  <c r="G3" i="2"/>
  <c r="I64" i="3"/>
  <c r="G492" i="2"/>
  <c r="I492" i="2" s="1"/>
  <c r="G491" i="2"/>
  <c r="P499" i="2"/>
  <c r="Y499" i="2" s="1"/>
  <c r="Y3" i="2"/>
  <c r="BU499" i="2" l="1"/>
  <c r="BV3" i="2"/>
  <c r="BV499" i="2" s="1"/>
  <c r="F4" i="3"/>
  <c r="C5" i="3"/>
  <c r="G499" i="2"/>
  <c r="I3" i="2"/>
  <c r="J3" i="2"/>
  <c r="L43" i="3"/>
  <c r="L40" i="3"/>
  <c r="L37" i="3"/>
  <c r="L45" i="3"/>
  <c r="L42" i="3"/>
  <c r="L39" i="3"/>
  <c r="L36" i="3"/>
  <c r="L44" i="3"/>
  <c r="L41" i="3"/>
  <c r="L38" i="3"/>
  <c r="L35" i="3"/>
  <c r="L34" i="3"/>
  <c r="C64" i="3"/>
  <c r="G487" i="2"/>
  <c r="I487" i="2" s="1"/>
  <c r="I483" i="2"/>
  <c r="I65" i="3"/>
  <c r="I491" i="2"/>
  <c r="J499" i="2" l="1"/>
  <c r="I499" i="2"/>
</calcChain>
</file>

<file path=xl/comments1.xml><?xml version="1.0" encoding="utf-8"?>
<comments xmlns="http://schemas.openxmlformats.org/spreadsheetml/2006/main">
  <authors>
    <author/>
  </authors>
  <commentList>
    <comment ref="D3" authorId="0" shape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D138" authorId="0" shapeId="0">
      <text>
        <r>
          <rPr>
            <sz val="11"/>
            <color rgb="FF000000"/>
            <rFont val="Calibri"/>
            <scheme val="minor"/>
          </rPr>
          <t>======
ID#AAAAURi54IM
Gilson Parodes    (2021-03-26 01:21:33)
(Reitoria) 
(Reserva Institucional 1%)
(R$ X,XX)</t>
        </r>
      </text>
    </comment>
    <comment ref="D140" authorId="0" shapeId="0">
      <text>
        <r>
          <rPr>
            <sz val="11"/>
            <color rgb="FF000000"/>
            <rFont val="Calibri"/>
            <scheme val="minor"/>
          </rPr>
          <t>======
ID#AAAAURi54IE
Gilson Parodes    (2021-03-26 01:22:38)
(Reitoria) 
(Reserva Institucional 1%)
(R$ X,XX)</t>
        </r>
      </text>
    </comment>
    <comment ref="D142" authorId="0" shapeId="0">
      <text>
        <r>
          <rPr>
            <sz val="11"/>
            <color rgb="FF000000"/>
            <rFont val="Calibri"/>
            <scheme val="minor"/>
          </rPr>
          <t>======
ID#AAAAURi54II
Gilson Parodes    (2021-03-26 01:33:15)
(Reitoria) 
(Reserva Institucional 2,5%)
(R$ X,XX) 
(Despesa de capital)</t>
        </r>
      </text>
    </comment>
    <comment ref="D151" authorId="0" shapeId="0">
      <text>
        <r>
          <rPr>
            <sz val="11"/>
            <color rgb="FF000000"/>
            <rFont val="Calibri"/>
            <scheme val="minor"/>
          </rPr>
          <t>======
ID#AAAAURi54H8
Gilson Parodes    (2021-03-26 01:34:03)
(Reserva Institucional 1%)
(R$ X,XX)</t>
        </r>
      </text>
    </comment>
    <comment ref="D236" authorId="0" shapeId="0">
      <text>
        <r>
          <rPr>
            <sz val="11"/>
            <color rgb="FF000000"/>
            <rFont val="Calibri"/>
            <scheme val="minor"/>
          </rPr>
          <t>======
ID#AAAAURi54H4
Gilson Parodes    (2021-03-26 01:35:50)
(Reserva Institucional 1%)
(R$ X,XX)</t>
        </r>
      </text>
    </comment>
    <comment ref="D321" authorId="0" shapeId="0">
      <text>
        <r>
          <rPr>
            <sz val="11"/>
            <color rgb="FF000000"/>
            <rFont val="Calibri"/>
            <scheme val="minor"/>
          </rPr>
          <t>======
ID#AAAAURi54IA
Gilson Parodes    (2021-03-26 01:40:31)
(Reserva Institucional 1,5%)
(R$ X,XX)</t>
        </r>
      </text>
    </comment>
    <comment ref="D349" authorId="0" shapeId="0">
      <text>
        <r>
          <rPr>
            <sz val="11"/>
            <color rgb="FF000000"/>
            <rFont val="Calibri"/>
            <scheme val="minor"/>
          </rPr>
          <t>======
ID#AAAAURi54H0
Gilson Parodes    (2021-03-26 01:45:44)
(Reserva Institucional 1,5%)
(R$ X,XX)</t>
        </r>
      </text>
    </comment>
    <comment ref="K350" authorId="0" shapeId="0">
      <text>
        <r>
          <rPr>
            <sz val="11"/>
            <color rgb="FF000000"/>
            <rFont val="Calibri"/>
            <scheme val="minor"/>
          </rPr>
          <t>valor a anular para recompor orçamento R$ 240.409,22
======</t>
        </r>
      </text>
    </comment>
  </commentList>
</comments>
</file>

<file path=xl/sharedStrings.xml><?xml version="1.0" encoding="utf-8"?>
<sst xmlns="http://schemas.openxmlformats.org/spreadsheetml/2006/main" count="1826" uniqueCount="1078">
  <si>
    <t>INSTRUÇÕES DE PREENCHIMENTO DA PLANILHA DE CONTROLE DA EXECUÇÃO ORÇAMENTÁRIA</t>
  </si>
  <si>
    <t>DICAS PARA CONFERÊNCIAS DA PLANILHA X SALDOS CONTÁBEIS</t>
  </si>
  <si>
    <t>Prezado Colega,</t>
  </si>
  <si>
    <t xml:space="preserve">No intuíto de auxiliar no preenchimento da Planilha de Controle da Execução Orçamentária, sugerimos que leiam </t>
  </si>
  <si>
    <t>Abaixo elencamos algumas conferências que poderão ser utilizadas, para verificação de eventuais divergências entres os dados digitados</t>
  </si>
  <si>
    <t>com bastante atenção as instruções abaixo:</t>
  </si>
  <si>
    <t>na planilha com a execução orçamentária e financeira realizada no SIAFI.</t>
  </si>
  <si>
    <r>
      <rPr>
        <sz val="11"/>
        <color theme="1"/>
        <rFont val="Calibri"/>
      </rPr>
      <t xml:space="preserve">1ª) Leia atentamente </t>
    </r>
    <r>
      <rPr>
        <b/>
        <sz val="11"/>
        <color rgb="FFFF0000"/>
        <rFont val="Calibri"/>
      </rPr>
      <t>TODAS</t>
    </r>
    <r>
      <rPr>
        <sz val="11"/>
        <color theme="1"/>
        <rFont val="Calibri"/>
      </rPr>
      <t xml:space="preserve"> as instruções abaixo;</t>
    </r>
  </si>
  <si>
    <t xml:space="preserve">Contas contábeis (SIAFI) e informações da Planilha </t>
  </si>
  <si>
    <r>
      <rPr>
        <sz val="11"/>
        <color theme="1"/>
        <rFont val="Calibri"/>
      </rPr>
      <t>2ª) A Planilha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está protegida e as células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estão bloqueadas para possibilitar a inclusão de linhas;</t>
    </r>
  </si>
  <si>
    <t xml:space="preserve">Conta / Comando (SIAFI) </t>
  </si>
  <si>
    <t xml:space="preserve">Linha/coluna da Planilha </t>
  </si>
  <si>
    <t>3ª) A inclusão de linhas se faz necessária para adequar a Planilha a realidade de cada unidade do IFFar;</t>
  </si>
  <si>
    <t>622110000 (conta)</t>
  </si>
  <si>
    <t>Orçamento (NCs) Recebidas</t>
  </si>
  <si>
    <r>
      <rPr>
        <sz val="11"/>
        <color theme="1"/>
        <rFont val="Calibri"/>
      </rPr>
      <t xml:space="preserve">4ª) Havendo inclusão de linhas </t>
    </r>
    <r>
      <rPr>
        <b/>
        <sz val="11"/>
        <color rgb="FFFF0000"/>
        <rFont val="Calibri"/>
      </rPr>
      <t>ATENTEM</t>
    </r>
    <r>
      <rPr>
        <sz val="11"/>
        <color theme="1"/>
        <rFont val="Calibri"/>
      </rPr>
      <t xml:space="preserve"> para as fórmulas, pois as mesmas precisarão ser ajustadas;</t>
    </r>
  </si>
  <si>
    <t>&gt;CONNC (comando)</t>
  </si>
  <si>
    <r>
      <rPr>
        <sz val="11"/>
        <color theme="1"/>
        <rFont val="Calibri"/>
      </rPr>
      <t xml:space="preserve">5ª) As informações deverão ser inseridas </t>
    </r>
    <r>
      <rPr>
        <b/>
        <sz val="11"/>
        <color rgb="FFFF0000"/>
        <rFont val="Calibri"/>
      </rPr>
      <t>SEMPRE</t>
    </r>
    <r>
      <rPr>
        <sz val="11"/>
        <color theme="1"/>
        <rFont val="Calibri"/>
      </rPr>
      <t xml:space="preserve"> nas células </t>
    </r>
    <r>
      <rPr>
        <b/>
        <sz val="11"/>
        <color rgb="FFFF0000"/>
        <rFont val="Calibri"/>
      </rPr>
      <t>"BRANCAS"</t>
    </r>
    <r>
      <rPr>
        <sz val="11"/>
        <color theme="1"/>
        <rFont val="Calibri"/>
      </rPr>
      <t>;</t>
    </r>
  </si>
  <si>
    <t>Rap não processado a Liquidar; total da coluna "I" (Valor empenhado); valores constantes na conta em 1° de Janeiro.</t>
  </si>
  <si>
    <r>
      <rPr>
        <sz val="11"/>
        <color theme="1"/>
        <rFont val="Calibri"/>
      </rPr>
      <t xml:space="preserve">6ª) As células que forem </t>
    </r>
    <r>
      <rPr>
        <b/>
        <sz val="11"/>
        <color rgb="FFFF0000"/>
        <rFont val="Calibri"/>
      </rPr>
      <t>COLORIDAS</t>
    </r>
    <r>
      <rPr>
        <sz val="11"/>
        <color theme="1"/>
        <rFont val="Calibri"/>
      </rPr>
      <t xml:space="preserve"> possuem fórmulas, </t>
    </r>
    <r>
      <rPr>
        <b/>
        <sz val="11"/>
        <color rgb="FFFF0000"/>
        <rFont val="Calibri"/>
      </rPr>
      <t>ATENÇÃO</t>
    </r>
    <r>
      <rPr>
        <sz val="11"/>
        <color theme="1"/>
        <rFont val="Calibri"/>
      </rPr>
      <t xml:space="preserve"> para não digitar em cima;</t>
    </r>
  </si>
  <si>
    <t xml:space="preserve">Rap não processado a Liquidar; total da coluna "R" (saldo do empenho); saldo atual ref. mês da consulta </t>
  </si>
  <si>
    <r>
      <rPr>
        <sz val="11"/>
        <color theme="1"/>
        <rFont val="Calibri"/>
      </rPr>
      <t xml:space="preserve">7ª) Todos os </t>
    </r>
    <r>
      <rPr>
        <b/>
        <sz val="11"/>
        <color rgb="FFFF0000"/>
        <rFont val="Calibri"/>
      </rPr>
      <t>GRÁFICOS</t>
    </r>
    <r>
      <rPr>
        <sz val="11"/>
        <color theme="1"/>
        <rFont val="Calibri"/>
      </rPr>
      <t xml:space="preserve"> serão atualizados automaticamentes, a partir das informaçoes digitadas na planilha;</t>
    </r>
  </si>
  <si>
    <t xml:space="preserve">Empenhos a liquidar; total da coluna "Q"; saldo atualizado mês da consulta </t>
  </si>
  <si>
    <r>
      <rPr>
        <sz val="11"/>
        <color theme="1"/>
        <rFont val="Calibri"/>
      </rPr>
      <t>8ª) A Coluna D</t>
    </r>
    <r>
      <rPr>
        <sz val="11"/>
        <color rgb="FFFF0000"/>
        <rFont val="Calibri"/>
      </rPr>
      <t xml:space="preserve"> </t>
    </r>
    <r>
      <rPr>
        <b/>
        <sz val="11"/>
        <color rgb="FFFF0000"/>
        <rFont val="Calibri"/>
      </rPr>
      <t>"MATRIZ"</t>
    </r>
    <r>
      <rPr>
        <sz val="11"/>
        <color theme="1"/>
        <rFont val="Calibri"/>
      </rPr>
      <t xml:space="preserve"> deverá ser alimentada com os valores de funcionamento do Plano de Ação a ser excutado;</t>
    </r>
  </si>
  <si>
    <t xml:space="preserve">Empenhos pagos (OBs por Notas Empenho) = totais das colunas BG-BI </t>
  </si>
  <si>
    <r>
      <rPr>
        <sz val="11"/>
        <color theme="1"/>
        <rFont val="Calibri"/>
      </rPr>
      <t xml:space="preserve">9ª) A Coluna E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deverá ser alimentada com os valores de outras fontes (Ex.: AE, RIP, FNDE, Emendas, etc.)</t>
    </r>
  </si>
  <si>
    <t>Empenhos pagos RAP Processados (OBs por Notas Empenho) = total da coluna BH</t>
  </si>
  <si>
    <r>
      <rPr>
        <sz val="11"/>
        <color theme="1"/>
        <rFont val="Calibri"/>
      </rPr>
      <t xml:space="preserve">10ª) A identificação das fontes específicas se dará na </t>
    </r>
    <r>
      <rPr>
        <b/>
        <sz val="11"/>
        <color rgb="FFFF0000"/>
        <rFont val="Calibri"/>
      </rPr>
      <t>"LINHA"</t>
    </r>
    <r>
      <rPr>
        <sz val="11"/>
        <color theme="1"/>
        <rFont val="Calibri"/>
      </rPr>
      <t xml:space="preserve">, a coluna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consolida os valores; </t>
    </r>
  </si>
  <si>
    <t>Empenhos pagos RAP Não Processados (OBs por Notas Empenho) = total da coluna BH</t>
  </si>
  <si>
    <r>
      <rPr>
        <sz val="11"/>
        <color theme="1"/>
        <rFont val="Calibri"/>
      </rPr>
      <t xml:space="preserve">11ª) As Colunas H, I e J </t>
    </r>
    <r>
      <rPr>
        <b/>
        <sz val="11"/>
        <color rgb="FFFF0000"/>
        <rFont val="Calibri"/>
      </rPr>
      <t>"VALOR EMPENHADO"</t>
    </r>
    <r>
      <rPr>
        <sz val="11"/>
        <color theme="1"/>
        <rFont val="Calibri"/>
      </rPr>
      <t xml:space="preserve">, serão alimentadas com os valores dos </t>
    </r>
    <r>
      <rPr>
        <b/>
        <sz val="11"/>
        <color rgb="FFFF0000"/>
        <rFont val="Calibri"/>
      </rPr>
      <t xml:space="preserve">EMPENHOS </t>
    </r>
    <r>
      <rPr>
        <sz val="11"/>
        <color theme="1"/>
        <rFont val="Calibri"/>
      </rPr>
      <t>e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RAPs</t>
    </r>
    <r>
      <rPr>
        <sz val="11"/>
        <color theme="1"/>
        <rFont val="Calibri"/>
      </rPr>
      <t xml:space="preserve"> respectivamentes;</t>
    </r>
  </si>
  <si>
    <r>
      <rPr>
        <sz val="11"/>
        <color theme="1"/>
        <rFont val="Calibri"/>
      </rPr>
      <t>12ª) As Colunas K, L e M</t>
    </r>
    <r>
      <rPr>
        <b/>
        <sz val="11"/>
        <color rgb="FFFF0000"/>
        <rFont val="Calibri"/>
      </rPr>
      <t xml:space="preserve"> "VALOR LIQUIDADO" </t>
    </r>
    <r>
      <rPr>
        <sz val="11"/>
        <color theme="1"/>
        <rFont val="Calibri"/>
      </rPr>
      <t>serão alimentadas a partir das informações inseridas nas colunas da execução;</t>
    </r>
  </si>
  <si>
    <r>
      <rPr>
        <sz val="11"/>
        <color theme="1"/>
        <rFont val="Calibri"/>
      </rPr>
      <t xml:space="preserve">13ª) As informações referente </t>
    </r>
    <r>
      <rPr>
        <b/>
        <sz val="11"/>
        <color rgb="FFFF0000"/>
        <rFont val="Calibri"/>
      </rPr>
      <t>EXECUÇÃO</t>
    </r>
    <r>
      <rPr>
        <sz val="11"/>
        <color theme="1"/>
        <rFont val="Calibri"/>
      </rPr>
      <t xml:space="preserve"> serão informadas mês a mês nas colunas W a BF, pelos valores liquidados;</t>
    </r>
  </si>
  <si>
    <r>
      <rPr>
        <sz val="11"/>
        <color theme="1"/>
        <rFont val="Calibri"/>
      </rPr>
      <t>14ª) As Colunas N, O e P</t>
    </r>
    <r>
      <rPr>
        <b/>
        <sz val="11"/>
        <color rgb="FFFF0000"/>
        <rFont val="Calibri"/>
      </rPr>
      <t xml:space="preserve"> "VALOR PAGO"</t>
    </r>
    <r>
      <rPr>
        <sz val="11"/>
        <color theme="1"/>
        <rFont val="Calibri"/>
      </rPr>
      <t xml:space="preserve"> serão alimentadas automaticamente, replicando os valores liquidados quando as células</t>
    </r>
  </si>
  <si>
    <r>
      <rPr>
        <sz val="11"/>
        <color theme="1"/>
        <rFont val="Calibri"/>
      </rPr>
      <t xml:space="preserve">das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estiverem </t>
    </r>
    <r>
      <rPr>
        <b/>
        <sz val="11"/>
        <color rgb="FFFF0000"/>
        <rFont val="Calibri"/>
      </rPr>
      <t>ZERADOS</t>
    </r>
    <r>
      <rPr>
        <sz val="11"/>
        <color theme="1"/>
        <rFont val="Calibri"/>
      </rPr>
      <t xml:space="preserve"> ou </t>
    </r>
    <r>
      <rPr>
        <b/>
        <sz val="11"/>
        <color rgb="FFFF0000"/>
        <rFont val="Calibri"/>
      </rPr>
      <t>EM BRANCO</t>
    </r>
    <r>
      <rPr>
        <sz val="11"/>
        <color theme="1"/>
        <rFont val="Calibri"/>
      </rPr>
      <t xml:space="preserve"> e, assumirão os valores</t>
    </r>
  </si>
  <si>
    <r>
      <rPr>
        <sz val="11"/>
        <color theme="1"/>
        <rFont val="Calibri"/>
      </rPr>
      <t xml:space="preserve">destas quanto as mesmas estiverem preenchidas com valores </t>
    </r>
    <r>
      <rPr>
        <b/>
        <sz val="11"/>
        <color rgb="FFFF0000"/>
        <rFont val="Calibri"/>
      </rPr>
      <t>DIFERENTE DE ZERO</t>
    </r>
    <r>
      <rPr>
        <sz val="11"/>
        <color theme="1"/>
        <rFont val="Calibri"/>
      </rPr>
      <t>;</t>
    </r>
  </si>
  <si>
    <r>
      <rPr>
        <sz val="11"/>
        <color theme="1"/>
        <rFont val="Calibri"/>
      </rPr>
      <t xml:space="preserve">15ª) 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poderão ser preenchidas periodicamente ou ao final do</t>
    </r>
  </si>
  <si>
    <t>exercício, sem prejuizo das análises de execução;</t>
  </si>
  <si>
    <t>16º) Nas Linhas 146 a 150, a partir da Coluna W, deverão ser informadas as NCs mês a mês e de acordo do a Fonte de Recurso;</t>
  </si>
  <si>
    <t>17ª) Caso seja detectada alguma falha na planilha, erro de fórmula, etc. Pedimos que seja comunicado a DOF(Reitoria), para que o erro</t>
  </si>
  <si>
    <t>Trabalho elaborado pelo GT formados pelos seguintes servidores:</t>
  </si>
  <si>
    <t>possa ser corrigido para todos os COFs;</t>
  </si>
  <si>
    <t>Denize Sott</t>
  </si>
  <si>
    <t>denize.sott@iffarroupilha.edu.br</t>
  </si>
  <si>
    <t>Reitoria</t>
  </si>
  <si>
    <t>18ª) Leia novamente a 1ª instrução;</t>
  </si>
  <si>
    <t>Lidiane Kasper</t>
  </si>
  <si>
    <t>lidiane.kasper@iffarroupilha.edu.br</t>
  </si>
  <si>
    <t>Campus Santa Rosa</t>
  </si>
  <si>
    <t>Gilson Parodes</t>
  </si>
  <si>
    <t>gilson.parodes@iffarroupilha.edu.br</t>
  </si>
  <si>
    <t>Campus São Vicente do Sul</t>
  </si>
  <si>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</si>
  <si>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</si>
  <si>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</si>
  <si>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</si>
  <si>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</si>
  <si>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</si>
  <si>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</si>
  <si>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</si>
  <si>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</si>
  <si>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</si>
  <si>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</si>
  <si>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</si>
  <si>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</si>
  <si>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</si>
  <si>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</si>
  <si>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</si>
  <si>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</si>
  <si>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</si>
  <si>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</si>
  <si>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</si>
  <si>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SALDO DE EMPENHOS LIQUIDADOS A PAGAR</t>
  </si>
  <si>
    <t>SALDO DE EMPENHOS A LIQUIDAR</t>
  </si>
  <si>
    <t>SALDO DE RAPs ANOS ANTERIORES</t>
  </si>
  <si>
    <t>INSCRIÇÃO RAPs PROCESSADOS</t>
  </si>
  <si>
    <t>INSCRIÇÃO RAPs NÃO PROCESSADOS</t>
  </si>
  <si>
    <t>TOTAL DE RAPS INSCRITOS E RE-INSCRITOS</t>
  </si>
  <si>
    <t>PLANO DE AÇÃO 2022</t>
  </si>
  <si>
    <t>DESCRIÇÃO DA AÇÃO</t>
  </si>
  <si>
    <t>MATRIZ ORÇAMENTÁRIA PLANO DE AÇÃO</t>
  </si>
  <si>
    <t>AJUSTES BLOQUEIOS OU CORTES</t>
  </si>
  <si>
    <t>MATRIZ ORÇAMENTÁRIA AJUSTADA</t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</si>
  <si>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</si>
  <si>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t>% empenhado da MATRIZ (planejado)</t>
  </si>
  <si>
    <t>% liquidado da MATRIZ (planejado)</t>
  </si>
  <si>
    <t>MATRIZ</t>
  </si>
  <si>
    <t>RAP</t>
  </si>
  <si>
    <t>RAP CANCELADOS NO EXERCÍCIO</t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</si>
  <si>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</si>
  <si>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</si>
  <si>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</si>
  <si>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t>MATRIZ
(empenhado)</t>
  </si>
  <si>
    <t>OUTROS 
(empenhado)</t>
  </si>
  <si>
    <t>MATRIZ
(emp)</t>
  </si>
  <si>
    <t>OUTROS 
(emp.)</t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</si>
  <si>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</si>
  <si>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</si>
  <si>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</si>
  <si>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</si>
  <si>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</si>
  <si>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</si>
  <si>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</si>
  <si>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</si>
  <si>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</si>
  <si>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</si>
  <si>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</si>
  <si>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</si>
  <si>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</si>
  <si>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</si>
  <si>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t>SALDO TOTAL EMPENHOS DO ANO</t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</si>
  <si>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</si>
  <si>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t>NE ANO</t>
  </si>
  <si>
    <t>NE RAP</t>
  </si>
  <si>
    <t>RUBRICA</t>
  </si>
  <si>
    <t>TOTAL</t>
  </si>
  <si>
    <t>DG - DIREÇÃO GERAL</t>
  </si>
  <si>
    <t>2022NE000002</t>
  </si>
  <si>
    <t>3.33.90.14-14</t>
  </si>
  <si>
    <t>Diárias a servidores</t>
  </si>
  <si>
    <t>3.33.90.33-01</t>
  </si>
  <si>
    <t>Passagens para o país</t>
  </si>
  <si>
    <t>2022NE000197</t>
  </si>
  <si>
    <t>3.33.90.36-02</t>
  </si>
  <si>
    <t>Diárias a Colaboradores Eventuais</t>
  </si>
  <si>
    <t>DAD - DIRETORIA DE ADMINISTRAÇÃO</t>
  </si>
  <si>
    <t>2022NE000056</t>
  </si>
  <si>
    <t>2022NE000025</t>
  </si>
  <si>
    <t>3.33.90.93-02</t>
  </si>
  <si>
    <t>Reeembolso/ressarcimento despesas servidores</t>
  </si>
  <si>
    <t>3.33.90.30-01</t>
  </si>
  <si>
    <t>Material de Consumo - Combustíveis</t>
  </si>
  <si>
    <t>3.33.90.30-04</t>
  </si>
  <si>
    <t>Material de Consumo - Gás</t>
  </si>
  <si>
    <t>3.33.90.30-07</t>
  </si>
  <si>
    <t>Material de Consumo - Gêneros de Alimentação</t>
  </si>
  <si>
    <t>3.33.90.30-16</t>
  </si>
  <si>
    <t>Material de Consumo - Material de Expediente</t>
  </si>
  <si>
    <t>3.33.90.30-19</t>
  </si>
  <si>
    <t>Material de Consumo - Embalagens - Separação Resíduos</t>
  </si>
  <si>
    <t>Material de Consumo - Embalagens</t>
  </si>
  <si>
    <t>2020NE800343</t>
  </si>
  <si>
    <t>Material de Consumo - Embalagens-DELCIO</t>
  </si>
  <si>
    <t>2020NE800161</t>
  </si>
  <si>
    <t>3.33.90.30-21</t>
  </si>
  <si>
    <t>Material de Consumo - Copa e Cozinha- OMEGA</t>
  </si>
  <si>
    <t>2022NE000066</t>
  </si>
  <si>
    <t>3.33.90.30-22</t>
  </si>
  <si>
    <t>Material de Consumo - Limpeza/DARLU</t>
  </si>
  <si>
    <t>2022NE000067</t>
  </si>
  <si>
    <t>2020NE800340</t>
  </si>
  <si>
    <t>Material de Consumo - Limpeza- CCK/GD ATACADISTA</t>
  </si>
  <si>
    <t>2022NE000068</t>
  </si>
  <si>
    <t>2020NE800341</t>
  </si>
  <si>
    <t>Material de Consumo - Limpeza- CHRISPIM/JJ VITALLI</t>
  </si>
  <si>
    <t>2022NE000069</t>
  </si>
  <si>
    <t>Material de Consumo - Limpeza- DELCIO/KAPRICHO</t>
  </si>
  <si>
    <t>2020NE800353</t>
  </si>
  <si>
    <t>Material de Consumo - Limpeza- LUTAR</t>
  </si>
  <si>
    <t>2020NE800354</t>
  </si>
  <si>
    <t>Material de Consumo - Limpeza- M  MARTINS</t>
  </si>
  <si>
    <t>2020NE800360</t>
  </si>
  <si>
    <t>Material de Consumo - Limpeza- PURA SAUDE</t>
  </si>
  <si>
    <t>2020NE800404</t>
  </si>
  <si>
    <t>Material de Consumo - Limpeza- DELCIO</t>
  </si>
  <si>
    <t>2020NE800406</t>
  </si>
  <si>
    <t>2020NE800352</t>
  </si>
  <si>
    <t>3.33.90.30-23</t>
  </si>
  <si>
    <t>Material de Consumo - Uniformes, Tecidos ... - LUIS FERNANDO</t>
  </si>
  <si>
    <t>2022NE000059</t>
  </si>
  <si>
    <t>3.33.90.30-24</t>
  </si>
  <si>
    <t>Material de Consumo - Manut de Bens Imóveis/Inst- CCK/MJ</t>
  </si>
  <si>
    <t>2022NE000057</t>
  </si>
  <si>
    <t>Material de Consumo - Manut de Bens Imóveis/Inst- ELIZANE</t>
  </si>
  <si>
    <t>2022NE000045</t>
  </si>
  <si>
    <t>Material de Consumo -S VASCONCELOS</t>
  </si>
  <si>
    <t>2022NE000046</t>
  </si>
  <si>
    <t>Material de Consumo -CORATTO PISOS</t>
  </si>
  <si>
    <t>2022NE000047</t>
  </si>
  <si>
    <t>Material de Consumo -PRISCILA VALADÃO</t>
  </si>
  <si>
    <t>2022NE000048</t>
  </si>
  <si>
    <t>Material de Consumo -RM COMÉRCIO</t>
  </si>
  <si>
    <t>2022NE000049</t>
  </si>
  <si>
    <t>Material de Consumo - RANCHO</t>
  </si>
  <si>
    <t>2022NE000050</t>
  </si>
  <si>
    <t>Material de Consumo - JARDEL JACOBS</t>
  </si>
  <si>
    <t>2022NE000051</t>
  </si>
  <si>
    <t>Material de Consumo -  JJ VITALLI</t>
  </si>
  <si>
    <t>2022NE000052</t>
  </si>
  <si>
    <t>Material de Consumo - COMERCIAL SPONCHIADO</t>
  </si>
  <si>
    <t>2022NE000053</t>
  </si>
  <si>
    <t>Material de Consumo -  BRASIDAS EIRELLI</t>
  </si>
  <si>
    <t>2022NE000055</t>
  </si>
  <si>
    <t>Material de Consumo -  LICITARE</t>
  </si>
  <si>
    <t>2022NE000147</t>
  </si>
  <si>
    <t>Material de Consumo - AGROFORTE</t>
  </si>
  <si>
    <t>2022NE000089</t>
  </si>
  <si>
    <t>Material de Consumo - Manut de Bens Imóveis/Inst-VOLT MATERIAIS</t>
  </si>
  <si>
    <t>2022NE000130</t>
  </si>
  <si>
    <t>Material de Consumo - Manut de Bens Imóveis/Inst-DANIELA TENFEN</t>
  </si>
  <si>
    <t>2022NE000134</t>
  </si>
  <si>
    <t>2022NE000131</t>
  </si>
  <si>
    <t>Material de Consumo - Manut de Bens Imóveis/Inst-RANCHO</t>
  </si>
  <si>
    <t>2022NE000132</t>
  </si>
  <si>
    <t>2022NE000133</t>
  </si>
  <si>
    <t>2022NE000135</t>
  </si>
  <si>
    <t>2022NE000172</t>
  </si>
  <si>
    <t>2022NE000184</t>
  </si>
  <si>
    <t>Material de Consumo - Manut de Bens Imóveis/Inst-AGROFORTE</t>
  </si>
  <si>
    <t>2022NE000120</t>
  </si>
  <si>
    <t>3.33.90.30-26</t>
  </si>
  <si>
    <t>3.33.90.30-25</t>
  </si>
  <si>
    <t>Material de Consumo - Manut de Bens Móveis</t>
  </si>
  <si>
    <t>2022NE000148</t>
  </si>
  <si>
    <t>Material de Consumo - Elétrico e Eletrônico- ATACASUL</t>
  </si>
  <si>
    <t>2020NE800351</t>
  </si>
  <si>
    <t>3.33.90.30-28</t>
  </si>
  <si>
    <t>Material de Consumo - Proteção e Segurança LIMP</t>
  </si>
  <si>
    <t>Material de Consumo - Proteção e Segurança- LUIZ FERNANDO</t>
  </si>
  <si>
    <t>3.33.90.30-39</t>
  </si>
  <si>
    <t>Material de Consumo - Manut de Veículos</t>
  </si>
  <si>
    <t>3.33.90.30-42</t>
  </si>
  <si>
    <t>Material de Consumo - Ferramentas</t>
  </si>
  <si>
    <t>Material de Consumo - Ferramentas-LIMP</t>
  </si>
  <si>
    <t>2020NE800260</t>
  </si>
  <si>
    <t>3.33.90.33-03</t>
  </si>
  <si>
    <r>
      <rPr>
        <sz val="12"/>
        <color theme="1"/>
        <rFont val="Calibri"/>
      </rPr>
      <t xml:space="preserve">Serviços de Máquinas </t>
    </r>
    <r>
      <rPr>
        <b/>
        <sz val="12"/>
        <color theme="1"/>
        <rFont val="Calibri"/>
      </rPr>
      <t>- DM SPRINGER Terraplanagem</t>
    </r>
  </si>
  <si>
    <t>3.33.90.37-01</t>
  </si>
  <si>
    <t>Apoio Administrativo - Auxiliar Administrativo</t>
  </si>
  <si>
    <t>2022NE000086</t>
  </si>
  <si>
    <t>3.33.90.37-02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</si>
  <si>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SULCLEAN</t>
    </r>
  </si>
  <si>
    <t>2022NE000061</t>
  </si>
  <si>
    <t>2021NE000012</t>
  </si>
  <si>
    <t>3.33.90.37-03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</si>
  <si>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</t>
    </r>
  </si>
  <si>
    <t>2022NE000101</t>
  </si>
  <si>
    <t>2021NE000009</t>
  </si>
  <si>
    <t>3.33.90.37-04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</si>
  <si>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PEDRO ALBERNAZ</t>
    </r>
  </si>
  <si>
    <t>2021NE000178</t>
  </si>
  <si>
    <t>3.33.90.39-05</t>
  </si>
  <si>
    <r>
      <rPr>
        <sz val="12"/>
        <color theme="1"/>
        <rFont val="Calibri"/>
      </rPr>
      <t xml:space="preserve">Serviços Técnicos - LUMERZ &amp; CIA - </t>
    </r>
    <r>
      <rPr>
        <b/>
        <sz val="12"/>
        <color theme="1"/>
        <rFont val="Calibri"/>
      </rPr>
      <t>POÇO ARTESIANO</t>
    </r>
  </si>
  <si>
    <t>Serviços Técnicos - Sinalização Viária, Identificação de Prédios</t>
  </si>
  <si>
    <t>2022NE000159</t>
  </si>
  <si>
    <r>
      <rPr>
        <sz val="12"/>
        <color theme="1"/>
        <rFont val="Calibri"/>
      </rPr>
      <t xml:space="preserve">Serviços Técnicos -elabosação PPCI - </t>
    </r>
    <r>
      <rPr>
        <b/>
        <sz val="12"/>
        <color theme="1"/>
        <rFont val="Calibri"/>
      </rPr>
      <t>ENGEF ENGENHARIA</t>
    </r>
  </si>
  <si>
    <t>2020NE000102</t>
  </si>
  <si>
    <t>3.33.90.39-16</t>
  </si>
  <si>
    <r>
      <rPr>
        <sz val="12"/>
        <color theme="1"/>
        <rFont val="Calibri"/>
      </rPr>
      <t xml:space="preserve">Manutenção de Bens Imóveis - </t>
    </r>
    <r>
      <rPr>
        <b/>
        <sz val="12"/>
        <color theme="1"/>
        <rFont val="Calibri"/>
      </rPr>
      <t>MURANO</t>
    </r>
  </si>
  <si>
    <t>2021NE000091</t>
  </si>
  <si>
    <r>
      <rPr>
        <sz val="12"/>
        <color theme="1"/>
        <rFont val="Calibri"/>
      </rPr>
      <t>Manutenção de Rede de Alta Tensão-</t>
    </r>
    <r>
      <rPr>
        <b/>
        <sz val="12"/>
        <color theme="1"/>
        <rFont val="Calibri"/>
      </rPr>
      <t>PAULO FUCKS</t>
    </r>
  </si>
  <si>
    <t>2021NE000144</t>
  </si>
  <si>
    <r>
      <rPr>
        <sz val="12"/>
        <color theme="1"/>
        <rFont val="Calibri"/>
      </rPr>
      <t xml:space="preserve">Serviços de manutenção - </t>
    </r>
    <r>
      <rPr>
        <b/>
        <sz val="12"/>
        <color theme="1"/>
        <rFont val="Calibri"/>
      </rPr>
      <t>MURANO</t>
    </r>
  </si>
  <si>
    <t>2022NE000096</t>
  </si>
  <si>
    <t>2020NE800292</t>
  </si>
  <si>
    <t>3.33.90.39-17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</si>
  <si>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</t>
    </r>
  </si>
  <si>
    <t>2022NE000097</t>
  </si>
  <si>
    <t>2020NE800030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</si>
  <si>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</t>
    </r>
  </si>
  <si>
    <t>2022NE000070</t>
  </si>
  <si>
    <t>2021NE000008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</si>
  <si>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</t>
    </r>
  </si>
  <si>
    <t>2022NE000065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</si>
  <si>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</t>
    </r>
  </si>
  <si>
    <t>2022NE000194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</si>
  <si>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FALK (Janelas e Portas)</t>
    </r>
  </si>
  <si>
    <t>2021NE000179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</si>
  <si>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</si>
  <si>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2021NE000180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</si>
  <si>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</si>
  <si>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2021NE000181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</si>
  <si>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</si>
  <si>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3.33.90.39-19</t>
  </si>
  <si>
    <t>Manutenção e Conservação de Veículos</t>
  </si>
  <si>
    <t>2022NE000122</t>
  </si>
  <si>
    <t>2020NE800085</t>
  </si>
  <si>
    <t>3.33.90.39-43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</si>
  <si>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</si>
  <si>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2022NE000127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</si>
  <si>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</si>
  <si>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2019NE800188</t>
  </si>
  <si>
    <t>3.33.90.39-44</t>
  </si>
  <si>
    <r>
      <rPr>
        <sz val="12"/>
        <color theme="1"/>
        <rFont val="Calibri"/>
      </rPr>
      <t xml:space="preserve">Água e Esgoto - </t>
    </r>
    <r>
      <rPr>
        <b/>
        <sz val="12"/>
        <color theme="1"/>
        <rFont val="Calibri"/>
      </rPr>
      <t>CORSAN</t>
    </r>
  </si>
  <si>
    <t>2022NE000093</t>
  </si>
  <si>
    <t>2020NE800145</t>
  </si>
  <si>
    <t>3.33.90.39-47</t>
  </si>
  <si>
    <r>
      <rPr>
        <sz val="12"/>
        <color theme="1"/>
        <rFont val="Calibri"/>
      </rPr>
      <t xml:space="preserve">Serviços de Comunicação em Geral - </t>
    </r>
    <r>
      <rPr>
        <b/>
        <sz val="12"/>
        <color theme="1"/>
        <rFont val="Calibri"/>
      </rPr>
      <t>EBCT</t>
    </r>
  </si>
  <si>
    <t>2021NE000070</t>
  </si>
  <si>
    <t>3.33.90.39-62</t>
  </si>
  <si>
    <r>
      <rPr>
        <sz val="12"/>
        <color theme="1"/>
        <rFont val="Calibri"/>
      </rPr>
      <t xml:space="preserve">Serviços de Serragem - </t>
    </r>
    <r>
      <rPr>
        <b/>
        <sz val="12"/>
        <color theme="1"/>
        <rFont val="Calibri"/>
      </rPr>
      <t>SERRARIA MATENSE (JAGUARI)</t>
    </r>
  </si>
  <si>
    <t>3.33.90.39-63</t>
  </si>
  <si>
    <t>Serviços Gráficos e Editoriais</t>
  </si>
  <si>
    <t>2022NE000168</t>
  </si>
  <si>
    <t>3.33.90.39-69</t>
  </si>
  <si>
    <r>
      <rPr>
        <sz val="12"/>
        <color theme="1"/>
        <rFont val="Calibri"/>
      </rPr>
      <t xml:space="preserve">Seguros em Geral - </t>
    </r>
    <r>
      <rPr>
        <b/>
        <sz val="12"/>
        <color theme="1"/>
        <rFont val="Calibri"/>
      </rPr>
      <t>GENTE SEGURADORA S/A</t>
    </r>
  </si>
  <si>
    <t>2022NE000160</t>
  </si>
  <si>
    <t>2020NE800026</t>
  </si>
  <si>
    <t>3.33.90.39-78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</si>
  <si>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DEDETIZAÇÃO -DEDESET</t>
    </r>
  </si>
  <si>
    <t>2022NE000115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</si>
  <si>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AMBSERV</t>
    </r>
  </si>
  <si>
    <t>2020NE800247</t>
  </si>
  <si>
    <t>3.33.90.39-92</t>
  </si>
  <si>
    <r>
      <rPr>
        <sz val="12"/>
        <color theme="1"/>
        <rFont val="Calibri"/>
      </rPr>
      <t>Publicidade legal Jornal -</t>
    </r>
    <r>
      <rPr>
        <b/>
        <sz val="12"/>
        <color theme="1"/>
        <rFont val="Calibri"/>
      </rPr>
      <t>GIBBOR PUBLICIDADE</t>
    </r>
  </si>
  <si>
    <t>2022NE000100</t>
  </si>
  <si>
    <t>2021NE000097</t>
  </si>
  <si>
    <t>3.33.90.40-14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</si>
  <si>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 xml:space="preserve">OI S/A </t>
    </r>
  </si>
  <si>
    <t>2022NE000193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</si>
  <si>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>BRASIL SERVIÇOS TELECOMUNICAÇÕES</t>
    </r>
  </si>
  <si>
    <t>2022NE000054</t>
  </si>
  <si>
    <t>2021NE000007</t>
  </si>
  <si>
    <t>3.33.90.40-16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</si>
  <si>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</si>
  <si>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2022NE000075</t>
  </si>
  <si>
    <t>3.33.90.39-83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</si>
  <si>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</si>
  <si>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3.33.91.39-90</t>
  </si>
  <si>
    <t>Publicidade legal D.O.U -FUNIN</t>
  </si>
  <si>
    <t>2021NE000005</t>
  </si>
  <si>
    <t>3.33.91.47-12</t>
  </si>
  <si>
    <r>
      <rPr>
        <sz val="12"/>
        <color theme="1"/>
        <rFont val="Calibri"/>
      </rPr>
      <t>Tributos -</t>
    </r>
    <r>
      <rPr>
        <b/>
        <sz val="12"/>
        <color theme="1"/>
        <rFont val="Calibri"/>
      </rPr>
      <t>PIS/PASEP</t>
    </r>
  </si>
  <si>
    <t>2022NE000189</t>
  </si>
  <si>
    <t>3.33.90.47-18</t>
  </si>
  <si>
    <t>Obrigações Tributárias</t>
  </si>
  <si>
    <t>2022NE000037</t>
  </si>
  <si>
    <t>2021NE000083</t>
  </si>
  <si>
    <t>3.33.90.47-22</t>
  </si>
  <si>
    <r>
      <rPr>
        <sz val="12"/>
        <color theme="1"/>
        <rFont val="Calibri"/>
      </rPr>
      <t xml:space="preserve">Contribuição para Iluminação Pública - </t>
    </r>
    <r>
      <rPr>
        <b/>
        <sz val="12"/>
        <color theme="1"/>
        <rFont val="Calibri"/>
      </rPr>
      <t>RGE</t>
    </r>
  </si>
  <si>
    <t>2022NE000153</t>
  </si>
  <si>
    <t>3.44.90.51-91</t>
  </si>
  <si>
    <t>Obras em Andamento - Telhado agronomia- IVAN MARCOS</t>
  </si>
  <si>
    <t>Obras em Andamento - Rede Coletora para Efluentes (EO)</t>
  </si>
  <si>
    <t>Obras em Andamento - Pavilhão p/compostagem (EO)</t>
  </si>
  <si>
    <t>Obras em Andamento - Projeto Prédio de Laboratórios (EO)</t>
  </si>
  <si>
    <t>Obras em Andamento - Centro de Saúde (EO)</t>
  </si>
  <si>
    <t>Obras em Andamento - Novo Abatedouro (EO)</t>
  </si>
  <si>
    <t>Obras em Andamento - Acessibilidade Auditório (EO)</t>
  </si>
  <si>
    <t>Obras em Andamento - Ampliação do Hall do Auditório (EO)</t>
  </si>
  <si>
    <t>3.44.90.51-92</t>
  </si>
  <si>
    <t>Instalações - Placas Fotovoltaicas (EO)</t>
  </si>
  <si>
    <t>Instalações - PPCI (EO)</t>
  </si>
  <si>
    <t>2021NE000182</t>
  </si>
  <si>
    <t>3.44.90.52-33</t>
  </si>
  <si>
    <t>Equipamentos - SPACE INFORMÁTICA</t>
  </si>
  <si>
    <t>3.44.90.52-34</t>
  </si>
  <si>
    <t>Equipamentos -  Lixeiras Seletivas</t>
  </si>
  <si>
    <t>2021NE000169</t>
  </si>
  <si>
    <t>3.44.90.52-42</t>
  </si>
  <si>
    <t>Equipamentos - IND COM COLCHOES ORTHOVIDA</t>
  </si>
  <si>
    <t>2021NE000188</t>
  </si>
  <si>
    <t xml:space="preserve">Equipamentos - ESCOLARE IND </t>
  </si>
  <si>
    <t>2021NE000189</t>
  </si>
  <si>
    <t>Equipamentos - ESCRIBUL COMERCIO DE MOVEIS</t>
  </si>
  <si>
    <t>DPDI - DIRETORIA DE PLANEJ E DESENV INSTITUCIONAL</t>
  </si>
  <si>
    <t>GERAL</t>
  </si>
  <si>
    <t>2022NE000063</t>
  </si>
  <si>
    <t>3.33.90.39-48</t>
  </si>
  <si>
    <t>Serviços de Seleção e Treinamento - Concurso Público</t>
  </si>
  <si>
    <t>2022NE000106</t>
  </si>
  <si>
    <t>3.44.90.52-35</t>
  </si>
  <si>
    <t>Equipamentos de TIC Permanente - NADJA MARINA</t>
  </si>
  <si>
    <t>Equipamentos de TIC Permanente - Estações Alto Desemp. (E.O.)</t>
  </si>
  <si>
    <t>Equipamentos de TIC Permanente - Computadores (Extraorçam.)</t>
  </si>
  <si>
    <t>2021NE000192</t>
  </si>
  <si>
    <t>3.44.90.52-30</t>
  </si>
  <si>
    <t>Equipamentos -NADJA MARINA PIRES</t>
  </si>
  <si>
    <t>2021NE000195</t>
  </si>
  <si>
    <t>Equipamentos -GP TRADE CONPANY ELETRÔNICA</t>
  </si>
  <si>
    <t>2021NE000191</t>
  </si>
  <si>
    <t>Equipamentos -B2G COMERCIO DE PRODUTOS LTDA</t>
  </si>
  <si>
    <t>2021NE000193</t>
  </si>
  <si>
    <t>Equipamentos -SOLARIS TELEINFORMÁTICA LTDA</t>
  </si>
  <si>
    <t>2021NE000148</t>
  </si>
  <si>
    <t>3.44.90.52-41</t>
  </si>
  <si>
    <r>
      <rPr>
        <sz val="12"/>
        <color theme="1"/>
        <rFont val="Calibri"/>
      </rPr>
      <t>Equipamentos -DELL (</t>
    </r>
    <r>
      <rPr>
        <b/>
        <sz val="12"/>
        <color theme="1"/>
        <rFont val="Calibri"/>
      </rPr>
      <t>Emenda Parlamentar</t>
    </r>
    <r>
      <rPr>
        <sz val="12"/>
        <color theme="1"/>
        <rFont val="Calibri"/>
      </rPr>
      <t>)</t>
    </r>
  </si>
  <si>
    <t>2022NE000105</t>
  </si>
  <si>
    <t>2021NE000139</t>
  </si>
  <si>
    <r>
      <rPr>
        <sz val="12"/>
        <color theme="1"/>
        <rFont val="Calibri"/>
      </rPr>
      <t>Equipamentos -DELL/</t>
    </r>
    <r>
      <rPr>
        <b/>
        <sz val="12"/>
        <color theme="1"/>
        <rFont val="Calibri"/>
      </rPr>
      <t>ATHENAS</t>
    </r>
  </si>
  <si>
    <t>2021NE000140</t>
  </si>
  <si>
    <t>Equipamentos -DATEN</t>
  </si>
  <si>
    <t>2021NE000141</t>
  </si>
  <si>
    <t>Equipamentos -PERFIL</t>
  </si>
  <si>
    <t>2021NE000175</t>
  </si>
  <si>
    <t>Equipamentos - LIDER NOTE BOOKS</t>
  </si>
  <si>
    <t>2022NE000107</t>
  </si>
  <si>
    <t>3.44.90.52-45</t>
  </si>
  <si>
    <t>Equipamentos de TIC Permanente - HKA TECNOLOGIA</t>
  </si>
  <si>
    <t>2021NE000194</t>
  </si>
  <si>
    <t>3.44.90.52-47</t>
  </si>
  <si>
    <t>Equipamentos - LICITEC TECNOLOGIA</t>
  </si>
  <si>
    <t>SIG/AWMB E SIG AWMB/CONT (reitoria)</t>
  </si>
  <si>
    <t xml:space="preserve">PIIQP </t>
  </si>
  <si>
    <t>3.33.90.18-01</t>
  </si>
  <si>
    <t xml:space="preserve">PIIQPPE </t>
  </si>
  <si>
    <t xml:space="preserve">FUNDO DE TI </t>
  </si>
  <si>
    <t>3.33.90.30-17</t>
  </si>
  <si>
    <t>Material de Consumo - Processamento de Dados</t>
  </si>
  <si>
    <t>Material de Consumo - Elétrico e Eletrônico</t>
  </si>
  <si>
    <t>3.33.90.30-29</t>
  </si>
  <si>
    <t>Material de Consumo - Áudio, Video e Foto</t>
  </si>
  <si>
    <t>Serviços Técnicos Profissionais</t>
  </si>
  <si>
    <t>3.33.90.40-06</t>
  </si>
  <si>
    <t>FUNDO DE TI - Locação de Software</t>
  </si>
  <si>
    <t>3.33.90.40-07</t>
  </si>
  <si>
    <t>FUNDO DE TI - Manut Corret/Adapt e Sustentação de Software</t>
  </si>
  <si>
    <t>3.33.90.40-12</t>
  </si>
  <si>
    <t>FUNDO DE TI - Manut e Conserv de Equipamentos de TIC</t>
  </si>
  <si>
    <t>PID</t>
  </si>
  <si>
    <t>3.33.90.36-06</t>
  </si>
  <si>
    <t>Serviços Técnicos Profissionais - PF</t>
  </si>
  <si>
    <t>Contribuição Patronal - Serviços de Terceiros PF</t>
  </si>
  <si>
    <t>CAPACITAÇÃO DE SERVIDORES</t>
  </si>
  <si>
    <t>Reembolso de Passagens (terrestres, aéreas, ...)</t>
  </si>
  <si>
    <t>PROCESSO SELETIVO</t>
  </si>
  <si>
    <t>Diárias a Servidores</t>
  </si>
  <si>
    <t>2022NE000161</t>
  </si>
  <si>
    <t>Serviços Gráficos e Editoriais- POLIMPRESSOS</t>
  </si>
  <si>
    <t>2021NE000124</t>
  </si>
  <si>
    <t>Serviços Gráficos e Editoriais- GL EDITORA</t>
  </si>
  <si>
    <t>2021NE000125</t>
  </si>
  <si>
    <t>Serviços Gráficos e Editoriais- CADE NEVES</t>
  </si>
  <si>
    <t>2021NE000127</t>
  </si>
  <si>
    <t>Serviços Gráficos e Editoriais- RB COMUNIC. VISUAL</t>
  </si>
  <si>
    <t>2021NE000128</t>
  </si>
  <si>
    <t>Serviços Gráficos e Editoriais- GRÁFICA LUAR</t>
  </si>
  <si>
    <t>2021NE000129</t>
  </si>
  <si>
    <t>Serviços Gráficos e Editoriais-ROGER BRAHUN</t>
  </si>
  <si>
    <t>TI</t>
  </si>
  <si>
    <t>2022NE000110</t>
  </si>
  <si>
    <t>2020NE800414</t>
  </si>
  <si>
    <t>Material de Consumo - Processamento de Dados - C MOURA/BNB</t>
  </si>
  <si>
    <t>2022NE000111</t>
  </si>
  <si>
    <t>Material de Consumo - Processamento de Dados- PELSTER</t>
  </si>
  <si>
    <t>2022NE000112</t>
  </si>
  <si>
    <t>Material de Consumo - Processamento de Dados- MARCIA ADRIANA</t>
  </si>
  <si>
    <t>2022NE000113</t>
  </si>
  <si>
    <t>Material de Consumo - Processamento de Dados- ALZOTEC</t>
  </si>
  <si>
    <t>2022NE000114</t>
  </si>
  <si>
    <t>Material de Consumo - Processamento de Dados- V.C. DA ROCHA</t>
  </si>
  <si>
    <t>2022NE000003</t>
  </si>
  <si>
    <t>2022NE000004</t>
  </si>
  <si>
    <t>Material de Consumo - Processamento de Dados- ELETROQUIP</t>
  </si>
  <si>
    <t>2022NE000005</t>
  </si>
  <si>
    <t>Material de Consumo - Processamento de Dados- J.C.MENDES</t>
  </si>
  <si>
    <t>2022NE000007</t>
  </si>
  <si>
    <t>Material de Consumo - Processamento de Dados- NORTON</t>
  </si>
  <si>
    <t>2022NE000009</t>
  </si>
  <si>
    <t>Material de Consumo - Processamento de Dados- V.C.DA ROCHA</t>
  </si>
  <si>
    <t>2022NE000011</t>
  </si>
  <si>
    <t>Material de Consumo - Processamento de Dados- BNB COMÉRCIO</t>
  </si>
  <si>
    <t>2022NE000012</t>
  </si>
  <si>
    <t>2022NE000013</t>
  </si>
  <si>
    <t>2022NE000014</t>
  </si>
  <si>
    <t>2022NE000015</t>
  </si>
  <si>
    <t>Material de Consumo - Processamento de Dados- ZENITE</t>
  </si>
  <si>
    <t>2022NE000010</t>
  </si>
  <si>
    <t>Material de Consumo - Processamento de Dados- C KOZAR DOS SANTOS</t>
  </si>
  <si>
    <t>2022NE000006</t>
  </si>
  <si>
    <t>Material de Consumo - Processamento de Dados- NETLIFE COM</t>
  </si>
  <si>
    <t>2022NE000008</t>
  </si>
  <si>
    <t>Material de Consumo - Processamento de Dados- QUALITY</t>
  </si>
  <si>
    <t>2022NE000099</t>
  </si>
  <si>
    <t>2020NE800024</t>
  </si>
  <si>
    <r>
      <rPr>
        <sz val="12"/>
        <color theme="1"/>
        <rFont val="Calibri"/>
      </rPr>
      <t xml:space="preserve">Manutenção Corretiva/Adaptativa e Sustentação - </t>
    </r>
    <r>
      <rPr>
        <b/>
        <sz val="12"/>
        <color theme="1"/>
        <rFont val="Calibri"/>
      </rPr>
      <t>ACECOM</t>
    </r>
  </si>
  <si>
    <t>2022NE000021</t>
  </si>
  <si>
    <t>3.33.90.40-11</t>
  </si>
  <si>
    <t>Material de Consumo - Processamento de Dados- ABR INFORMÁTICA</t>
  </si>
  <si>
    <t>2021NE000092</t>
  </si>
  <si>
    <r>
      <rPr>
        <sz val="12"/>
        <color theme="1"/>
        <rFont val="Calibri"/>
      </rPr>
      <t xml:space="preserve">Manutenção Central Telefônica - </t>
    </r>
    <r>
      <rPr>
        <b/>
        <sz val="12"/>
        <color theme="1"/>
        <rFont val="Calibri"/>
      </rPr>
      <t>FG REGINATO</t>
    </r>
  </si>
  <si>
    <t>2022NE000098</t>
  </si>
  <si>
    <t>2021NE000011</t>
  </si>
  <si>
    <r>
      <rPr>
        <sz val="12"/>
        <color theme="1"/>
        <rFont val="Calibri"/>
      </rPr>
      <t xml:space="preserve">Manutenção de Equipamentos de Informática - </t>
    </r>
    <r>
      <rPr>
        <b/>
        <sz val="12"/>
        <color theme="1"/>
        <rFont val="Calibri"/>
      </rPr>
      <t>ACECOM</t>
    </r>
  </si>
  <si>
    <t>2022NE000186</t>
  </si>
  <si>
    <r>
      <rPr>
        <sz val="12"/>
        <color theme="1"/>
        <rFont val="Calibri"/>
      </rPr>
      <t xml:space="preserve">Manutenção de Equipamentos de Informática - </t>
    </r>
    <r>
      <rPr>
        <b/>
        <sz val="12"/>
        <color theme="1"/>
        <rFont val="Calibri"/>
      </rPr>
      <t>ACECOM</t>
    </r>
  </si>
  <si>
    <t>2022NE000083</t>
  </si>
  <si>
    <t>2021NE000006</t>
  </si>
  <si>
    <r>
      <rPr>
        <sz val="12"/>
        <color theme="1"/>
        <rFont val="Calibri"/>
      </rPr>
      <t xml:space="preserve">Comunicação de Dados - Link Internet - </t>
    </r>
    <r>
      <rPr>
        <b/>
        <sz val="12"/>
        <color theme="1"/>
        <rFont val="Calibri"/>
      </rPr>
      <t>BRASIL SERV TELECOM</t>
    </r>
  </si>
  <si>
    <t>2022NE000043</t>
  </si>
  <si>
    <t>3.33.90.40-13</t>
  </si>
  <si>
    <r>
      <rPr>
        <sz val="12"/>
        <color theme="1"/>
        <rFont val="Calibri"/>
      </rPr>
      <t xml:space="preserve">Comunicação de Dados - </t>
    </r>
    <r>
      <rPr>
        <b/>
        <sz val="12"/>
        <color theme="1"/>
        <rFont val="Calibri"/>
      </rPr>
      <t>MENDEX</t>
    </r>
  </si>
  <si>
    <t>Telefonia Fixa e Móvel</t>
  </si>
  <si>
    <t>DE - DIRETORIA DE ENSINO</t>
  </si>
  <si>
    <t>2022NE000044</t>
  </si>
  <si>
    <t>2022NE000073</t>
  </si>
  <si>
    <t>Reeembolso/ressarcimento despesas servidores/DE</t>
  </si>
  <si>
    <t>3.33.90.30-11</t>
  </si>
  <si>
    <t>Material de Consumo - Químicos</t>
  </si>
  <si>
    <t>2022NE000137</t>
  </si>
  <si>
    <t>3.33.90.30-14</t>
  </si>
  <si>
    <t xml:space="preserve">Material de Consumo - Educativo e Esportivo  ANDRE E. S. SCHILLING </t>
  </si>
  <si>
    <t>2022NE000138</t>
  </si>
  <si>
    <t>Material de Consumo - Educativo e Esportivo - MARKAS</t>
  </si>
  <si>
    <t>2022NE000139</t>
  </si>
  <si>
    <t>Material de Consumo - Educativo e Esportivo</t>
  </si>
  <si>
    <t>2022NE000140</t>
  </si>
  <si>
    <t>2022NE000141</t>
  </si>
  <si>
    <t>2022NE000142</t>
  </si>
  <si>
    <t>Material de Consumo - Educativo e Esportivo - TOP HOUSE</t>
  </si>
  <si>
    <t>2022NE000182</t>
  </si>
  <si>
    <t>Material de Consumo - Educativo e Esportivo - ANA CATIA DOS SANTOS</t>
  </si>
  <si>
    <t>Material de Consumo - Expediente</t>
  </si>
  <si>
    <t>Material de Consumo - Uniformes, Tecidos e Aviamentos</t>
  </si>
  <si>
    <t>2022NE000176</t>
  </si>
  <si>
    <t>3.33.90.30-35</t>
  </si>
  <si>
    <t>Material de Consumo - Laboratorial - AWKALAB - Prod p/Laborat</t>
  </si>
  <si>
    <t>2022NE000177</t>
  </si>
  <si>
    <t>Material de Consumo - Laboratorial - MAKLAB COMERCIAL</t>
  </si>
  <si>
    <t>2022NE000178</t>
  </si>
  <si>
    <t>Material de Consumo - Laboratorial - CLAVIO PADOIN</t>
  </si>
  <si>
    <t>2022NE000179</t>
  </si>
  <si>
    <t>Material de Consumo - Laboratorial - QUALY COMERCIAL EIRELI</t>
  </si>
  <si>
    <t>2022NE000180</t>
  </si>
  <si>
    <t>Material de Consumo - Laboratorial - NATIVALAB Prod Laboratoriais</t>
  </si>
  <si>
    <t>2022NE000181</t>
  </si>
  <si>
    <t>Material de Consumo - Laboratorial - EXON Artigos p/ Laboratórios</t>
  </si>
  <si>
    <t>2022NE000183</t>
  </si>
  <si>
    <t>Material de Consumo - Laboratorial - JOSIEL DANILO DA SILVA</t>
  </si>
  <si>
    <t>3.33.90.30-40</t>
  </si>
  <si>
    <t>Material de Consumo - Biológico</t>
  </si>
  <si>
    <t>Locação de Meios de Transporte</t>
  </si>
  <si>
    <t>2022NE000116</t>
  </si>
  <si>
    <t>Diárias a Colaboradores Eventuais - Geral</t>
  </si>
  <si>
    <t>Diárias a Colaboradores Eventuais - Semanas Acadêmicas</t>
  </si>
  <si>
    <t>Serviços Técnicos Profissionais - PF - Semanas Acadêmicas</t>
  </si>
  <si>
    <t>2022NE000108</t>
  </si>
  <si>
    <t>2021NE000016</t>
  </si>
  <si>
    <r>
      <rPr>
        <sz val="12"/>
        <color theme="1"/>
        <rFont val="Calibri"/>
      </rPr>
      <t xml:space="preserve">Apoio Administrativo - </t>
    </r>
    <r>
      <rPr>
        <b/>
        <sz val="12"/>
        <color theme="1"/>
        <rFont val="Calibri"/>
      </rPr>
      <t>Cuidador -PHENIX</t>
    </r>
  </si>
  <si>
    <t>2021NE000071</t>
  </si>
  <si>
    <t xml:space="preserve">Manutenção Equipamentos Laboratórios - MEGA SOLUÇÕES CIENTÍFICAS </t>
  </si>
  <si>
    <t>2021NE000072</t>
  </si>
  <si>
    <t>Manutenção Equipamentos Laboratórios</t>
  </si>
  <si>
    <t>Serviços de Seleção e Treinamento - Teatro</t>
  </si>
  <si>
    <t>3.33.90.39-70</t>
  </si>
  <si>
    <t>Confecção de Uniformes, Bandeiras e Flâmulas</t>
  </si>
  <si>
    <t>2022NE062/173</t>
  </si>
  <si>
    <t>3.33.90.39-74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</si>
  <si>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SERVIÇOS DE VIAGENS</t>
    </r>
  </si>
  <si>
    <t>Serviços de Locação de Software</t>
  </si>
  <si>
    <t>Contribuições Previdenciárias-Serviços PF-Semanas Acadêmicas</t>
  </si>
  <si>
    <t>3.44.90.52-08</t>
  </si>
  <si>
    <t>Material Permanente - Equip Laboratórios (Extraorçamentário)</t>
  </si>
  <si>
    <t>2022NE000169</t>
  </si>
  <si>
    <t>3.44.90.52-18</t>
  </si>
  <si>
    <r>
      <rPr>
        <sz val="12"/>
        <color theme="1"/>
        <rFont val="Calibri"/>
      </rPr>
      <t xml:space="preserve">Material Permanente - Livros - </t>
    </r>
    <r>
      <rPr>
        <b/>
        <sz val="12"/>
        <color theme="1"/>
        <rFont val="Calibri"/>
      </rPr>
      <t>HELEN PAULA</t>
    </r>
  </si>
  <si>
    <t>Material Permanente - Mobiliário (Extraorçamentário)</t>
  </si>
  <si>
    <t xml:space="preserve">PROJETOS DE ENSINO </t>
  </si>
  <si>
    <t>Diárias a servidores - Monitoria</t>
  </si>
  <si>
    <t>Diárias a servidores - Invernada</t>
  </si>
  <si>
    <t>2022NE000095</t>
  </si>
  <si>
    <t>3.33.90.18-04</t>
  </si>
  <si>
    <t>Auxilios p/Desenv de Estudos e Pesquisas  - Monitoria</t>
  </si>
  <si>
    <t>Serviços de Seleção e Treinamento - Invernada</t>
  </si>
  <si>
    <t>ASSISTÊNCIA ESTUDANTIL</t>
  </si>
  <si>
    <t xml:space="preserve">5% CUSTEIO DO CAMPUS </t>
  </si>
  <si>
    <t>Material de Consumo - Combustível</t>
  </si>
  <si>
    <t>3.33.90.30-09</t>
  </si>
  <si>
    <t>Material de Consumo - Medicamentos</t>
  </si>
  <si>
    <t>3.33.90.30-10</t>
  </si>
  <si>
    <t>Material de Consumo - Odontológico</t>
  </si>
  <si>
    <t>3.33.90.30-36</t>
  </si>
  <si>
    <t>Material de Consumo - Hospitalar</t>
  </si>
  <si>
    <t>Apoio Administrativo - Serviços Agropecuários</t>
  </si>
  <si>
    <t>Manutenção e Conserv de Bens Imóveis</t>
  </si>
  <si>
    <t>2022NE000104</t>
  </si>
  <si>
    <t>3.33.90.39-23</t>
  </si>
  <si>
    <r>
      <rPr>
        <sz val="12"/>
        <color theme="1"/>
        <rFont val="Calibri"/>
      </rPr>
      <t xml:space="preserve">Festividades e Homenagens - Formaturas - </t>
    </r>
    <r>
      <rPr>
        <b/>
        <sz val="12"/>
        <color theme="1"/>
        <rFont val="Calibri"/>
      </rPr>
      <t>CIRANGELO</t>
    </r>
  </si>
  <si>
    <t>Seguros em Geral</t>
  </si>
  <si>
    <t>2022NE000118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</si>
  <si>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</si>
  <si>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PNAES - PTRES 170804</t>
  </si>
  <si>
    <t>2022NE000039</t>
  </si>
  <si>
    <t>Bolsas de Estudo no País - Bolsas de Apoio</t>
  </si>
  <si>
    <t>2022NE000038</t>
  </si>
  <si>
    <t>2022NE000119</t>
  </si>
  <si>
    <t>2022NE000191</t>
  </si>
  <si>
    <t>Auxílios para Estudos e Pesquisas</t>
  </si>
  <si>
    <t>2022NE000136</t>
  </si>
  <si>
    <r>
      <rPr>
        <sz val="12"/>
        <color theme="1"/>
        <rFont val="Calibri"/>
      </rPr>
      <t xml:space="preserve">Auxílios para Estudos e Pesquisas - Eventos - </t>
    </r>
    <r>
      <rPr>
        <b/>
        <sz val="12"/>
        <color theme="1"/>
        <rFont val="Calibri"/>
      </rPr>
      <t>PROJETO RONDOM</t>
    </r>
  </si>
  <si>
    <t>Auxílios para Estudos e Pesquisas - Eventual</t>
  </si>
  <si>
    <t>Auxílios para Estudos e Pesquisas - Inclusão Digital</t>
  </si>
  <si>
    <t>RIP - PTRES 170803</t>
  </si>
  <si>
    <t>2022NE000081</t>
  </si>
  <si>
    <t>2020NE800018</t>
  </si>
  <si>
    <t>Material de Consumo - Gás EICHELT EICHELT</t>
  </si>
  <si>
    <t>2022NE000145</t>
  </si>
  <si>
    <t>2022NE000188</t>
  </si>
  <si>
    <t>2022NE000036</t>
  </si>
  <si>
    <t>Material de Consumo - Gêneros de Alimentação-VALDERI</t>
  </si>
  <si>
    <t>2020NE800375</t>
  </si>
  <si>
    <t>Material de Consumo - Gêneros de Alimentação- JULIANO FRANCISCATO</t>
  </si>
  <si>
    <t>Material de Consumo - Gêneros de Alimentação - Agric Familiar</t>
  </si>
  <si>
    <t>2021NE000027</t>
  </si>
  <si>
    <t>Material de Consumo - Gêneros de Alimentação- LINASSI</t>
  </si>
  <si>
    <t>2021NE000170</t>
  </si>
  <si>
    <t>2021NE000172</t>
  </si>
  <si>
    <t>2021NE000173</t>
  </si>
  <si>
    <t>2021NE000176</t>
  </si>
  <si>
    <t>2022NE000149</t>
  </si>
  <si>
    <t>2022NE000150</t>
  </si>
  <si>
    <t xml:space="preserve">Material de Consumo - Gêneros de Alimentação-ANGELICA LOPES SAUERESSIG  </t>
  </si>
  <si>
    <t>2022NE000151</t>
  </si>
  <si>
    <t>Material de Consumo - Gêneros de Alimentação-LEANDRO SOUZA COIMBRA</t>
  </si>
  <si>
    <t>2020NE800412</t>
  </si>
  <si>
    <t>Material de Consumo - Embalagens - DELCIO</t>
  </si>
  <si>
    <t>2022NE000080</t>
  </si>
  <si>
    <r>
      <rPr>
        <sz val="12"/>
        <color theme="1"/>
        <rFont val="Calibri"/>
      </rPr>
      <t xml:space="preserve">Apoio Administrativo - Portaria - </t>
    </r>
    <r>
      <rPr>
        <b/>
        <sz val="12"/>
        <color theme="1"/>
        <rFont val="Calibri"/>
      </rPr>
      <t>SULPORT</t>
    </r>
  </si>
  <si>
    <t>2022NE000060</t>
  </si>
  <si>
    <r>
      <rPr>
        <sz val="12"/>
        <color theme="1"/>
        <rFont val="Calibri"/>
      </rPr>
      <t xml:space="preserve">Apoio Administrativo - Lavanderia- </t>
    </r>
    <r>
      <rPr>
        <b/>
        <sz val="12"/>
        <color theme="1"/>
        <rFont val="Calibri"/>
      </rPr>
      <t>MERCOSERVICE</t>
    </r>
  </si>
  <si>
    <t>2022NE000074</t>
  </si>
  <si>
    <r>
      <rPr>
        <sz val="12"/>
        <color theme="1"/>
        <rFont val="Calibri"/>
      </rPr>
      <t xml:space="preserve">Apoio Administrativo - Caldeira - </t>
    </r>
    <r>
      <rPr>
        <b/>
        <sz val="12"/>
        <color theme="1"/>
        <rFont val="Calibri"/>
      </rPr>
      <t>SULPORT</t>
    </r>
  </si>
  <si>
    <t>2022NE000087</t>
  </si>
  <si>
    <t>2021NE000040</t>
  </si>
  <si>
    <r>
      <rPr>
        <sz val="12"/>
        <color theme="1"/>
        <rFont val="Calibri"/>
      </rPr>
      <t>Limpeza e Conservação -</t>
    </r>
    <r>
      <rPr>
        <b/>
        <sz val="12"/>
        <color theme="1"/>
        <rFont val="Calibri"/>
      </rPr>
      <t xml:space="preserve"> SULCLEAN</t>
    </r>
  </si>
  <si>
    <t>2022NE000079</t>
  </si>
  <si>
    <t>2021NE000046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</si>
  <si>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PHENIX</t>
    </r>
  </si>
  <si>
    <t>2022NE000187</t>
  </si>
  <si>
    <t>2021NE000045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</si>
  <si>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</t>
    </r>
  </si>
  <si>
    <t>2022NE000034</t>
  </si>
  <si>
    <t>2021NE000047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</si>
  <si>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</t>
    </r>
  </si>
  <si>
    <t>2022NE000027/88</t>
  </si>
  <si>
    <t>3.33.90.37-05</t>
  </si>
  <si>
    <r>
      <rPr>
        <sz val="12"/>
        <color theme="1"/>
        <rFont val="Calibri"/>
      </rPr>
      <t xml:space="preserve">Serviços de Copa e Cozinha- </t>
    </r>
    <r>
      <rPr>
        <b/>
        <sz val="12"/>
        <color theme="1"/>
        <rFont val="Calibri"/>
      </rPr>
      <t>SULPORT</t>
    </r>
  </si>
  <si>
    <t>2022NE000167</t>
  </si>
  <si>
    <r>
      <rPr>
        <sz val="12"/>
        <color theme="1"/>
        <rFont val="Calibri"/>
      </rPr>
      <t xml:space="preserve">Serviços de Copa e Cozinha- </t>
    </r>
    <r>
      <rPr>
        <b/>
        <sz val="12"/>
        <color theme="1"/>
        <rFont val="Calibri"/>
      </rPr>
      <t>SAMMA</t>
    </r>
  </si>
  <si>
    <t>2021NE000142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</si>
  <si>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MURANO</t>
    </r>
  </si>
  <si>
    <t>2020NE000101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</si>
  <si>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MURANO</t>
    </r>
  </si>
  <si>
    <t>2021NE000145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</si>
  <si>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MURANO</t>
    </r>
  </si>
  <si>
    <t>2021NE000119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</si>
  <si>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</si>
  <si>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2022NE000126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</si>
  <si>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</si>
  <si>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2022NE000163</t>
  </si>
  <si>
    <t>2021NE000146</t>
  </si>
  <si>
    <t>3.33.90.39-79</t>
  </si>
  <si>
    <r>
      <rPr>
        <sz val="12"/>
        <color theme="1"/>
        <rFont val="Calibri"/>
      </rPr>
      <t xml:space="preserve">Apoio Técnico e Operacional - Operador de Caldeira - </t>
    </r>
    <r>
      <rPr>
        <b/>
        <sz val="12"/>
        <color theme="1"/>
        <rFont val="Calibri"/>
      </rPr>
      <t>SULPORT</t>
    </r>
  </si>
  <si>
    <t>Apoio Técnico e Operacional - Inspeção Caldeira</t>
  </si>
  <si>
    <t>2022NE000064</t>
  </si>
  <si>
    <t>Reeembolso/ressarcimento despesas servidores/CAE</t>
  </si>
  <si>
    <t>3.44.90.52-12</t>
  </si>
  <si>
    <t>Material Permanente - Ar Condicionados (Extraorçamentário)</t>
  </si>
  <si>
    <t>2020NE800378</t>
  </si>
  <si>
    <t>Material Permanente - CCK</t>
  </si>
  <si>
    <t xml:space="preserve">Material Permanente - </t>
  </si>
  <si>
    <t>FNDE</t>
  </si>
  <si>
    <t>2020NE800267</t>
  </si>
  <si>
    <t>3.33.90.32-05</t>
  </si>
  <si>
    <t>Alimentação Escolar - JULIANO FRANCISCATTO</t>
  </si>
  <si>
    <t>2020NE800373</t>
  </si>
  <si>
    <t>2021NE000118</t>
  </si>
  <si>
    <t>Alimentação Escolar - Agricultura Familiar- CLIVIAN LICHTENECKER</t>
  </si>
  <si>
    <t>2021NE000114</t>
  </si>
  <si>
    <t>Alimentação Escolar - Agricultura Familiar- JULIANA LUTZ</t>
  </si>
  <si>
    <t>2021NE000112</t>
  </si>
  <si>
    <t>Alimentação Escolar - Agricultura Familiar- JOCENARA MARTINS</t>
  </si>
  <si>
    <t>2021NE000117</t>
  </si>
  <si>
    <t>Alimentação Escolar - Agricultura Familiar- HUMBERTO LUTZ</t>
  </si>
  <si>
    <t>2021NE000113</t>
  </si>
  <si>
    <t>Alimentação Escolar - Agricultura Familiar- JOÃO VALTAIR GUASSO</t>
  </si>
  <si>
    <t>2021NE000116</t>
  </si>
  <si>
    <t>Alimentação Escolar - Agricultura Familiar- ANCELMO CONCEIÇÃO</t>
  </si>
  <si>
    <t>2021NE000107</t>
  </si>
  <si>
    <t>2021NE000115</t>
  </si>
  <si>
    <t>Alimentação Escolar - Agricultura Familiar- CARLOS VIELMO</t>
  </si>
  <si>
    <t>2021NE000108</t>
  </si>
  <si>
    <t>Alimentação Escolar - Agricultura Familiar- GILNEI SEVERO</t>
  </si>
  <si>
    <t>2021NE000109</t>
  </si>
  <si>
    <t>Alimentação Escolar - Agricultura Familiar- DIOVANE GUASSO</t>
  </si>
  <si>
    <t>2021NE000110</t>
  </si>
  <si>
    <t>Alimentação Escolar - Agricultura Familiar- IVAN GUASSO</t>
  </si>
  <si>
    <t>2021NE000111</t>
  </si>
  <si>
    <t>Alimentação Escolar - Agricultura Familiar- EDILAINE MARTINS</t>
  </si>
  <si>
    <t xml:space="preserve">Alimentação Escolar - Agricultura Familiar- </t>
  </si>
  <si>
    <t>2022NE000058</t>
  </si>
  <si>
    <t>2021NE000162</t>
  </si>
  <si>
    <r>
      <rPr>
        <sz val="12"/>
        <color theme="1"/>
        <rFont val="Calibri"/>
      </rPr>
      <t xml:space="preserve">Alimentação Escolar - </t>
    </r>
    <r>
      <rPr>
        <b/>
        <sz val="12"/>
        <color theme="1"/>
        <rFont val="Calibri"/>
      </rPr>
      <t>LINASSI</t>
    </r>
  </si>
  <si>
    <t>2022NE000072</t>
  </si>
  <si>
    <t>2021NE000163</t>
  </si>
  <si>
    <t>Alimentação Escolar - LINASSI/VALDERI</t>
  </si>
  <si>
    <t>2021NE000164</t>
  </si>
  <si>
    <t>Alimentação Escolar - LINASSI</t>
  </si>
  <si>
    <t xml:space="preserve">AÇÕES INCLUSIVAS </t>
  </si>
  <si>
    <t>NAPNE</t>
  </si>
  <si>
    <t>Contribuições Previdenciárias-Serviços PF</t>
  </si>
  <si>
    <t>NEABI</t>
  </si>
  <si>
    <t>NUGEDIS</t>
  </si>
  <si>
    <t>BIBLIOTECA</t>
  </si>
  <si>
    <t>Material Permanente - Livros (Extraorçamentário)</t>
  </si>
  <si>
    <t>3.33.90.39-99</t>
  </si>
  <si>
    <t>Biblioteca Virtual (serviço )</t>
  </si>
  <si>
    <t>COORDENAÇÕES EIXOS/CURSOS</t>
  </si>
  <si>
    <t>DPEP - DIRETORIA DE PESQUISA, EXTENSÃO E PRODUÇÃO</t>
  </si>
  <si>
    <t xml:space="preserve">PESQUISA </t>
  </si>
  <si>
    <t>PROJETOS DE PESQUISA</t>
  </si>
  <si>
    <t>2022NE000001</t>
  </si>
  <si>
    <t>Auxílios BOLSAS para Estudos e Pesquisas</t>
  </si>
  <si>
    <t>2022NE000198</t>
  </si>
  <si>
    <t>Auxílios BOLSAS para Estudos e Pesquisas (Edital 308/2022)</t>
  </si>
  <si>
    <t>3.33.90.48-01</t>
  </si>
  <si>
    <t>Auxílio a Pessoas Físicas - PUBLICAÇÕES</t>
  </si>
  <si>
    <t>2022NE000040</t>
  </si>
  <si>
    <t>Diárias a servidores -</t>
  </si>
  <si>
    <t>OUTRAS DESPESAS COM PESQUISA</t>
  </si>
  <si>
    <t>2022NE000041</t>
  </si>
  <si>
    <t>Diárias a servidores - Demandas Regionais</t>
  </si>
  <si>
    <t>Diárias a servidores - MEPT</t>
  </si>
  <si>
    <t>Diárias a servidores - Grupos de Pesquisa</t>
  </si>
  <si>
    <t>Auxílios p/Desenv de Estudos e Pesquisas - Grupos de Pesquisa</t>
  </si>
  <si>
    <t>Material de Consumo - Limpeza e Higienização</t>
  </si>
  <si>
    <t>Material de Consumo - Laboratorial</t>
  </si>
  <si>
    <t>Locação de Transporte - MEPT</t>
  </si>
  <si>
    <t>Diárias a Colaboradores Eventuais - Demandas Regionais</t>
  </si>
  <si>
    <t>EXTENSÃO</t>
  </si>
  <si>
    <t>PROJETOS DE EXTENSÃO- PI - LEN09P20FAI</t>
  </si>
  <si>
    <t>2022NE000042</t>
  </si>
  <si>
    <t>Diárias a servidores - Eventos Regionais</t>
  </si>
  <si>
    <t>2022NE000123</t>
  </si>
  <si>
    <t>BOLSA DE EXTENSÃO ESTUDANTES</t>
  </si>
  <si>
    <t>BOLSA DE EXTENSÃO ESTUDANTES - PATAS DADAS</t>
  </si>
  <si>
    <t>BOLSA REF EDITAL PISSF 2021-PROJ MULHERES EMPREENDEDORAS-AUGUSTO</t>
  </si>
  <si>
    <t>Auxílios para Estudos e Pesquisas - Eventos Regionais</t>
  </si>
  <si>
    <t>Auxílios para Estudos e Pesquisas - Demandas Regionais</t>
  </si>
  <si>
    <t>2022NE000162</t>
  </si>
  <si>
    <t>2020NE800310</t>
  </si>
  <si>
    <t>Serviços Gráficos e Editoriais - POLIMPRESSOS SERVIÇOS</t>
  </si>
  <si>
    <t>2022NE000164</t>
  </si>
  <si>
    <t>Serviços Gráficos e Editoriais - RB COMUNICAÇÃO</t>
  </si>
  <si>
    <t>2022NE000121</t>
  </si>
  <si>
    <t>Auxílio a Pessoa Física - Demandas Regionais- ALEX CATADOR</t>
  </si>
  <si>
    <t>OUTRAS DESPESAS COM EXTENSÃO</t>
  </si>
  <si>
    <t>Diárias a servidores - Jogos, Festivais e Mostras</t>
  </si>
  <si>
    <t>Diárias a servidores - Feiras</t>
  </si>
  <si>
    <t>3.33.90.30-18</t>
  </si>
  <si>
    <t>Materias e Medicamentos Veterinários - "Bem Estar Animal"</t>
  </si>
  <si>
    <t>Uniformes, Tecidos e Aviamentos - Jogos, Festivais e Mostras</t>
  </si>
  <si>
    <t>2022NE000165</t>
  </si>
  <si>
    <t>Material esportivo - 100 SPORTS</t>
  </si>
  <si>
    <t>Locação de Transporte - Jogos, Festivais e Mostras</t>
  </si>
  <si>
    <t>Diárias a Colaboradores Eventuais - Jogos, Festivais e Mostras</t>
  </si>
  <si>
    <t>Diárias a Colaboradores Eventuais - Feiras</t>
  </si>
  <si>
    <t>Serviços Técnicos Profissionais - PF - Eventos Regionais</t>
  </si>
  <si>
    <t>3.33.90.36-28</t>
  </si>
  <si>
    <t>Serviço de Seleção e Treinamento -Jogos, Festivais e Mostras</t>
  </si>
  <si>
    <t>2022NE000166</t>
  </si>
  <si>
    <t>Serviços Técnicos Profissionais - PJ - SHOW ARISON E EMERSON</t>
  </si>
  <si>
    <t>2022NE000174</t>
  </si>
  <si>
    <t>Serviços Técnicos Profissionais - PJ - MS EVENTOS EIRELI</t>
  </si>
  <si>
    <t>Manutenção e Conservação de Veículos - "Bem Estar Animal"</t>
  </si>
  <si>
    <t>Festividades e Homenagens</t>
  </si>
  <si>
    <t>3.33.90.39-59</t>
  </si>
  <si>
    <t>Serviços de Áudio, Vídeo e Foto</t>
  </si>
  <si>
    <t>PRODUÇÃO</t>
  </si>
  <si>
    <t>2022NE000092</t>
  </si>
  <si>
    <t>2022NE000024</t>
  </si>
  <si>
    <t>Reeembolso/ressarcimento despesas servidores - DPEP</t>
  </si>
  <si>
    <t>2022NE000084</t>
  </si>
  <si>
    <t>2022NE000185</t>
  </si>
  <si>
    <t>Material de Consumo - Gás - EICHELT &amp; EICHELT</t>
  </si>
  <si>
    <t>2022NE000085</t>
  </si>
  <si>
    <t>3.33.90.30-06</t>
  </si>
  <si>
    <t>Mat Consumo - Alimentação Animal- GRUPO FG</t>
  </si>
  <si>
    <t>2022NE000016</t>
  </si>
  <si>
    <t>2021NE000039</t>
  </si>
  <si>
    <t>Material de Consumo - Alimentação Animal -FRANCINE*/JOSE EURICO</t>
  </si>
  <si>
    <t>2022NE000017</t>
  </si>
  <si>
    <t>2021NE000159</t>
  </si>
  <si>
    <t>Material de Consumo - Alimentação Animal GRUPO FG</t>
  </si>
  <si>
    <t>2022NE000023</t>
  </si>
  <si>
    <t>2022NE000020</t>
  </si>
  <si>
    <t>2021NE000183</t>
  </si>
  <si>
    <t>Material de Consumo - Alimentação Animal -VETSUL/AGRIVET</t>
  </si>
  <si>
    <t>2022NE000077</t>
  </si>
  <si>
    <t>2021NE000184</t>
  </si>
  <si>
    <t>Material de Consumo - Alimentação Animal -JOSÉ EURICO</t>
  </si>
  <si>
    <t>2022NE000170</t>
  </si>
  <si>
    <t>2022NE000171</t>
  </si>
  <si>
    <t>Material de Consumo - Alimentação Animal -AGRIVET</t>
  </si>
  <si>
    <t>2022NE000078</t>
  </si>
  <si>
    <t>Material de Consumo - Alimentação Animal -ANDRASCHKO</t>
  </si>
  <si>
    <t>2022NE000035</t>
  </si>
  <si>
    <t>2021NE000185</t>
  </si>
  <si>
    <t>Material Consumo - Alimentação Animal AGROFORTE/JOSE EURICO</t>
  </si>
  <si>
    <t>2022NE000090</t>
  </si>
  <si>
    <t>Mat Consumo - Alimentação Animal- JOSE EURICO</t>
  </si>
  <si>
    <t>2022NE000124</t>
  </si>
  <si>
    <t>2022NE000129</t>
  </si>
  <si>
    <t>2022NE000125</t>
  </si>
  <si>
    <t>Material de Consumo - GRUPO FG</t>
  </si>
  <si>
    <t>2022NE000195</t>
  </si>
  <si>
    <t>2022NE000196</t>
  </si>
  <si>
    <t>2022NE000199</t>
  </si>
  <si>
    <t>Mat Consumo - Alimentação Animal- ANDRASCHICO &amp; ANDRASCHICO</t>
  </si>
  <si>
    <t>2022NE000028</t>
  </si>
  <si>
    <t>2022NE000091</t>
  </si>
  <si>
    <t>2022NE000094</t>
  </si>
  <si>
    <t>2022NE000144</t>
  </si>
  <si>
    <t>3.33.90.30-08</t>
  </si>
  <si>
    <t>Material de Consumo - Animais para Pesquisa e Abate</t>
  </si>
  <si>
    <t>2021NE000157</t>
  </si>
  <si>
    <t>Material de Consumo - Animais para Pesquisa e Abate- MAGNO K</t>
  </si>
  <si>
    <t>2022NE000152</t>
  </si>
  <si>
    <t>Material de Consumo - Animais para Pesquisa e Abate - AGROFORTE</t>
  </si>
  <si>
    <t>2020NE800155</t>
  </si>
  <si>
    <t>Material de Consumo - Químicos - FRANCINE GUIDO</t>
  </si>
  <si>
    <t>2021NE000103</t>
  </si>
  <si>
    <t>Material de Consumo - Químicos - CALIBRY</t>
  </si>
  <si>
    <t>2022NE000033</t>
  </si>
  <si>
    <t>3.33.90.30-12</t>
  </si>
  <si>
    <t>Material de Consumo - Coudelaria e Zootécnico-MAGNO</t>
  </si>
  <si>
    <t>Material de Consumo - Mat e Medic Veterinários</t>
  </si>
  <si>
    <t>2020NE800381</t>
  </si>
  <si>
    <t>Material de Consumo - Mat e Medic Veterinários-RENATO PINTO</t>
  </si>
  <si>
    <t>2022NE000175</t>
  </si>
  <si>
    <t>Material de Consumo - Embalagem - AGROFORTE</t>
  </si>
  <si>
    <t>2021NE000196</t>
  </si>
  <si>
    <t>Material de Consumo - Embalagem - DOCAMPOAGRICOLA LTDA</t>
  </si>
  <si>
    <t>2022NE000201</t>
  </si>
  <si>
    <t>Material de Consumo - Embalagem - BV EQUIP DE PROTEÇÃO</t>
  </si>
  <si>
    <t>2022NE000202</t>
  </si>
  <si>
    <t>Material de Consumo - Embalagem - PABLO LUIS MARTINS</t>
  </si>
  <si>
    <t>2021NE000151</t>
  </si>
  <si>
    <t>Material de Consumo - Limpeza e Higienização - LEANDRO COIMBRA</t>
  </si>
  <si>
    <t>Material de Consumo - Manut de Bens Imóveis/Instalações</t>
  </si>
  <si>
    <t>Material de Consumo - Manut de Imóveis (Central de Resíduo)</t>
  </si>
  <si>
    <t>Material de Consumo - Proteção e Segurança</t>
  </si>
  <si>
    <t>2022NE000029</t>
  </si>
  <si>
    <t>3.33.90.30-31</t>
  </si>
  <si>
    <t>Material de Consumo - Sementes, Mudas e Insumos-AGROFORTE</t>
  </si>
  <si>
    <t>2022NE000030</t>
  </si>
  <si>
    <t>Mat Consumo - Sementes, Mudas e Insumos - FRANCINE/HELO</t>
  </si>
  <si>
    <t>2022NE000031</t>
  </si>
  <si>
    <t>Mat Consumo - Sementes, Mudas e Insumos - OSMAR JOAO</t>
  </si>
  <si>
    <t>2022NE000032</t>
  </si>
  <si>
    <t>Mat Consumo - Sementes, Mudas e Insumos - PLANTAR AGRICOLA</t>
  </si>
  <si>
    <t>2022NE000102</t>
  </si>
  <si>
    <t>2022NE000155</t>
  </si>
  <si>
    <t>2022NE000156</t>
  </si>
  <si>
    <t>Mat Consumo - Sementes, Mudas e Insumos - TERRAMAQ</t>
  </si>
  <si>
    <t>2022NE000157</t>
  </si>
  <si>
    <t>2021NE000100</t>
  </si>
  <si>
    <t>Material consumo - LAB VISION</t>
  </si>
  <si>
    <t>Material consumo - CALIBRY</t>
  </si>
  <si>
    <t>2021NE000105</t>
  </si>
  <si>
    <t>Material consumo - BASPRIX</t>
  </si>
  <si>
    <t>Material de Consumo - Conservação de Véiculos</t>
  </si>
  <si>
    <t>2021NE000104</t>
  </si>
  <si>
    <t>2022NE000192</t>
  </si>
  <si>
    <t>Material Consumo - Ferramentas - AGROFORTE</t>
  </si>
  <si>
    <t>3.33.90.30-48</t>
  </si>
  <si>
    <t>Material de Consumo - B Móveis ñ Ativáveis (Central de Resíduos)</t>
  </si>
  <si>
    <t>2022NE000071/82</t>
  </si>
  <si>
    <t>2021NE000013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</si>
  <si>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</t>
    </r>
  </si>
  <si>
    <t>2022NE000117</t>
  </si>
  <si>
    <r>
      <rPr>
        <sz val="12"/>
        <color rgb="FFFF00FF"/>
        <rFont val="Calibri"/>
      </rPr>
      <t xml:space="preserve">Apoio Administrativo - Serviços Agropecuários- </t>
    </r>
    <r>
      <rPr>
        <b/>
        <sz val="12"/>
        <color rgb="FFFF00FF"/>
        <rFont val="Calibri"/>
      </rPr>
      <t>SERVITECK</t>
    </r>
  </si>
  <si>
    <t>2022NE000154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</si>
  <si>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PHENIX</t>
    </r>
  </si>
  <si>
    <t>2022NE000103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</si>
  <si>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SERVITECK- abr e mai/22</t>
    </r>
  </si>
  <si>
    <t>2022NE000022</t>
  </si>
  <si>
    <r>
      <rPr>
        <sz val="12"/>
        <color theme="1"/>
        <rFont val="Calibri"/>
      </rPr>
      <t xml:space="preserve">Manut de Equipamentos - Ordenhadeira - </t>
    </r>
    <r>
      <rPr>
        <b/>
        <sz val="12"/>
        <color theme="1"/>
        <rFont val="Calibri"/>
      </rPr>
      <t>DANIELI AGRO</t>
    </r>
  </si>
  <si>
    <t>2022NE000026</t>
  </si>
  <si>
    <r>
      <rPr>
        <sz val="12"/>
        <color theme="1"/>
        <rFont val="Calibri"/>
      </rPr>
      <t xml:space="preserve">Manut de Equipamentos - Ordenhadeira - </t>
    </r>
    <r>
      <rPr>
        <b/>
        <sz val="12"/>
        <color theme="1"/>
        <rFont val="Calibri"/>
      </rPr>
      <t>DANIELI AGRO</t>
    </r>
  </si>
  <si>
    <t>Manut de Equipamentos - Silos e Motores</t>
  </si>
  <si>
    <t>2021NE000186</t>
  </si>
  <si>
    <r>
      <rPr>
        <sz val="12"/>
        <color theme="1"/>
        <rFont val="Calibri"/>
      </rPr>
      <t xml:space="preserve">Serviços de Produção Industrial - </t>
    </r>
    <r>
      <rPr>
        <b/>
        <sz val="12"/>
        <color theme="1"/>
        <rFont val="Calibri"/>
      </rPr>
      <t>SERRALHERIA MATENSE</t>
    </r>
  </si>
  <si>
    <t>2022NE000019</t>
  </si>
  <si>
    <t>2021NE000024</t>
  </si>
  <si>
    <r>
      <rPr>
        <sz val="12"/>
        <color theme="1"/>
        <rFont val="Calibri"/>
      </rPr>
      <t>Serviço manutenção maquinas  -</t>
    </r>
    <r>
      <rPr>
        <b/>
        <sz val="12"/>
        <color theme="1"/>
        <rFont val="Calibri"/>
      </rPr>
      <t>LUIS ANTONIO</t>
    </r>
  </si>
  <si>
    <t>Obras em Andamento - Galpões Tampo (Extraorçamentário)</t>
  </si>
  <si>
    <t>Instalações - Tanque para Combustível (Extraorçamentário)</t>
  </si>
  <si>
    <t>2021NE000143</t>
  </si>
  <si>
    <t>Equipamentos- ALTA COMÉRCIO</t>
  </si>
  <si>
    <t>2022NE000109</t>
  </si>
  <si>
    <t>3.44.90.52-46</t>
  </si>
  <si>
    <t>Semoventes e equipamentos de montaria - MAGNO</t>
  </si>
  <si>
    <t>2022NE000190</t>
  </si>
  <si>
    <t>2021NE000197</t>
  </si>
  <si>
    <t>3.44.90.52-40</t>
  </si>
  <si>
    <t>Equipamentos- DOCAMPOAGRICOLA IND DE MAQ AGRIC LTDA</t>
  </si>
  <si>
    <t>DESPESAS REALIZADAS PELA REITORIA</t>
  </si>
  <si>
    <t>3.33.90.20-00</t>
  </si>
  <si>
    <t>Auxílio Financeiro à Pesquisadores - Cartão BB Pesquisa</t>
  </si>
  <si>
    <t>3.33.90.30.01</t>
  </si>
  <si>
    <t>3.33.90.36-07</t>
  </si>
  <si>
    <t>Estagiários - SIAPE</t>
  </si>
  <si>
    <t>3.33.90.40-00</t>
  </si>
  <si>
    <t>Fundo de TI</t>
  </si>
  <si>
    <t>CORTES ORÇAMENTÁRIOS</t>
  </si>
  <si>
    <t>RESUMO GERAL DA EXECUÇÃO ORÇAMENTÁRIA</t>
  </si>
  <si>
    <t>MATRIZ - PA</t>
  </si>
  <si>
    <t>AJUSTES</t>
  </si>
  <si>
    <t>MATRIZ-AJUSTADO</t>
  </si>
  <si>
    <t>OUTROS</t>
  </si>
  <si>
    <t>PERCENTUAIS COMPARATIVOS</t>
  </si>
  <si>
    <t>RAP ANULADO</t>
  </si>
  <si>
    <t>CONTROLE DE NCs RECEBIDAS - LIBERAÇÃO DE ORÇAMENTO - MATRIZ</t>
  </si>
  <si>
    <t>CONTROLE DE NCs RECEBIDAS - LIBERAÇÃO DE ORÇAMENTO - ASSISTÊNCIA</t>
  </si>
  <si>
    <t>CONTROLE DE NCs RECEBIDAS - LIBERAÇÃO DE ORÇAMENTO - FNDE</t>
  </si>
  <si>
    <t>CONTROLE DE NCs RECEBIDAS - LIBERAÇÃO DE ORÇAMENTO - RECEITA PRÓPRIA</t>
  </si>
  <si>
    <t>CONTROLE DE NCs RECEBIDAS - LIBERAÇÃO DE ORÇAMENTO - OUTRAS FONTES</t>
  </si>
  <si>
    <t>ORÇAMENTO PLANEJADO</t>
  </si>
  <si>
    <t>ORÇAMENTO LIBERADO</t>
  </si>
  <si>
    <t>ORÇAMENTO EMPENHADO</t>
  </si>
  <si>
    <t>ORÇAMENTO EXECUTADO</t>
  </si>
  <si>
    <t>ORÇAMENTO PAGO</t>
  </si>
  <si>
    <t>SALDO PLANEJADO A LIBERAR</t>
  </si>
  <si>
    <t>RESUMO DA RECEITA POR FONTE</t>
  </si>
  <si>
    <t>VALORES RETIDOS NA REITORIA (ESTIMADO)</t>
  </si>
  <si>
    <t>SALDO LIBERADO A EMPENHAR</t>
  </si>
  <si>
    <t>ORÇAMENTO MATRIZ</t>
  </si>
  <si>
    <t>PIIQP</t>
  </si>
  <si>
    <t>SALDO EMPENHADO A EXECUTAR</t>
  </si>
  <si>
    <t>CARTÃO BB PESQUISA</t>
  </si>
  <si>
    <t>SALDO EXECUTADO A PAGAR</t>
  </si>
  <si>
    <t>MANUTENÇÃO DA FROTA</t>
  </si>
  <si>
    <t>SALDO DE RESTOS A PAGAR</t>
  </si>
  <si>
    <t>RECEITAS PRÓPRIAS</t>
  </si>
  <si>
    <t>ESTAGIÁRIOS</t>
  </si>
  <si>
    <t>RESTOS A PAGAR PAGOS</t>
  </si>
  <si>
    <t>OUTRAS FONTES</t>
  </si>
  <si>
    <t>FUNDO DE TI</t>
  </si>
  <si>
    <t>RESTOS A PAGAR ANULADOS</t>
  </si>
  <si>
    <t>TOTAL DA RECEITA</t>
  </si>
  <si>
    <t>DESPESA POR ELEMENTO DE DESPESA</t>
  </si>
  <si>
    <t>AJUSTADO</t>
  </si>
  <si>
    <r>
      <rPr>
        <sz val="12"/>
        <color theme="1"/>
        <rFont val="Calibri"/>
      </rPr>
      <t>RAP</t>
    </r>
    <r>
      <rPr>
        <sz val="9"/>
        <color theme="1"/>
        <rFont val="Calibri"/>
      </rPr>
      <t xml:space="preserve"> </t>
    </r>
    <r>
      <rPr>
        <sz val="8"/>
        <color theme="1"/>
        <rFont val="Calibri"/>
      </rPr>
      <t>(CANCELADO)</t>
    </r>
  </si>
  <si>
    <t>Linha de apuração de diferenças ------------------------------------------------&gt;</t>
  </si>
  <si>
    <t>ND</t>
  </si>
  <si>
    <t>Diárias à Servidores no País</t>
  </si>
  <si>
    <t>Auxílios Financeiraos à Estudantes</t>
  </si>
  <si>
    <t>Auxílio Financeiraos a Pesquisadores - Cartão BB Pesquisa</t>
  </si>
  <si>
    <t>Passagens no País</t>
  </si>
  <si>
    <t>Diárias à Colaboradores Eventuais</t>
  </si>
  <si>
    <t>Serviço de Seleção e Treinamento</t>
  </si>
  <si>
    <t>Ressarcimento de Despesas</t>
  </si>
  <si>
    <t>Material de Consumo - Combustíveis e Lubrificantes</t>
  </si>
  <si>
    <t>Material de Consumo - Gás e outros engarrafados</t>
  </si>
  <si>
    <t>Material de Consumo - Alimentação Animal</t>
  </si>
  <si>
    <t>Material de Consumo - Animais para pesquisa e abate</t>
  </si>
  <si>
    <t>Material de Consumo - Produtos Químicos</t>
  </si>
  <si>
    <t>Material de Consumo - Coudelaria e Zootécnico</t>
  </si>
  <si>
    <t>Material de Consumo - Material e Medicamentos Veterinário</t>
  </si>
  <si>
    <t>Material de Consumo - Copa e Cozinha</t>
  </si>
  <si>
    <t>Material de Consumo - Material de Limpeza</t>
  </si>
  <si>
    <t xml:space="preserve">Material para Distribuição Gratuíta - Alimentação Escolar </t>
  </si>
  <si>
    <t xml:space="preserve">Apoio Administrativo </t>
  </si>
  <si>
    <t>Limpeza e Conservação</t>
  </si>
  <si>
    <t xml:space="preserve">Vigilância </t>
  </si>
  <si>
    <t xml:space="preserve">Manutenção Predial </t>
  </si>
  <si>
    <r>
      <rPr>
        <sz val="11"/>
        <color theme="1"/>
        <rFont val="Calibri"/>
      </rPr>
      <t xml:space="preserve">Serviços de Copa e Cozinha- </t>
    </r>
    <r>
      <rPr>
        <b/>
        <sz val="11"/>
        <color theme="1"/>
        <rFont val="Calibri"/>
      </rPr>
      <t>SULPORT</t>
    </r>
  </si>
  <si>
    <t>Manutenção de Bens Imóveis</t>
  </si>
  <si>
    <t>Manutenção de Equipamentos</t>
  </si>
  <si>
    <t xml:space="preserve">Energia Elétrica </t>
  </si>
  <si>
    <t xml:space="preserve">Água e Esgoto </t>
  </si>
  <si>
    <t xml:space="preserve">Serviços de Comunicação em Geral </t>
  </si>
  <si>
    <t>Serviços de Seleção e Treinamento</t>
  </si>
  <si>
    <t>Serviços de Natureza Industrial</t>
  </si>
  <si>
    <t>Serviços de Transportes</t>
  </si>
  <si>
    <r>
      <rPr>
        <sz val="11"/>
        <color theme="1"/>
        <rFont val="Calibri"/>
      </rPr>
      <t xml:space="preserve">Apoio Técnico e Operacional - Operador de Caldeira - </t>
    </r>
    <r>
      <rPr>
        <b/>
        <sz val="11"/>
        <color theme="1"/>
        <rFont val="Calibri"/>
      </rPr>
      <t>SULPORT</t>
    </r>
  </si>
  <si>
    <r>
      <rPr>
        <sz val="11"/>
        <color theme="1"/>
        <rFont val="Calibri"/>
      </rPr>
      <t xml:space="preserve">Outsourcing de Impressão - </t>
    </r>
    <r>
      <rPr>
        <b/>
        <sz val="11"/>
        <color theme="1"/>
        <rFont val="Calibri"/>
      </rPr>
      <t>FULLPRINT</t>
    </r>
  </si>
  <si>
    <t xml:space="preserve">Publicidade Legal </t>
  </si>
  <si>
    <t>Locação de Software</t>
  </si>
  <si>
    <t>Manut Corret/Adapt e Sustentação de Software</t>
  </si>
  <si>
    <t>Manut e Conserv de Equipamentos de TIC</t>
  </si>
  <si>
    <t>Comunicação de Dados</t>
  </si>
  <si>
    <t>Outsourcing de Impressão</t>
  </si>
  <si>
    <r>
      <rPr>
        <sz val="11"/>
        <color theme="1"/>
        <rFont val="Calibri"/>
      </rPr>
      <t>Tributos -</t>
    </r>
    <r>
      <rPr>
        <b/>
        <sz val="11"/>
        <color theme="1"/>
        <rFont val="Calibri"/>
      </rPr>
      <t>PIS/PASEP</t>
    </r>
  </si>
  <si>
    <r>
      <rPr>
        <sz val="11"/>
        <color theme="1"/>
        <rFont val="Calibri"/>
      </rPr>
      <t xml:space="preserve">Contribuição para Iluminação Pública - </t>
    </r>
    <r>
      <rPr>
        <b/>
        <sz val="11"/>
        <color theme="1"/>
        <rFont val="Calibri"/>
      </rPr>
      <t>RGE</t>
    </r>
  </si>
  <si>
    <t>Auxílio a Pessoas Físicas</t>
  </si>
  <si>
    <r>
      <rPr>
        <sz val="11"/>
        <color theme="1"/>
        <rFont val="Calibri"/>
      </rPr>
      <t>Equipamentos -DELL (</t>
    </r>
    <r>
      <rPr>
        <b/>
        <sz val="11"/>
        <color theme="1"/>
        <rFont val="Calibri"/>
      </rPr>
      <t>Emenda Parlamentar</t>
    </r>
    <r>
      <rPr>
        <sz val="11"/>
        <color theme="1"/>
        <rFont val="Calibri"/>
      </rPr>
      <t>)</t>
    </r>
  </si>
  <si>
    <t>DISTRIBUIÇÃO DO ORÇAMENTO POR FONTE DE RECURSO</t>
  </si>
  <si>
    <t>DISTRIBUIÇÃO DAS RESERVAS ORÇAMENTÁRIAS</t>
  </si>
  <si>
    <t>DISTRIBUIÇÃO DO ORÇAMENTO DA ASSISTÊNCIA ESTUDANTIL</t>
  </si>
  <si>
    <t>RECURSO LIVRE</t>
  </si>
  <si>
    <t>DISTRIBUIÇÃO DA MATRIZ ORÇAMENTÁRIA POR DIRETORIA</t>
  </si>
  <si>
    <t>DESPESA EMPENHADA POR DIRETORIA</t>
  </si>
  <si>
    <t>DESPESA EXECUTADA POR DIRETORIA</t>
  </si>
  <si>
    <t>ORÇAMENTO FUNCIONAMENTO (POR MÊS)</t>
  </si>
  <si>
    <t>MÊS DE REFERÊNCIA</t>
  </si>
  <si>
    <t>PLANEJADO</t>
  </si>
  <si>
    <t>LIBERADO</t>
  </si>
  <si>
    <t>ORÇAMENTO PLANEJADO X ORÇAMENTO LIBERADO</t>
  </si>
  <si>
    <t>DESPESAS EMPENHADAS, LIQUIDADAS E PAGAS</t>
  </si>
  <si>
    <t>EXECUÇÃO DOS RESTOS A PAGAR - RAPs</t>
  </si>
  <si>
    <t>RECEITA ARRECADADA POR FONTE DE RECURSO</t>
  </si>
  <si>
    <t>RECURSOS MATRIZ ORÇAMENTÁRIA</t>
  </si>
  <si>
    <t>ORÇAMENTO LIBERADO - MATRIZ ORÇAMENTÁRIA</t>
  </si>
  <si>
    <t>RAPs - INSCRITOS</t>
  </si>
  <si>
    <t>RAPs - PAGOS</t>
  </si>
  <si>
    <t>RAPs - SALDO</t>
  </si>
  <si>
    <t>RAPs - ANULADOS</t>
  </si>
  <si>
    <t>RECEITAS X DESPESAS por FONTE</t>
  </si>
  <si>
    <t>RECEITAS</t>
  </si>
  <si>
    <t>DESPESAS</t>
  </si>
  <si>
    <t>R$ 2.729.510,83</t>
  </si>
  <si>
    <t>R$ 211.879,45</t>
  </si>
  <si>
    <t>R$ -</t>
  </si>
  <si>
    <t>R$ 259.523,00</t>
  </si>
  <si>
    <t>EXECUÇÃO DA DESPESA - EMPENHADAS E PAGAS</t>
  </si>
  <si>
    <t>EMPENHADAS</t>
  </si>
  <si>
    <t>PAGAS</t>
  </si>
  <si>
    <t>RESTOS A PG</t>
  </si>
  <si>
    <t>R$ 3.969.684,38</t>
  </si>
  <si>
    <t>R$ 2.274.304,11</t>
  </si>
  <si>
    <t>R$ 1.695.380,27</t>
  </si>
  <si>
    <t>R$ 1.456.238,36</t>
  </si>
  <si>
    <t>R$ 1.273.272,47</t>
  </si>
  <si>
    <t>R$ 16.822,85</t>
  </si>
  <si>
    <t>R$ 195.056,60</t>
  </si>
  <si>
    <t>R$ 150.000,00</t>
  </si>
  <si>
    <t>R$ 109.523,00</t>
  </si>
  <si>
    <t>TOTAIS</t>
  </si>
  <si>
    <t>R$ 7.170.597,66</t>
  </si>
  <si>
    <t>R$ 3.897.365,32</t>
  </si>
  <si>
    <t>R$ 3.273.232,34</t>
  </si>
  <si>
    <t>EXECUÇÃO DA DESPESA - EMPENHO DO ANO + RAP</t>
  </si>
  <si>
    <t>RAPs PAGOS</t>
  </si>
  <si>
    <t>NEs PAGOS</t>
  </si>
  <si>
    <t>R$ 2.301.158,37</t>
  </si>
  <si>
    <t>R$ 4.575.462,48</t>
  </si>
  <si>
    <t>R$ 563.572,97</t>
  </si>
  <si>
    <t>R$ 2.019.811,33</t>
  </si>
  <si>
    <t>R$ 109.517,50</t>
  </si>
  <si>
    <t>R$ 126.340,35</t>
  </si>
  <si>
    <t>R$ 162.520,00</t>
  </si>
  <si>
    <t>R$ 312.520,00</t>
  </si>
  <si>
    <t>R$ 3.136.768,84</t>
  </si>
  <si>
    <t>R$ 7.034.134,16</t>
  </si>
  <si>
    <t>DESPESAS PREDOMINANTES</t>
  </si>
  <si>
    <t>CONTRATOS DE MÃO DE OBRA</t>
  </si>
  <si>
    <t>R$ 359.097,32</t>
  </si>
  <si>
    <t>R$ 1.297.330,85</t>
  </si>
  <si>
    <t>R$ 1.656.428,17</t>
  </si>
  <si>
    <t>ENERGIA ELÉTRICA</t>
  </si>
  <si>
    <t>R$ 304.859,82</t>
  </si>
  <si>
    <t>R$ 567,13</t>
  </si>
  <si>
    <t>R$ 305.426,95</t>
  </si>
  <si>
    <t>OUTROS CONTRATOS DE SERVIÇOS</t>
  </si>
  <si>
    <t>R$ 458.095,08</t>
  </si>
  <si>
    <t>R$ 857.039,19</t>
  </si>
  <si>
    <t>R$ 1.315.134,27</t>
  </si>
  <si>
    <t>AUXILIOS E BOLSAS</t>
  </si>
  <si>
    <t>R$ 737.856,00</t>
  </si>
  <si>
    <t>ALIMENTAÇÃO DE ESTUDANTES</t>
  </si>
  <si>
    <t>R$ 159.478,24</t>
  </si>
  <si>
    <t>R$ 89.162,95</t>
  </si>
  <si>
    <t>R$ 248.641,19</t>
  </si>
  <si>
    <t>CUSTOS DE PRODUÇÃO (MC)</t>
  </si>
  <si>
    <t>R$ 219.326,93</t>
  </si>
  <si>
    <t>R$ 499.756,19</t>
  </si>
  <si>
    <t>R$ 719.083,12</t>
  </si>
  <si>
    <t>EXTENSÃO E PESQUISA</t>
  </si>
  <si>
    <t>R$ 170.026,59</t>
  </si>
  <si>
    <t>R$ 240.104,56</t>
  </si>
  <si>
    <t>R$ 410.131,15</t>
  </si>
  <si>
    <t>MATERIAL DE CONSUMO (GERAL)</t>
  </si>
  <si>
    <t>R$ 124.530,20</t>
  </si>
  <si>
    <t>R$ 6.636,46</t>
  </si>
  <si>
    <t>R$ 131.166,66</t>
  </si>
  <si>
    <t>MARTERIAL PERMANENTE</t>
  </si>
  <si>
    <t>R$ 1.339.657,48</t>
  </si>
  <si>
    <t>R$ 139.039,99</t>
  </si>
  <si>
    <t>R$ 1.478.697,47</t>
  </si>
  <si>
    <t>OUTRAS DESPESAS</t>
  </si>
  <si>
    <t>R$ 1.697,18</t>
  </si>
  <si>
    <t>R$ 29.872,00</t>
  </si>
  <si>
    <t>R$ 31.569,18</t>
  </si>
  <si>
    <t>Bolsas de Estudo no País - Auxílios Financeiros</t>
  </si>
  <si>
    <t>Bolsas de Estudo no País - Auxílios Financeiros - PTRES MANUTENÇÃO</t>
  </si>
  <si>
    <t>Bolsas de Estudo no País - Auxílios Financeiros - EVENTOS</t>
  </si>
  <si>
    <r>
      <t xml:space="preserve">Apoio Adminsitrativo - </t>
    </r>
    <r>
      <rPr>
        <b/>
        <sz val="12"/>
        <color theme="1"/>
        <rFont val="Calibri"/>
      </rPr>
      <t>PHENIX (Cuidador PTRES 204273)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</si>
</sst>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\ * #,##0.00_-;\-&quot;R$&quot;\ * #,##0.00_-;_-&quot;R$&quot;\ * &quot;-&quot;??_-;_-@_-"/>
    <numFmt numFmtId="164" formatCode="[$R$-416]\ #,##0.00;[Red]\-[$R$-416]\ #,##0.00"/>
    <numFmt numFmtId="165" formatCode="[$R$ -416]#,##0.00"/>
    <numFmt numFmtId="166" formatCode="&quot;R$ &quot;#,##0.00;[Red]&quot;-R$ &quot;#,##0.00"/>
    <numFmt numFmtId="167" formatCode="\$#,##0.00"/>
    <numFmt numFmtId="168" formatCode="[$R$]#,##0.00"/>
    <numFmt numFmtId="169" formatCode="&quot;R$&quot;\ #,##0.00"/>
  </numFmts>
  <fonts count="45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Roboto"/>
    </font>
    <font>
      <b/>
      <sz val="14"/>
      <color theme="1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6"/>
      <color theme="1"/>
      <name val="Calibri"/>
    </font>
    <font>
      <sz val="11"/>
      <color rgb="FF000000"/>
      <name val="Calibri"/>
    </font>
    <font>
      <sz val="12"/>
      <color rgb="FFFF0000"/>
      <name val="Calibri"/>
    </font>
    <font>
      <sz val="12"/>
      <color rgb="FF000000"/>
      <name val="Calibri"/>
    </font>
    <font>
      <sz val="11"/>
      <color rgb="FFFF0000"/>
      <name val="Calibri"/>
    </font>
    <font>
      <sz val="11"/>
      <color rgb="FFFF00FF"/>
      <name val="Calibri"/>
    </font>
    <font>
      <sz val="11"/>
      <color theme="1"/>
      <name val="Calibri"/>
      <scheme val="minor"/>
    </font>
    <font>
      <sz val="11"/>
      <color rgb="FF000000"/>
      <name val="Roboto"/>
    </font>
    <font>
      <i/>
      <sz val="12"/>
      <color theme="1"/>
      <name val="Calibri"/>
    </font>
    <font>
      <b/>
      <sz val="11"/>
      <color rgb="FFAD5281"/>
      <name val="Calibri"/>
    </font>
    <font>
      <b/>
      <sz val="12"/>
      <color rgb="FFFF00FF"/>
      <name val="Calibri"/>
    </font>
    <font>
      <sz val="9"/>
      <color rgb="FF000000"/>
      <name val="Calibri"/>
    </font>
    <font>
      <b/>
      <i/>
      <sz val="12"/>
      <color theme="1"/>
      <name val="Calibri"/>
    </font>
    <font>
      <b/>
      <sz val="11"/>
      <color rgb="FFA64D79"/>
      <name val="Calibri"/>
    </font>
    <font>
      <b/>
      <sz val="11"/>
      <color rgb="FF953734"/>
      <name val="Calibri"/>
    </font>
    <font>
      <sz val="12"/>
      <color rgb="FFCC0000"/>
      <name val="Calibri"/>
    </font>
    <font>
      <b/>
      <sz val="11"/>
      <color rgb="FFFF00FF"/>
      <name val="Calibri"/>
    </font>
    <font>
      <sz val="12"/>
      <color rgb="FFFF00FF"/>
      <name val="Calibri"/>
    </font>
    <font>
      <sz val="8"/>
      <color theme="1"/>
      <name val="Calibri"/>
    </font>
    <font>
      <sz val="9"/>
      <color theme="1"/>
      <name val="Calibri"/>
    </font>
    <font>
      <sz val="11"/>
      <color rgb="FFC9DAF8"/>
      <name val="Calibri"/>
    </font>
    <font>
      <b/>
      <u/>
      <sz val="11"/>
      <color rgb="FF000000"/>
      <name val="Calibri"/>
    </font>
    <font>
      <b/>
      <sz val="11"/>
      <color rgb="FFFF0000"/>
      <name val="Calibri"/>
    </font>
    <font>
      <b/>
      <sz val="10"/>
      <color rgb="FFFF0000"/>
      <name val="Calibri"/>
    </font>
    <font>
      <sz val="11"/>
      <color rgb="FF000000"/>
      <name val="Calibri"/>
      <scheme val="minor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sz val="12"/>
      <color rgb="FFFF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D5A6BD"/>
        <bgColor rgb="FFD5A6BD"/>
      </patternFill>
    </fill>
    <fill>
      <patternFill patternType="solid">
        <fgColor theme="0"/>
        <bgColor theme="0"/>
      </patternFill>
    </fill>
    <fill>
      <patternFill patternType="solid">
        <fgColor rgb="FFB7B7B7"/>
        <bgColor rgb="FFB7B7B7"/>
      </patternFill>
    </fill>
    <fill>
      <patternFill patternType="solid">
        <fgColor rgb="FFD8D8D8"/>
        <bgColor rgb="FFD8D8D8"/>
      </patternFill>
    </fill>
    <fill>
      <patternFill patternType="solid">
        <fgColor rgb="FFFFD965"/>
        <bgColor rgb="FFFFD965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AD5281"/>
        <bgColor rgb="FFAD5281"/>
      </patternFill>
    </fill>
    <fill>
      <patternFill patternType="solid">
        <fgColor rgb="FF89C765"/>
        <bgColor rgb="FF89C765"/>
      </patternFill>
    </fill>
    <fill>
      <patternFill patternType="solid">
        <fgColor rgb="FFF6B26B"/>
        <bgColor rgb="FFF6B26B"/>
      </patternFill>
    </fill>
    <fill>
      <patternFill patternType="solid">
        <fgColor rgb="FF666666"/>
        <bgColor rgb="FF666666"/>
      </patternFill>
    </fill>
    <fill>
      <patternFill patternType="solid">
        <fgColor rgb="FF93C47D"/>
        <bgColor rgb="FF93C47D"/>
      </patternFill>
    </fill>
    <fill>
      <patternFill patternType="solid">
        <fgColor rgb="FFC9DAF8"/>
        <bgColor rgb="FFC9DAF8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4" fontId="36" fillId="0" borderId="0" applyFont="0" applyFill="0" applyBorder="0" applyAlignment="0" applyProtection="0"/>
  </cellStyleXfs>
  <cellXfs count="528">
    <xf numFmtId="0" fontId="0" fillId="0" borderId="0" xfId="0" applyFont="1" applyAlignment="1"/>
    <xf numFmtId="0" fontId="4" fillId="0" borderId="0" xfId="0" applyFont="1"/>
    <xf numFmtId="0" fontId="4" fillId="2" borderId="4" xfId="0" applyFont="1" applyFill="1" applyBorder="1"/>
    <xf numFmtId="0" fontId="5" fillId="4" borderId="4" xfId="0" applyFont="1" applyFill="1" applyBorder="1"/>
    <xf numFmtId="0" fontId="4" fillId="4" borderId="4" xfId="0" applyFont="1" applyFill="1" applyBorder="1"/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/>
    <xf numFmtId="0" fontId="4" fillId="0" borderId="0" xfId="0" applyFont="1" applyAlignment="1">
      <alignment horizontal="left"/>
    </xf>
    <xf numFmtId="0" fontId="4" fillId="6" borderId="4" xfId="0" applyFont="1" applyFill="1" applyBorder="1"/>
    <xf numFmtId="0" fontId="6" fillId="5" borderId="4" xfId="0" applyFont="1" applyFill="1" applyBorder="1"/>
    <xf numFmtId="0" fontId="5" fillId="7" borderId="5" xfId="0" applyFont="1" applyFill="1" applyBorder="1"/>
    <xf numFmtId="0" fontId="5" fillId="7" borderId="6" xfId="0" applyFont="1" applyFill="1" applyBorder="1"/>
    <xf numFmtId="0" fontId="5" fillId="7" borderId="7" xfId="0" applyFont="1" applyFill="1" applyBorder="1"/>
    <xf numFmtId="0" fontId="4" fillId="5" borderId="8" xfId="0" applyFont="1" applyFill="1" applyBorder="1"/>
    <xf numFmtId="0" fontId="4" fillId="5" borderId="9" xfId="0" applyFont="1" applyFill="1" applyBorder="1"/>
    <xf numFmtId="0" fontId="4" fillId="0" borderId="10" xfId="0" applyFont="1" applyBorder="1"/>
    <xf numFmtId="0" fontId="4" fillId="0" borderId="11" xfId="0" applyFont="1" applyBorder="1"/>
    <xf numFmtId="0" fontId="4" fillId="5" borderId="12" xfId="0" applyFont="1" applyFill="1" applyBorder="1"/>
    <xf numFmtId="0" fontId="4" fillId="5" borderId="13" xfId="0" applyFont="1" applyFill="1" applyBorder="1"/>
    <xf numFmtId="0" fontId="4" fillId="5" borderId="14" xfId="0" applyFont="1" applyFill="1" applyBorder="1"/>
    <xf numFmtId="0" fontId="7" fillId="8" borderId="15" xfId="0" applyFont="1" applyFill="1" applyBorder="1" applyAlignment="1">
      <alignment horizontal="left" vertical="center"/>
    </xf>
    <xf numFmtId="0" fontId="7" fillId="8" borderId="17" xfId="0" applyFont="1" applyFill="1" applyBorder="1" applyAlignment="1">
      <alignment horizontal="left" vertical="center"/>
    </xf>
    <xf numFmtId="0" fontId="7" fillId="8" borderId="25" xfId="0" applyFont="1" applyFill="1" applyBorder="1" applyAlignment="1">
      <alignment horizontal="center" vertical="center" wrapText="1"/>
    </xf>
    <xf numFmtId="164" fontId="9" fillId="9" borderId="25" xfId="0" applyNumberFormat="1" applyFont="1" applyFill="1" applyBorder="1" applyAlignment="1">
      <alignment horizontal="center" vertical="center" wrapText="1"/>
    </xf>
    <xf numFmtId="164" fontId="2" fillId="9" borderId="25" xfId="0" applyNumberFormat="1" applyFont="1" applyFill="1" applyBorder="1" applyAlignment="1">
      <alignment horizontal="center" vertical="center" wrapText="1"/>
    </xf>
    <xf numFmtId="164" fontId="2" fillId="10" borderId="26" xfId="0" applyNumberFormat="1" applyFont="1" applyFill="1" applyBorder="1" applyAlignment="1">
      <alignment horizontal="center" vertical="center"/>
    </xf>
    <xf numFmtId="164" fontId="2" fillId="10" borderId="25" xfId="0" applyNumberFormat="1" applyFont="1" applyFill="1" applyBorder="1" applyAlignment="1">
      <alignment horizontal="center" vertical="center"/>
    </xf>
    <xf numFmtId="164" fontId="10" fillId="10" borderId="25" xfId="0" applyNumberFormat="1" applyFont="1" applyFill="1" applyBorder="1" applyAlignment="1">
      <alignment horizontal="center" vertical="center" wrapText="1"/>
    </xf>
    <xf numFmtId="164" fontId="2" fillId="10" borderId="25" xfId="0" applyNumberFormat="1" applyFont="1" applyFill="1" applyBorder="1" applyAlignment="1">
      <alignment horizontal="center" vertical="center" wrapText="1"/>
    </xf>
    <xf numFmtId="164" fontId="2" fillId="11" borderId="25" xfId="0" applyNumberFormat="1" applyFont="1" applyFill="1" applyBorder="1" applyAlignment="1">
      <alignment horizontal="center" vertical="center"/>
    </xf>
    <xf numFmtId="164" fontId="2" fillId="11" borderId="25" xfId="0" applyNumberFormat="1" applyFont="1" applyFill="1" applyBorder="1" applyAlignment="1">
      <alignment horizontal="center" vertical="center" wrapText="1"/>
    </xf>
    <xf numFmtId="164" fontId="2" fillId="8" borderId="25" xfId="0" applyNumberFormat="1" applyFont="1" applyFill="1" applyBorder="1" applyAlignment="1">
      <alignment horizontal="center" vertical="center" wrapText="1"/>
    </xf>
    <xf numFmtId="10" fontId="2" fillId="8" borderId="25" xfId="0" applyNumberFormat="1" applyFont="1" applyFill="1" applyBorder="1" applyAlignment="1">
      <alignment horizontal="center" vertical="center"/>
    </xf>
    <xf numFmtId="0" fontId="11" fillId="8" borderId="25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/>
    </xf>
    <xf numFmtId="164" fontId="2" fillId="8" borderId="25" xfId="0" applyNumberFormat="1" applyFont="1" applyFill="1" applyBorder="1" applyAlignment="1">
      <alignment horizontal="right" vertical="center"/>
    </xf>
    <xf numFmtId="10" fontId="2" fillId="9" borderId="25" xfId="0" applyNumberFormat="1" applyFont="1" applyFill="1" applyBorder="1" applyAlignment="1">
      <alignment horizontal="center" vertical="center"/>
    </xf>
    <xf numFmtId="0" fontId="11" fillId="12" borderId="25" xfId="0" applyFont="1" applyFill="1" applyBorder="1" applyAlignment="1">
      <alignment horizontal="center" vertical="center" wrapText="1"/>
    </xf>
    <xf numFmtId="0" fontId="12" fillId="12" borderId="30" xfId="0" applyFont="1" applyFill="1" applyBorder="1" applyAlignment="1">
      <alignment vertical="center"/>
    </xf>
    <xf numFmtId="165" fontId="9" fillId="12" borderId="25" xfId="0" applyNumberFormat="1" applyFont="1" applyFill="1" applyBorder="1" applyAlignment="1">
      <alignment horizontal="right" vertical="center"/>
    </xf>
    <xf numFmtId="165" fontId="2" fillId="12" borderId="25" xfId="0" applyNumberFormat="1" applyFont="1" applyFill="1" applyBorder="1" applyAlignment="1">
      <alignment horizontal="right" vertical="center"/>
    </xf>
    <xf numFmtId="10" fontId="2" fillId="12" borderId="25" xfId="0" applyNumberFormat="1" applyFont="1" applyFill="1" applyBorder="1" applyAlignment="1">
      <alignment horizontal="center" vertical="center"/>
    </xf>
    <xf numFmtId="164" fontId="2" fillId="12" borderId="25" xfId="0" applyNumberFormat="1" applyFont="1" applyFill="1" applyBorder="1" applyAlignment="1">
      <alignment horizontal="right" vertical="center"/>
    </xf>
    <xf numFmtId="0" fontId="13" fillId="0" borderId="25" xfId="0" applyFont="1" applyBorder="1" applyAlignment="1">
      <alignment horizontal="center" vertical="center" wrapText="1"/>
    </xf>
    <xf numFmtId="0" fontId="10" fillId="0" borderId="25" xfId="0" applyFont="1" applyBorder="1" applyAlignment="1">
      <alignment vertical="center" wrapText="1"/>
    </xf>
    <xf numFmtId="165" fontId="15" fillId="9" borderId="25" xfId="0" applyNumberFormat="1" applyFont="1" applyFill="1" applyBorder="1" applyAlignment="1">
      <alignment horizontal="right" vertical="center" wrapText="1"/>
    </xf>
    <xf numFmtId="165" fontId="10" fillId="9" borderId="25" xfId="0" applyNumberFormat="1" applyFont="1" applyFill="1" applyBorder="1" applyAlignment="1">
      <alignment horizontal="right" vertical="center" wrapText="1"/>
    </xf>
    <xf numFmtId="10" fontId="10" fillId="9" borderId="25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Border="1" applyAlignment="1">
      <alignment horizontal="right" vertical="center"/>
    </xf>
    <xf numFmtId="165" fontId="2" fillId="0" borderId="25" xfId="0" applyNumberFormat="1" applyFont="1" applyBorder="1" applyAlignment="1">
      <alignment horizontal="right" vertical="center"/>
    </xf>
    <xf numFmtId="165" fontId="10" fillId="6" borderId="25" xfId="0" applyNumberFormat="1" applyFont="1" applyFill="1" applyBorder="1" applyAlignment="1">
      <alignment horizontal="right" vertical="center"/>
    </xf>
    <xf numFmtId="165" fontId="10" fillId="9" borderId="25" xfId="0" applyNumberFormat="1" applyFont="1" applyFill="1" applyBorder="1" applyAlignment="1">
      <alignment horizontal="right" vertical="center"/>
    </xf>
    <xf numFmtId="164" fontId="2" fillId="9" borderId="25" xfId="0" applyNumberFormat="1" applyFont="1" applyFill="1" applyBorder="1" applyAlignment="1">
      <alignment horizontal="right" vertical="center"/>
    </xf>
    <xf numFmtId="10" fontId="10" fillId="9" borderId="25" xfId="0" applyNumberFormat="1" applyFont="1" applyFill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/>
    </xf>
    <xf numFmtId="165" fontId="10" fillId="13" borderId="25" xfId="0" applyNumberFormat="1" applyFont="1" applyFill="1" applyBorder="1" applyAlignment="1">
      <alignment horizontal="right" vertical="center"/>
    </xf>
    <xf numFmtId="0" fontId="13" fillId="0" borderId="25" xfId="0" applyFont="1" applyBorder="1" applyAlignment="1">
      <alignment horizontal="center" vertical="center" wrapText="1"/>
    </xf>
    <xf numFmtId="165" fontId="10" fillId="9" borderId="25" xfId="0" applyNumberFormat="1" applyFont="1" applyFill="1" applyBorder="1" applyAlignment="1">
      <alignment horizontal="right" vertical="center" wrapText="1"/>
    </xf>
    <xf numFmtId="165" fontId="10" fillId="6" borderId="25" xfId="0" applyNumberFormat="1" applyFont="1" applyFill="1" applyBorder="1" applyAlignment="1">
      <alignment horizontal="right" vertical="center"/>
    </xf>
    <xf numFmtId="164" fontId="11" fillId="12" borderId="25" xfId="0" applyNumberFormat="1" applyFont="1" applyFill="1" applyBorder="1" applyAlignment="1">
      <alignment horizontal="center" vertical="center" wrapText="1"/>
    </xf>
    <xf numFmtId="164" fontId="12" fillId="12" borderId="30" xfId="0" applyNumberFormat="1" applyFont="1" applyFill="1" applyBorder="1" applyAlignment="1">
      <alignment horizontal="center" vertical="center"/>
    </xf>
    <xf numFmtId="164" fontId="9" fillId="12" borderId="25" xfId="0" applyNumberFormat="1" applyFont="1" applyFill="1" applyBorder="1" applyAlignment="1">
      <alignment horizontal="right" vertical="center"/>
    </xf>
    <xf numFmtId="10" fontId="2" fillId="12" borderId="25" xfId="0" applyNumberFormat="1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vertical="center"/>
    </xf>
    <xf numFmtId="0" fontId="13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vertical="center" wrapText="1"/>
    </xf>
    <xf numFmtId="165" fontId="15" fillId="9" borderId="31" xfId="0" applyNumberFormat="1" applyFont="1" applyFill="1" applyBorder="1" applyAlignment="1">
      <alignment horizontal="right" vertical="center" wrapText="1"/>
    </xf>
    <xf numFmtId="165" fontId="10" fillId="9" borderId="31" xfId="0" applyNumberFormat="1" applyFont="1" applyFill="1" applyBorder="1" applyAlignment="1">
      <alignment horizontal="right" vertical="center" wrapText="1"/>
    </xf>
    <xf numFmtId="165" fontId="10" fillId="0" borderId="27" xfId="0" applyNumberFormat="1" applyFont="1" applyBorder="1" applyAlignment="1">
      <alignment horizontal="right" vertical="center"/>
    </xf>
    <xf numFmtId="165" fontId="10" fillId="9" borderId="31" xfId="0" applyNumberFormat="1" applyFont="1" applyFill="1" applyBorder="1" applyAlignment="1">
      <alignment horizontal="right" vertical="center"/>
    </xf>
    <xf numFmtId="164" fontId="2" fillId="9" borderId="31" xfId="0" applyNumberFormat="1" applyFont="1" applyFill="1" applyBorder="1" applyAlignment="1">
      <alignment horizontal="right" vertical="center"/>
    </xf>
    <xf numFmtId="165" fontId="10" fillId="13" borderId="31" xfId="0" applyNumberFormat="1" applyFont="1" applyFill="1" applyBorder="1" applyAlignment="1">
      <alignment horizontal="right" vertical="center"/>
    </xf>
    <xf numFmtId="165" fontId="10" fillId="0" borderId="27" xfId="0" applyNumberFormat="1" applyFont="1" applyBorder="1" applyAlignment="1">
      <alignment horizontal="right" vertical="center"/>
    </xf>
    <xf numFmtId="0" fontId="10" fillId="0" borderId="25" xfId="0" applyFont="1" applyBorder="1" applyAlignment="1">
      <alignment vertical="center" wrapText="1"/>
    </xf>
    <xf numFmtId="165" fontId="2" fillId="9" borderId="25" xfId="0" applyNumberFormat="1" applyFont="1" applyFill="1" applyBorder="1" applyAlignment="1">
      <alignment horizontal="right" vertical="center"/>
    </xf>
    <xf numFmtId="165" fontId="15" fillId="9" borderId="25" xfId="0" applyNumberFormat="1" applyFont="1" applyFill="1" applyBorder="1" applyAlignment="1">
      <alignment horizontal="right" vertical="center" wrapText="1"/>
    </xf>
    <xf numFmtId="165" fontId="10" fillId="13" borderId="25" xfId="0" applyNumberFormat="1" applyFont="1" applyFill="1" applyBorder="1" applyAlignment="1">
      <alignment horizontal="right" vertical="center"/>
    </xf>
    <xf numFmtId="0" fontId="2" fillId="0" borderId="25" xfId="0" applyFont="1" applyBorder="1" applyAlignment="1">
      <alignment vertical="center" wrapText="1"/>
    </xf>
    <xf numFmtId="0" fontId="10" fillId="0" borderId="25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center" vertical="center" wrapText="1"/>
    </xf>
    <xf numFmtId="165" fontId="14" fillId="9" borderId="25" xfId="0" applyNumberFormat="1" applyFont="1" applyFill="1" applyBorder="1" applyAlignment="1">
      <alignment horizontal="right" vertical="center" wrapText="1"/>
    </xf>
    <xf numFmtId="0" fontId="13" fillId="0" borderId="25" xfId="0" applyFont="1" applyBorder="1" applyAlignment="1">
      <alignment horizontal="center"/>
    </xf>
    <xf numFmtId="0" fontId="10" fillId="0" borderId="25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center"/>
    </xf>
    <xf numFmtId="0" fontId="13" fillId="0" borderId="27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0" fillId="6" borderId="25" xfId="0" applyFont="1" applyFill="1" applyBorder="1" applyAlignment="1">
      <alignment vertical="center" wrapText="1"/>
    </xf>
    <xf numFmtId="0" fontId="10" fillId="6" borderId="25" xfId="0" applyFont="1" applyFill="1" applyBorder="1" applyAlignment="1">
      <alignment vertical="center" wrapText="1"/>
    </xf>
    <xf numFmtId="0" fontId="13" fillId="6" borderId="31" xfId="0" applyFont="1" applyFill="1" applyBorder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vertical="center" wrapText="1"/>
    </xf>
    <xf numFmtId="165" fontId="15" fillId="9" borderId="26" xfId="0" applyNumberFormat="1" applyFont="1" applyFill="1" applyBorder="1" applyAlignment="1">
      <alignment horizontal="right" vertical="center" wrapText="1"/>
    </xf>
    <xf numFmtId="165" fontId="10" fillId="9" borderId="26" xfId="0" applyNumberFormat="1" applyFont="1" applyFill="1" applyBorder="1" applyAlignment="1">
      <alignment horizontal="right" vertical="center" wrapText="1"/>
    </xf>
    <xf numFmtId="165" fontId="10" fillId="0" borderId="0" xfId="0" applyNumberFormat="1" applyFont="1" applyAlignment="1">
      <alignment horizontal="right" vertical="center"/>
    </xf>
    <xf numFmtId="0" fontId="4" fillId="6" borderId="25" xfId="0" applyFont="1" applyFill="1" applyBorder="1" applyAlignment="1">
      <alignment horizontal="center" vertical="center" wrapText="1"/>
    </xf>
    <xf numFmtId="165" fontId="15" fillId="9" borderId="33" xfId="0" applyNumberFormat="1" applyFont="1" applyFill="1" applyBorder="1" applyAlignment="1">
      <alignment horizontal="right" vertical="center" wrapText="1"/>
    </xf>
    <xf numFmtId="165" fontId="10" fillId="9" borderId="33" xfId="0" applyNumberFormat="1" applyFont="1" applyFill="1" applyBorder="1" applyAlignment="1">
      <alignment horizontal="right" vertical="center" wrapText="1"/>
    </xf>
    <xf numFmtId="165" fontId="10" fillId="13" borderId="27" xfId="0" applyNumberFormat="1" applyFont="1" applyFill="1" applyBorder="1" applyAlignment="1">
      <alignment horizontal="right" vertical="center"/>
    </xf>
    <xf numFmtId="0" fontId="17" fillId="6" borderId="25" xfId="0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vertical="center" wrapText="1"/>
    </xf>
    <xf numFmtId="0" fontId="13" fillId="6" borderId="25" xfId="0" applyFont="1" applyFill="1" applyBorder="1" applyAlignment="1">
      <alignment horizontal="center" vertical="center" wrapText="1"/>
    </xf>
    <xf numFmtId="165" fontId="15" fillId="9" borderId="34" xfId="0" applyNumberFormat="1" applyFont="1" applyFill="1" applyBorder="1" applyAlignment="1">
      <alignment horizontal="right" vertical="center" wrapText="1"/>
    </xf>
    <xf numFmtId="165" fontId="10" fillId="9" borderId="34" xfId="0" applyNumberFormat="1" applyFont="1" applyFill="1" applyBorder="1" applyAlignment="1">
      <alignment horizontal="right" vertical="center" wrapText="1"/>
    </xf>
    <xf numFmtId="0" fontId="13" fillId="0" borderId="24" xfId="0" applyFont="1" applyBorder="1" applyAlignment="1">
      <alignment horizontal="center" vertical="center" wrapText="1"/>
    </xf>
    <xf numFmtId="165" fontId="15" fillId="9" borderId="17" xfId="0" applyNumberFormat="1" applyFont="1" applyFill="1" applyBorder="1" applyAlignment="1">
      <alignment horizontal="right" vertical="center" wrapText="1"/>
    </xf>
    <xf numFmtId="165" fontId="10" fillId="9" borderId="17" xfId="0" applyNumberFormat="1" applyFont="1" applyFill="1" applyBorder="1" applyAlignment="1">
      <alignment horizontal="right" vertical="center" wrapText="1"/>
    </xf>
    <xf numFmtId="0" fontId="18" fillId="0" borderId="25" xfId="0" applyFont="1" applyBorder="1" applyAlignment="1">
      <alignment horizontal="center"/>
    </xf>
    <xf numFmtId="165" fontId="14" fillId="13" borderId="25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center"/>
    </xf>
    <xf numFmtId="0" fontId="11" fillId="12" borderId="31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vertical="center" wrapText="1"/>
    </xf>
    <xf numFmtId="165" fontId="9" fillId="11" borderId="25" xfId="0" applyNumberFormat="1" applyFont="1" applyFill="1" applyBorder="1" applyAlignment="1">
      <alignment horizontal="right" vertical="center" wrapText="1"/>
    </xf>
    <xf numFmtId="165" fontId="2" fillId="11" borderId="25" xfId="0" applyNumberFormat="1" applyFont="1" applyFill="1" applyBorder="1" applyAlignment="1">
      <alignment horizontal="right" vertical="center" wrapText="1"/>
    </xf>
    <xf numFmtId="10" fontId="2" fillId="14" borderId="25" xfId="0" applyNumberFormat="1" applyFont="1" applyFill="1" applyBorder="1" applyAlignment="1">
      <alignment horizontal="center" vertical="center" wrapText="1"/>
    </xf>
    <xf numFmtId="10" fontId="2" fillId="14" borderId="25" xfId="0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165" fontId="10" fillId="0" borderId="25" xfId="0" applyNumberFormat="1" applyFont="1" applyBorder="1" applyAlignment="1">
      <alignment horizontal="right" vertical="center" wrapText="1"/>
    </xf>
    <xf numFmtId="0" fontId="13" fillId="13" borderId="25" xfId="0" applyFont="1" applyFill="1" applyBorder="1" applyAlignment="1">
      <alignment horizontal="center" vertical="center" wrapText="1"/>
    </xf>
    <xf numFmtId="165" fontId="2" fillId="13" borderId="25" xfId="0" applyNumberFormat="1" applyFont="1" applyFill="1" applyBorder="1" applyAlignment="1">
      <alignment horizontal="right" vertical="center" wrapText="1"/>
    </xf>
    <xf numFmtId="165" fontId="10" fillId="13" borderId="25" xfId="0" applyNumberFormat="1" applyFont="1" applyFill="1" applyBorder="1" applyAlignment="1">
      <alignment horizontal="right" vertical="center" wrapText="1"/>
    </xf>
    <xf numFmtId="0" fontId="13" fillId="13" borderId="25" xfId="0" applyFont="1" applyFill="1" applyBorder="1" applyAlignment="1">
      <alignment horizontal="center" vertical="center" wrapText="1"/>
    </xf>
    <xf numFmtId="0" fontId="19" fillId="6" borderId="0" xfId="0" applyFont="1" applyFill="1" applyAlignment="1"/>
    <xf numFmtId="165" fontId="2" fillId="13" borderId="25" xfId="0" applyNumberFormat="1" applyFont="1" applyFill="1" applyBorder="1" applyAlignment="1">
      <alignment horizontal="right" vertical="center" wrapText="1"/>
    </xf>
    <xf numFmtId="165" fontId="10" fillId="13" borderId="25" xfId="0" applyNumberFormat="1" applyFont="1" applyFill="1" applyBorder="1" applyAlignment="1">
      <alignment horizontal="right" vertical="center" wrapText="1"/>
    </xf>
    <xf numFmtId="0" fontId="10" fillId="13" borderId="25" xfId="0" applyFont="1" applyFill="1" applyBorder="1" applyAlignment="1">
      <alignment vertical="center" wrapText="1"/>
    </xf>
    <xf numFmtId="0" fontId="13" fillId="13" borderId="35" xfId="0" applyFont="1" applyFill="1" applyBorder="1" applyAlignment="1">
      <alignment horizontal="center" vertical="center" wrapText="1"/>
    </xf>
    <xf numFmtId="165" fontId="2" fillId="9" borderId="25" xfId="0" applyNumberFormat="1" applyFont="1" applyFill="1" applyBorder="1" applyAlignment="1">
      <alignment horizontal="right" vertical="center" wrapText="1"/>
    </xf>
    <xf numFmtId="164" fontId="10" fillId="9" borderId="25" xfId="0" applyNumberFormat="1" applyFont="1" applyFill="1" applyBorder="1" applyAlignment="1">
      <alignment horizontal="right" vertical="center"/>
    </xf>
    <xf numFmtId="0" fontId="10" fillId="13" borderId="25" xfId="0" applyFont="1" applyFill="1" applyBorder="1" applyAlignment="1">
      <alignment vertical="center" wrapText="1"/>
    </xf>
    <xf numFmtId="0" fontId="18" fillId="0" borderId="25" xfId="0" applyFont="1" applyBorder="1" applyAlignment="1">
      <alignment horizontal="center"/>
    </xf>
    <xf numFmtId="164" fontId="2" fillId="13" borderId="25" xfId="0" applyNumberFormat="1" applyFont="1" applyFill="1" applyBorder="1" applyAlignment="1">
      <alignment horizontal="right" vertical="center"/>
    </xf>
    <xf numFmtId="164" fontId="10" fillId="13" borderId="25" xfId="0" applyNumberFormat="1" applyFont="1" applyFill="1" applyBorder="1" applyAlignment="1">
      <alignment horizontal="right" vertical="center"/>
    </xf>
    <xf numFmtId="164" fontId="2" fillId="13" borderId="25" xfId="0" applyNumberFormat="1" applyFont="1" applyFill="1" applyBorder="1" applyAlignment="1">
      <alignment horizontal="right" vertical="center"/>
    </xf>
    <xf numFmtId="164" fontId="10" fillId="13" borderId="25" xfId="0" applyNumberFormat="1" applyFont="1" applyFill="1" applyBorder="1" applyAlignment="1">
      <alignment horizontal="right" vertical="center"/>
    </xf>
    <xf numFmtId="164" fontId="20" fillId="13" borderId="25" xfId="0" applyNumberFormat="1" applyFont="1" applyFill="1" applyBorder="1" applyAlignment="1">
      <alignment horizontal="right" vertical="center"/>
    </xf>
    <xf numFmtId="0" fontId="13" fillId="13" borderId="31" xfId="0" applyFont="1" applyFill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right" vertical="center" wrapText="1"/>
    </xf>
    <xf numFmtId="10" fontId="2" fillId="11" borderId="25" xfId="0" applyNumberFormat="1" applyFont="1" applyFill="1" applyBorder="1" applyAlignment="1">
      <alignment horizontal="center" vertical="center"/>
    </xf>
    <xf numFmtId="165" fontId="14" fillId="9" borderId="25" xfId="0" applyNumberFormat="1" applyFont="1" applyFill="1" applyBorder="1" applyAlignment="1">
      <alignment horizontal="right" vertical="center" wrapText="1"/>
    </xf>
    <xf numFmtId="0" fontId="11" fillId="0" borderId="25" xfId="0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right" vertical="center" wrapText="1"/>
    </xf>
    <xf numFmtId="165" fontId="10" fillId="0" borderId="25" xfId="0" applyNumberFormat="1" applyFont="1" applyBorder="1" applyAlignment="1">
      <alignment horizontal="right" vertical="center" wrapText="1"/>
    </xf>
    <xf numFmtId="0" fontId="5" fillId="0" borderId="0" xfId="0" applyFont="1"/>
    <xf numFmtId="0" fontId="15" fillId="0" borderId="17" xfId="0" applyFont="1" applyBorder="1" applyAlignment="1"/>
    <xf numFmtId="0" fontId="5" fillId="11" borderId="25" xfId="0" applyFont="1" applyFill="1" applyBorder="1" applyAlignment="1">
      <alignment horizontal="center" vertical="center" wrapText="1"/>
    </xf>
    <xf numFmtId="164" fontId="10" fillId="6" borderId="25" xfId="0" applyNumberFormat="1" applyFont="1" applyFill="1" applyBorder="1" applyAlignment="1">
      <alignment horizontal="right" vertical="center"/>
    </xf>
    <xf numFmtId="164" fontId="2" fillId="0" borderId="25" xfId="0" applyNumberFormat="1" applyFont="1" applyBorder="1" applyAlignment="1">
      <alignment horizontal="right" vertical="center"/>
    </xf>
    <xf numFmtId="164" fontId="10" fillId="0" borderId="25" xfId="0" applyNumberFormat="1" applyFont="1" applyBorder="1" applyAlignment="1">
      <alignment horizontal="right" vertical="center"/>
    </xf>
    <xf numFmtId="164" fontId="2" fillId="6" borderId="25" xfId="0" applyNumberFormat="1" applyFont="1" applyFill="1" applyBorder="1" applyAlignment="1">
      <alignment horizontal="right" vertical="center"/>
    </xf>
    <xf numFmtId="164" fontId="2" fillId="14" borderId="25" xfId="0" applyNumberFormat="1" applyFont="1" applyFill="1" applyBorder="1" applyAlignment="1">
      <alignment horizontal="right" vertical="center"/>
    </xf>
    <xf numFmtId="0" fontId="13" fillId="0" borderId="24" xfId="0" applyFont="1" applyBorder="1" applyAlignment="1">
      <alignment horizontal="center"/>
    </xf>
    <xf numFmtId="164" fontId="10" fillId="0" borderId="25" xfId="0" applyNumberFormat="1" applyFont="1" applyBorder="1" applyAlignment="1">
      <alignment horizontal="right" vertical="center"/>
    </xf>
    <xf numFmtId="0" fontId="11" fillId="11" borderId="31" xfId="0" applyFont="1" applyFill="1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right" vertical="center"/>
    </xf>
    <xf numFmtId="165" fontId="2" fillId="0" borderId="25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/>
    </xf>
    <xf numFmtId="0" fontId="15" fillId="6" borderId="36" xfId="0" applyFont="1" applyFill="1" applyBorder="1" applyAlignment="1"/>
    <xf numFmtId="0" fontId="15" fillId="6" borderId="16" xfId="0" applyFont="1" applyFill="1" applyBorder="1" applyAlignment="1"/>
    <xf numFmtId="0" fontId="15" fillId="6" borderId="37" xfId="0" applyFont="1" applyFill="1" applyBorder="1" applyAlignment="1"/>
    <xf numFmtId="0" fontId="10" fillId="0" borderId="17" xfId="0" applyFont="1" applyBorder="1" applyAlignment="1">
      <alignment vertical="center" wrapText="1"/>
    </xf>
    <xf numFmtId="165" fontId="2" fillId="0" borderId="25" xfId="0" applyNumberFormat="1" applyFont="1" applyBorder="1" applyAlignment="1">
      <alignment horizontal="right" vertical="center"/>
    </xf>
    <xf numFmtId="165" fontId="9" fillId="9" borderId="25" xfId="0" applyNumberFormat="1" applyFont="1" applyFill="1" applyBorder="1" applyAlignment="1">
      <alignment horizontal="right" vertical="center" wrapText="1"/>
    </xf>
    <xf numFmtId="165" fontId="2" fillId="13" borderId="25" xfId="0" applyNumberFormat="1" applyFont="1" applyFill="1" applyBorder="1" applyAlignment="1">
      <alignment horizontal="right" vertical="center"/>
    </xf>
    <xf numFmtId="0" fontId="11" fillId="13" borderId="25" xfId="0" applyFont="1" applyFill="1" applyBorder="1" applyAlignment="1">
      <alignment horizontal="center" vertical="center" wrapText="1"/>
    </xf>
    <xf numFmtId="0" fontId="21" fillId="11" borderId="25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vertical="center" wrapText="1"/>
    </xf>
    <xf numFmtId="0" fontId="21" fillId="9" borderId="25" xfId="0" applyFont="1" applyFill="1" applyBorder="1" applyAlignment="1">
      <alignment horizontal="center" vertical="center" wrapText="1"/>
    </xf>
    <xf numFmtId="0" fontId="2" fillId="9" borderId="25" xfId="0" applyFont="1" applyFill="1" applyBorder="1" applyAlignment="1">
      <alignment vertical="center" wrapText="1"/>
    </xf>
    <xf numFmtId="10" fontId="2" fillId="9" borderId="25" xfId="0" applyNumberFormat="1" applyFont="1" applyFill="1" applyBorder="1" applyAlignment="1">
      <alignment horizontal="center" vertical="center" wrapText="1"/>
    </xf>
    <xf numFmtId="165" fontId="2" fillId="8" borderId="25" xfId="0" applyNumberFormat="1" applyFont="1" applyFill="1" applyBorder="1" applyAlignment="1">
      <alignment horizontal="right" vertical="center" wrapText="1"/>
    </xf>
    <xf numFmtId="165" fontId="10" fillId="9" borderId="35" xfId="0" applyNumberFormat="1" applyFont="1" applyFill="1" applyBorder="1" applyAlignment="1">
      <alignment horizontal="right" vertical="center" wrapText="1"/>
    </xf>
    <xf numFmtId="165" fontId="10" fillId="9" borderId="29" xfId="0" applyNumberFormat="1" applyFont="1" applyFill="1" applyBorder="1" applyAlignment="1">
      <alignment horizontal="right" vertical="center" wrapText="1"/>
    </xf>
    <xf numFmtId="0" fontId="4" fillId="9" borderId="25" xfId="0" applyFont="1" applyFill="1" applyBorder="1" applyAlignment="1">
      <alignment vertical="center"/>
    </xf>
    <xf numFmtId="10" fontId="10" fillId="9" borderId="26" xfId="0" applyNumberFormat="1" applyFont="1" applyFill="1" applyBorder="1" applyAlignment="1">
      <alignment horizontal="center" vertical="center" wrapText="1"/>
    </xf>
    <xf numFmtId="0" fontId="21" fillId="8" borderId="25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vertical="center" wrapText="1"/>
    </xf>
    <xf numFmtId="165" fontId="10" fillId="0" borderId="25" xfId="0" applyNumberFormat="1" applyFont="1" applyBorder="1" applyAlignment="1">
      <alignment horizontal="right"/>
    </xf>
    <xf numFmtId="0" fontId="2" fillId="6" borderId="25" xfId="0" applyFont="1" applyFill="1" applyBorder="1" applyAlignment="1">
      <alignment vertical="center" wrapText="1"/>
    </xf>
    <xf numFmtId="165" fontId="10" fillId="0" borderId="27" xfId="0" applyNumberFormat="1" applyFont="1" applyBorder="1" applyAlignment="1">
      <alignment horizontal="right"/>
    </xf>
    <xf numFmtId="165" fontId="10" fillId="0" borderId="27" xfId="0" applyNumberFormat="1" applyFont="1" applyBorder="1" applyAlignment="1">
      <alignment horizontal="right"/>
    </xf>
    <xf numFmtId="0" fontId="18" fillId="0" borderId="25" xfId="0" applyFont="1" applyBorder="1"/>
    <xf numFmtId="0" fontId="21" fillId="14" borderId="25" xfId="0" applyFont="1" applyFill="1" applyBorder="1" applyAlignment="1">
      <alignment horizontal="center" vertical="center" wrapText="1"/>
    </xf>
    <xf numFmtId="0" fontId="2" fillId="14" borderId="25" xfId="0" applyFont="1" applyFill="1" applyBorder="1" applyAlignment="1">
      <alignment vertical="center" wrapText="1"/>
    </xf>
    <xf numFmtId="165" fontId="9" fillId="14" borderId="25" xfId="0" applyNumberFormat="1" applyFont="1" applyFill="1" applyBorder="1" applyAlignment="1">
      <alignment horizontal="right" vertical="center" wrapText="1"/>
    </xf>
    <xf numFmtId="165" fontId="2" fillId="14" borderId="25" xfId="0" applyNumberFormat="1" applyFont="1" applyFill="1" applyBorder="1" applyAlignment="1">
      <alignment horizontal="right" vertical="center" wrapText="1"/>
    </xf>
    <xf numFmtId="0" fontId="23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21" fillId="11" borderId="31" xfId="0" applyFont="1" applyFill="1" applyBorder="1" applyAlignment="1">
      <alignment horizontal="center" vertical="center" wrapText="1"/>
    </xf>
    <xf numFmtId="165" fontId="10" fillId="11" borderId="25" xfId="0" applyNumberFormat="1" applyFont="1" applyFill="1" applyBorder="1" applyAlignment="1">
      <alignment horizontal="right" vertical="center" wrapText="1"/>
    </xf>
    <xf numFmtId="0" fontId="21" fillId="15" borderId="25" xfId="0" applyFont="1" applyFill="1" applyBorder="1" applyAlignment="1">
      <alignment horizontal="center" vertical="center" wrapText="1"/>
    </xf>
    <xf numFmtId="0" fontId="2" fillId="15" borderId="25" xfId="0" applyFont="1" applyFill="1" applyBorder="1" applyAlignment="1">
      <alignment vertical="center" wrapText="1"/>
    </xf>
    <xf numFmtId="165" fontId="9" fillId="15" borderId="25" xfId="0" applyNumberFormat="1" applyFont="1" applyFill="1" applyBorder="1" applyAlignment="1">
      <alignment horizontal="right" vertical="center" wrapText="1"/>
    </xf>
    <xf numFmtId="165" fontId="2" fillId="15" borderId="25" xfId="0" applyNumberFormat="1" applyFont="1" applyFill="1" applyBorder="1" applyAlignment="1">
      <alignment horizontal="right" vertical="center" wrapText="1"/>
    </xf>
    <xf numFmtId="10" fontId="2" fillId="15" borderId="25" xfId="0" applyNumberFormat="1" applyFont="1" applyFill="1" applyBorder="1" applyAlignment="1">
      <alignment horizontal="center" vertical="center" wrapText="1"/>
    </xf>
    <xf numFmtId="165" fontId="10" fillId="15" borderId="25" xfId="0" applyNumberFormat="1" applyFont="1" applyFill="1" applyBorder="1" applyAlignment="1">
      <alignment horizontal="right" vertical="center" wrapText="1"/>
    </xf>
    <xf numFmtId="165" fontId="14" fillId="9" borderId="26" xfId="0" applyNumberFormat="1" applyFont="1" applyFill="1" applyBorder="1" applyAlignment="1">
      <alignment horizontal="right" vertical="center" wrapText="1"/>
    </xf>
    <xf numFmtId="0" fontId="2" fillId="8" borderId="25" xfId="0" applyFont="1" applyFill="1" applyBorder="1" applyAlignment="1">
      <alignment vertical="center" wrapText="1"/>
    </xf>
    <xf numFmtId="0" fontId="4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165" fontId="14" fillId="6" borderId="25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horizontal="left" vertical="center" wrapText="1"/>
    </xf>
    <xf numFmtId="164" fontId="10" fillId="6" borderId="25" xfId="0" applyNumberFormat="1" applyFont="1" applyFill="1" applyBorder="1" applyAlignment="1">
      <alignment horizontal="right" vertical="center"/>
    </xf>
    <xf numFmtId="164" fontId="20" fillId="6" borderId="25" xfId="0" applyNumberFormat="1" applyFont="1" applyFill="1" applyBorder="1" applyAlignment="1">
      <alignment horizontal="right" vertical="center"/>
    </xf>
    <xf numFmtId="164" fontId="24" fillId="6" borderId="25" xfId="0" applyNumberFormat="1" applyFont="1" applyFill="1" applyBorder="1" applyAlignment="1">
      <alignment horizontal="right" vertical="center"/>
    </xf>
    <xf numFmtId="0" fontId="25" fillId="8" borderId="25" xfId="0" applyFont="1" applyFill="1" applyBorder="1" applyAlignment="1">
      <alignment horizontal="center" vertical="center" wrapText="1"/>
    </xf>
    <xf numFmtId="0" fontId="26" fillId="14" borderId="25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vertical="center" wrapText="1"/>
    </xf>
    <xf numFmtId="0" fontId="10" fillId="6" borderId="17" xfId="0" applyFont="1" applyFill="1" applyBorder="1" applyAlignment="1">
      <alignment vertical="center" wrapText="1"/>
    </xf>
    <xf numFmtId="165" fontId="10" fillId="9" borderId="17" xfId="0" applyNumberFormat="1" applyFont="1" applyFill="1" applyBorder="1" applyAlignment="1">
      <alignment horizontal="right" vertical="center" wrapText="1"/>
    </xf>
    <xf numFmtId="164" fontId="27" fillId="13" borderId="25" xfId="0" applyNumberFormat="1" applyFont="1" applyFill="1" applyBorder="1" applyAlignment="1">
      <alignment horizontal="right" vertical="center"/>
    </xf>
    <xf numFmtId="0" fontId="16" fillId="0" borderId="25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/>
    </xf>
    <xf numFmtId="0" fontId="17" fillId="0" borderId="25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left" vertical="center" wrapText="1"/>
    </xf>
    <xf numFmtId="164" fontId="29" fillId="6" borderId="25" xfId="0" applyNumberFormat="1" applyFont="1" applyFill="1" applyBorder="1" applyAlignment="1">
      <alignment horizontal="right" vertical="center"/>
    </xf>
    <xf numFmtId="165" fontId="10" fillId="9" borderId="26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" fillId="6" borderId="25" xfId="0" applyFont="1" applyFill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0" fillId="0" borderId="25" xfId="0" applyNumberFormat="1" applyFont="1" applyBorder="1" applyAlignment="1">
      <alignment horizontal="left" vertical="center" wrapText="1"/>
    </xf>
    <xf numFmtId="165" fontId="9" fillId="12" borderId="25" xfId="0" applyNumberFormat="1" applyFont="1" applyFill="1" applyBorder="1" applyAlignment="1">
      <alignment horizontal="right" vertical="center"/>
    </xf>
    <xf numFmtId="166" fontId="2" fillId="17" borderId="25" xfId="0" applyNumberFormat="1" applyFont="1" applyFill="1" applyBorder="1" applyAlignment="1">
      <alignment horizontal="right" vertical="center" wrapText="1"/>
    </xf>
    <xf numFmtId="166" fontId="9" fillId="17" borderId="25" xfId="0" applyNumberFormat="1" applyFont="1" applyFill="1" applyBorder="1" applyAlignment="1">
      <alignment horizontal="center" vertical="center" wrapText="1"/>
    </xf>
    <xf numFmtId="166" fontId="2" fillId="17" borderId="25" xfId="0" applyNumberFormat="1" applyFont="1" applyFill="1" applyBorder="1" applyAlignment="1">
      <alignment horizontal="center" vertical="center" wrapText="1"/>
    </xf>
    <xf numFmtId="164" fontId="2" fillId="17" borderId="25" xfId="0" applyNumberFormat="1" applyFont="1" applyFill="1" applyBorder="1" applyAlignment="1">
      <alignment horizontal="center" vertical="center"/>
    </xf>
    <xf numFmtId="164" fontId="10" fillId="17" borderId="25" xfId="0" applyNumberFormat="1" applyFont="1" applyFill="1" applyBorder="1" applyAlignment="1">
      <alignment horizontal="center" vertical="center"/>
    </xf>
    <xf numFmtId="164" fontId="2" fillId="13" borderId="4" xfId="0" applyNumberFormat="1" applyFont="1" applyFill="1" applyBorder="1" applyAlignment="1">
      <alignment horizontal="center" vertical="center"/>
    </xf>
    <xf numFmtId="10" fontId="2" fillId="13" borderId="4" xfId="0" applyNumberFormat="1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67" fontId="4" fillId="0" borderId="0" xfId="0" applyNumberFormat="1" applyFont="1" applyAlignment="1">
      <alignment horizontal="center" vertical="center" wrapText="1"/>
    </xf>
    <xf numFmtId="0" fontId="2" fillId="9" borderId="25" xfId="0" applyFont="1" applyFill="1" applyBorder="1" applyAlignment="1">
      <alignment horizontal="right" vertical="center"/>
    </xf>
    <xf numFmtId="165" fontId="9" fillId="9" borderId="25" xfId="0" applyNumberFormat="1" applyFont="1" applyFill="1" applyBorder="1" applyAlignment="1">
      <alignment horizontal="right" vertical="center"/>
    </xf>
    <xf numFmtId="0" fontId="2" fillId="21" borderId="25" xfId="0" applyFont="1" applyFill="1" applyBorder="1" applyAlignment="1">
      <alignment horizontal="center" vertical="center"/>
    </xf>
    <xf numFmtId="164" fontId="2" fillId="4" borderId="25" xfId="0" applyNumberFormat="1" applyFont="1" applyFill="1" applyBorder="1" applyAlignment="1">
      <alignment horizontal="right" vertical="center"/>
    </xf>
    <xf numFmtId="164" fontId="2" fillId="4" borderId="25" xfId="0" applyNumberFormat="1" applyFont="1" applyFill="1" applyBorder="1" applyAlignment="1">
      <alignment horizontal="right" vertical="center" wrapText="1"/>
    </xf>
    <xf numFmtId="167" fontId="13" fillId="0" borderId="0" xfId="0" applyNumberFormat="1" applyFont="1" applyAlignment="1">
      <alignment horizontal="center" vertical="center" wrapText="1"/>
    </xf>
    <xf numFmtId="164" fontId="9" fillId="9" borderId="25" xfId="0" applyNumberFormat="1" applyFont="1" applyFill="1" applyBorder="1" applyAlignment="1">
      <alignment horizontal="right" vertical="center"/>
    </xf>
    <xf numFmtId="164" fontId="14" fillId="13" borderId="25" xfId="0" applyNumberFormat="1" applyFont="1" applyFill="1" applyBorder="1" applyAlignment="1">
      <alignment horizontal="right" vertical="center"/>
    </xf>
    <xf numFmtId="168" fontId="10" fillId="13" borderId="25" xfId="0" applyNumberFormat="1" applyFont="1" applyFill="1" applyBorder="1" applyAlignment="1">
      <alignment horizontal="right" vertical="center"/>
    </xf>
    <xf numFmtId="168" fontId="10" fillId="13" borderId="25" xfId="0" applyNumberFormat="1" applyFont="1" applyFill="1" applyBorder="1" applyAlignment="1">
      <alignment horizontal="right" vertical="center"/>
    </xf>
    <xf numFmtId="168" fontId="2" fillId="4" borderId="25" xfId="0" applyNumberFormat="1" applyFont="1" applyFill="1" applyBorder="1" applyAlignment="1">
      <alignment horizontal="right" vertical="center"/>
    </xf>
    <xf numFmtId="0" fontId="2" fillId="4" borderId="25" xfId="0" applyFont="1" applyFill="1" applyBorder="1" applyAlignment="1">
      <alignment horizontal="right" vertical="center"/>
    </xf>
    <xf numFmtId="0" fontId="2" fillId="22" borderId="25" xfId="0" applyFont="1" applyFill="1" applyBorder="1" applyAlignment="1">
      <alignment horizontal="right" vertical="center"/>
    </xf>
    <xf numFmtId="0" fontId="10" fillId="22" borderId="25" xfId="0" applyFont="1" applyFill="1" applyBorder="1" applyAlignment="1">
      <alignment horizontal="right" vertical="center"/>
    </xf>
    <xf numFmtId="164" fontId="2" fillId="13" borderId="1" xfId="0" applyNumberFormat="1" applyFont="1" applyFill="1" applyBorder="1" applyAlignment="1">
      <alignment horizontal="center" vertical="center"/>
    </xf>
    <xf numFmtId="168" fontId="2" fillId="6" borderId="3" xfId="0" applyNumberFormat="1" applyFont="1" applyFill="1" applyBorder="1" applyAlignment="1">
      <alignment horizontal="right" vertical="center"/>
    </xf>
    <xf numFmtId="0" fontId="10" fillId="13" borderId="4" xfId="0" applyFont="1" applyFill="1" applyBorder="1" applyAlignment="1">
      <alignment horizontal="right" vertical="center"/>
    </xf>
    <xf numFmtId="0" fontId="2" fillId="16" borderId="25" xfId="0" applyFont="1" applyFill="1" applyBorder="1" applyAlignment="1">
      <alignment horizontal="right" vertical="center"/>
    </xf>
    <xf numFmtId="165" fontId="9" fillId="16" borderId="25" xfId="0" applyNumberFormat="1" applyFont="1" applyFill="1" applyBorder="1" applyAlignment="1">
      <alignment horizontal="right" vertical="center"/>
    </xf>
    <xf numFmtId="165" fontId="2" fillId="16" borderId="25" xfId="0" applyNumberFormat="1" applyFont="1" applyFill="1" applyBorder="1" applyAlignment="1">
      <alignment horizontal="right" vertical="center"/>
    </xf>
    <xf numFmtId="10" fontId="2" fillId="16" borderId="25" xfId="0" applyNumberFormat="1" applyFont="1" applyFill="1" applyBorder="1" applyAlignment="1">
      <alignment horizontal="center" vertical="center"/>
    </xf>
    <xf numFmtId="164" fontId="2" fillId="13" borderId="4" xfId="0" applyNumberFormat="1" applyFont="1" applyFill="1" applyBorder="1" applyAlignment="1">
      <alignment horizontal="right" vertical="center"/>
    </xf>
    <xf numFmtId="164" fontId="9" fillId="16" borderId="25" xfId="0" applyNumberFormat="1" applyFont="1" applyFill="1" applyBorder="1" applyAlignment="1">
      <alignment horizontal="right" vertical="center"/>
    </xf>
    <xf numFmtId="164" fontId="2" fillId="16" borderId="25" xfId="0" applyNumberFormat="1" applyFont="1" applyFill="1" applyBorder="1" applyAlignment="1">
      <alignment horizontal="right" vertical="center"/>
    </xf>
    <xf numFmtId="165" fontId="10" fillId="8" borderId="25" xfId="0" applyNumberFormat="1" applyFont="1" applyFill="1" applyBorder="1" applyAlignment="1">
      <alignment horizontal="right" vertical="center"/>
    </xf>
    <xf numFmtId="164" fontId="10" fillId="8" borderId="25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2" borderId="25" xfId="0" applyFont="1" applyFill="1" applyBorder="1" applyAlignment="1">
      <alignment horizontal="right" vertical="center"/>
    </xf>
    <xf numFmtId="164" fontId="9" fillId="2" borderId="25" xfId="0" applyNumberFormat="1" applyFont="1" applyFill="1" applyBorder="1" applyAlignment="1">
      <alignment horizontal="right" vertical="center"/>
    </xf>
    <xf numFmtId="164" fontId="2" fillId="2" borderId="25" xfId="0" applyNumberFormat="1" applyFont="1" applyFill="1" applyBorder="1" applyAlignment="1">
      <alignment horizontal="right" vertical="center"/>
    </xf>
    <xf numFmtId="10" fontId="2" fillId="2" borderId="25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9" fillId="2" borderId="25" xfId="0" applyFont="1" applyFill="1" applyBorder="1" applyAlignment="1">
      <alignment horizontal="right" vertical="center"/>
    </xf>
    <xf numFmtId="0" fontId="10" fillId="2" borderId="25" xfId="0" applyFont="1" applyFill="1" applyBorder="1" applyAlignment="1">
      <alignment horizontal="right" vertical="center"/>
    </xf>
    <xf numFmtId="0" fontId="10" fillId="2" borderId="25" xfId="0" applyFont="1" applyFill="1" applyBorder="1" applyAlignment="1">
      <alignment horizontal="center" vertical="center"/>
    </xf>
    <xf numFmtId="165" fontId="10" fillId="17" borderId="25" xfId="0" applyNumberFormat="1" applyFont="1" applyFill="1" applyBorder="1" applyAlignment="1">
      <alignment horizontal="right" vertical="center"/>
    </xf>
    <xf numFmtId="10" fontId="2" fillId="17" borderId="25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vertical="center"/>
    </xf>
    <xf numFmtId="169" fontId="15" fillId="0" borderId="0" xfId="0" applyNumberFormat="1" applyFont="1" applyAlignment="1">
      <alignment horizontal="right" vertical="center"/>
    </xf>
    <xf numFmtId="169" fontId="10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0" fillId="6" borderId="41" xfId="0" applyFont="1" applyFill="1" applyBorder="1" applyAlignment="1">
      <alignment vertical="center"/>
    </xf>
    <xf numFmtId="0" fontId="10" fillId="23" borderId="39" xfId="0" applyFont="1" applyFill="1" applyBorder="1" applyAlignment="1">
      <alignment vertical="center"/>
    </xf>
    <xf numFmtId="169" fontId="9" fillId="23" borderId="0" xfId="0" applyNumberFormat="1" applyFont="1" applyFill="1" applyAlignment="1">
      <alignment horizontal="center" vertical="center"/>
    </xf>
    <xf numFmtId="0" fontId="2" fillId="23" borderId="0" xfId="0" applyFont="1" applyFill="1" applyAlignment="1">
      <alignment horizontal="center" vertical="center"/>
    </xf>
    <xf numFmtId="0" fontId="10" fillId="23" borderId="0" xfId="0" applyFont="1" applyFill="1" applyAlignment="1">
      <alignment horizontal="center" vertical="center"/>
    </xf>
    <xf numFmtId="10" fontId="10" fillId="23" borderId="0" xfId="0" applyNumberFormat="1" applyFont="1" applyFill="1" applyAlignment="1">
      <alignment horizontal="center" vertical="center"/>
    </xf>
    <xf numFmtId="0" fontId="10" fillId="23" borderId="4" xfId="0" applyFont="1" applyFill="1" applyBorder="1" applyAlignment="1">
      <alignment horizontal="center" vertical="center"/>
    </xf>
    <xf numFmtId="0" fontId="4" fillId="23" borderId="0" xfId="0" applyFont="1" applyFill="1" applyAlignment="1">
      <alignment horizontal="center" vertical="center"/>
    </xf>
    <xf numFmtId="165" fontId="10" fillId="23" borderId="0" xfId="0" applyNumberFormat="1" applyFont="1" applyFill="1" applyAlignment="1">
      <alignment horizontal="center" vertical="center"/>
    </xf>
    <xf numFmtId="0" fontId="10" fillId="23" borderId="38" xfId="0" applyFont="1" applyFill="1" applyBorder="1" applyAlignment="1">
      <alignment vertical="center"/>
    </xf>
    <xf numFmtId="169" fontId="2" fillId="23" borderId="0" xfId="0" applyNumberFormat="1" applyFont="1" applyFill="1" applyAlignment="1">
      <alignment horizontal="center" vertical="center"/>
    </xf>
    <xf numFmtId="0" fontId="2" fillId="23" borderId="0" xfId="0" applyFont="1" applyFill="1" applyAlignment="1">
      <alignment horizontal="center" vertical="center"/>
    </xf>
    <xf numFmtId="164" fontId="2" fillId="23" borderId="0" xfId="0" applyNumberFormat="1" applyFont="1" applyFill="1" applyAlignment="1">
      <alignment horizontal="center" vertical="center"/>
    </xf>
    <xf numFmtId="0" fontId="10" fillId="23" borderId="0" xfId="0" applyFont="1" applyFill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10" fillId="15" borderId="17" xfId="0" applyFont="1" applyFill="1" applyBorder="1" applyAlignment="1">
      <alignment vertical="center"/>
    </xf>
    <xf numFmtId="164" fontId="10" fillId="15" borderId="0" xfId="0" applyNumberFormat="1" applyFont="1" applyFill="1" applyAlignment="1">
      <alignment horizontal="right" vertical="center"/>
    </xf>
    <xf numFmtId="10" fontId="4" fillId="15" borderId="0" xfId="0" applyNumberFormat="1" applyFont="1" applyFill="1" applyAlignment="1">
      <alignment horizontal="right" vertical="center" wrapText="1"/>
    </xf>
    <xf numFmtId="10" fontId="4" fillId="15" borderId="0" xfId="0" applyNumberFormat="1" applyFont="1" applyFill="1" applyAlignment="1">
      <alignment horizontal="right" vertical="center"/>
    </xf>
    <xf numFmtId="0" fontId="4" fillId="6" borderId="27" xfId="0" applyFont="1" applyFill="1" applyBorder="1" applyAlignment="1">
      <alignment vertical="center"/>
    </xf>
    <xf numFmtId="165" fontId="11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10" fontId="5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10" fontId="5" fillId="0" borderId="0" xfId="0" applyNumberFormat="1" applyFont="1" applyAlignment="1">
      <alignment horizontal="right" vertical="center"/>
    </xf>
    <xf numFmtId="0" fontId="4" fillId="6" borderId="25" xfId="0" applyFont="1" applyFill="1" applyBorder="1" applyAlignment="1">
      <alignment vertical="center"/>
    </xf>
    <xf numFmtId="165" fontId="4" fillId="6" borderId="3" xfId="0" applyNumberFormat="1" applyFont="1" applyFill="1" applyBorder="1" applyAlignment="1">
      <alignment vertical="center"/>
    </xf>
    <xf numFmtId="165" fontId="4" fillId="6" borderId="2" xfId="0" applyNumberFormat="1" applyFont="1" applyFill="1" applyBorder="1" applyAlignment="1">
      <alignment vertical="center"/>
    </xf>
    <xf numFmtId="164" fontId="4" fillId="6" borderId="3" xfId="0" applyNumberFormat="1" applyFont="1" applyFill="1" applyBorder="1" applyAlignment="1">
      <alignment vertical="center"/>
    </xf>
    <xf numFmtId="10" fontId="4" fillId="0" borderId="0" xfId="0" applyNumberFormat="1" applyFont="1" applyAlignment="1">
      <alignment horizontal="right" vertical="center"/>
    </xf>
    <xf numFmtId="0" fontId="4" fillId="0" borderId="25" xfId="0" applyFont="1" applyBorder="1" applyAlignment="1">
      <alignment vertical="center" wrapText="1"/>
    </xf>
    <xf numFmtId="166" fontId="4" fillId="0" borderId="25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6" borderId="25" xfId="0" applyFont="1" applyFill="1" applyBorder="1" applyAlignment="1">
      <alignment vertical="center" wrapText="1"/>
    </xf>
    <xf numFmtId="0" fontId="4" fillId="6" borderId="25" xfId="0" applyFont="1" applyFill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3" fillId="6" borderId="25" xfId="0" applyFont="1" applyFill="1" applyBorder="1" applyAlignment="1"/>
    <xf numFmtId="165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25" xfId="0" applyFont="1" applyBorder="1" applyAlignment="1"/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32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13" borderId="25" xfId="0" applyFont="1" applyFill="1" applyBorder="1" applyAlignment="1">
      <alignment vertical="center" wrapText="1"/>
    </xf>
    <xf numFmtId="0" fontId="4" fillId="13" borderId="25" xfId="0" applyFont="1" applyFill="1" applyBorder="1" applyAlignment="1">
      <alignment vertical="center" wrapText="1"/>
    </xf>
    <xf numFmtId="0" fontId="4" fillId="6" borderId="25" xfId="0" applyFont="1" applyFill="1" applyBorder="1" applyAlignment="1">
      <alignment vertical="center"/>
    </xf>
    <xf numFmtId="0" fontId="6" fillId="6" borderId="25" xfId="0" applyFont="1" applyFill="1" applyBorder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0" fontId="4" fillId="0" borderId="0" xfId="0" applyNumberFormat="1" applyFont="1" applyAlignment="1">
      <alignment horizontal="center" vertical="center"/>
    </xf>
    <xf numFmtId="0" fontId="4" fillId="13" borderId="4" xfId="0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4" fillId="24" borderId="4" xfId="0" applyFont="1" applyFill="1" applyBorder="1"/>
    <xf numFmtId="0" fontId="5" fillId="24" borderId="4" xfId="0" applyFont="1" applyFill="1" applyBorder="1"/>
    <xf numFmtId="165" fontId="5" fillId="24" borderId="4" xfId="0" applyNumberFormat="1" applyFont="1" applyFill="1" applyBorder="1" applyAlignment="1">
      <alignment horizontal="right"/>
    </xf>
    <xf numFmtId="164" fontId="5" fillId="24" borderId="4" xfId="0" applyNumberFormat="1" applyFont="1" applyFill="1" applyBorder="1" applyAlignment="1">
      <alignment horizontal="left"/>
    </xf>
    <xf numFmtId="164" fontId="5" fillId="24" borderId="4" xfId="0" applyNumberFormat="1" applyFont="1" applyFill="1" applyBorder="1" applyAlignment="1">
      <alignment horizontal="right"/>
    </xf>
    <xf numFmtId="0" fontId="5" fillId="24" borderId="4" xfId="0" applyFont="1" applyFill="1" applyBorder="1" applyAlignment="1">
      <alignment horizontal="left"/>
    </xf>
    <xf numFmtId="0" fontId="13" fillId="24" borderId="4" xfId="0" applyFont="1" applyFill="1" applyBorder="1"/>
    <xf numFmtId="0" fontId="13" fillId="24" borderId="4" xfId="0" applyFont="1" applyFill="1" applyBorder="1" applyAlignment="1">
      <alignment horizontal="right"/>
    </xf>
    <xf numFmtId="165" fontId="5" fillId="24" borderId="4" xfId="0" applyNumberFormat="1" applyFont="1" applyFill="1" applyBorder="1"/>
    <xf numFmtId="165" fontId="13" fillId="24" borderId="4" xfId="0" applyNumberFormat="1" applyFont="1" applyFill="1" applyBorder="1"/>
    <xf numFmtId="164" fontId="13" fillId="24" borderId="4" xfId="0" applyNumberFormat="1" applyFont="1" applyFill="1" applyBorder="1"/>
    <xf numFmtId="164" fontId="5" fillId="24" borderId="4" xfId="0" applyNumberFormat="1" applyFont="1" applyFill="1" applyBorder="1"/>
    <xf numFmtId="168" fontId="13" fillId="24" borderId="4" xfId="0" applyNumberFormat="1" applyFont="1" applyFill="1" applyBorder="1"/>
    <xf numFmtId="0" fontId="30" fillId="0" borderId="0" xfId="0" applyFont="1"/>
    <xf numFmtId="0" fontId="31" fillId="0" borderId="0" xfId="0" applyFont="1"/>
    <xf numFmtId="0" fontId="32" fillId="24" borderId="4" xfId="0" applyFont="1" applyFill="1" applyBorder="1"/>
    <xf numFmtId="0" fontId="5" fillId="5" borderId="4" xfId="0" applyFont="1" applyFill="1" applyBorder="1"/>
    <xf numFmtId="164" fontId="5" fillId="5" borderId="4" xfId="0" applyNumberFormat="1" applyFont="1" applyFill="1" applyBorder="1"/>
    <xf numFmtId="10" fontId="5" fillId="5" borderId="4" xfId="0" applyNumberFormat="1" applyFont="1" applyFill="1" applyBorder="1"/>
    <xf numFmtId="165" fontId="5" fillId="5" borderId="4" xfId="0" applyNumberFormat="1" applyFont="1" applyFill="1" applyBorder="1"/>
    <xf numFmtId="0" fontId="11" fillId="5" borderId="0" xfId="0" applyFont="1" applyFill="1" applyAlignment="1">
      <alignment horizontal="center"/>
    </xf>
    <xf numFmtId="0" fontId="13" fillId="0" borderId="0" xfId="0" applyFont="1" applyAlignment="1"/>
    <xf numFmtId="0" fontId="11" fillId="5" borderId="0" xfId="0" applyFont="1" applyFill="1" applyAlignment="1"/>
    <xf numFmtId="0" fontId="11" fillId="5" borderId="0" xfId="0" applyFont="1" applyFill="1" applyAlignment="1"/>
    <xf numFmtId="0" fontId="13" fillId="5" borderId="0" xfId="0" applyFont="1" applyFill="1" applyAlignment="1"/>
    <xf numFmtId="0" fontId="13" fillId="5" borderId="0" xfId="0" applyFont="1" applyFill="1" applyAlignment="1">
      <alignment horizontal="left"/>
    </xf>
    <xf numFmtId="0" fontId="33" fillId="5" borderId="0" xfId="0" applyFont="1" applyFill="1" applyAlignment="1"/>
    <xf numFmtId="0" fontId="11" fillId="5" borderId="0" xfId="0" applyFont="1" applyFill="1" applyAlignment="1"/>
    <xf numFmtId="44" fontId="11" fillId="5" borderId="0" xfId="1" applyFont="1" applyFill="1" applyAlignment="1"/>
    <xf numFmtId="164" fontId="39" fillId="11" borderId="25" xfId="0" applyNumberFormat="1" applyFont="1" applyFill="1" applyBorder="1" applyAlignment="1">
      <alignment horizontal="center" vertical="center" wrapText="1"/>
    </xf>
    <xf numFmtId="164" fontId="39" fillId="8" borderId="25" xfId="0" applyNumberFormat="1" applyFont="1" applyFill="1" applyBorder="1" applyAlignment="1">
      <alignment horizontal="right" vertical="center"/>
    </xf>
    <xf numFmtId="165" fontId="39" fillId="12" borderId="25" xfId="0" applyNumberFormat="1" applyFont="1" applyFill="1" applyBorder="1" applyAlignment="1">
      <alignment horizontal="right" vertical="center"/>
    </xf>
    <xf numFmtId="165" fontId="39" fillId="9" borderId="25" xfId="0" applyNumberFormat="1" applyFont="1" applyFill="1" applyBorder="1" applyAlignment="1">
      <alignment horizontal="right" vertical="center"/>
    </xf>
    <xf numFmtId="165" fontId="40" fillId="9" borderId="25" xfId="0" applyNumberFormat="1" applyFont="1" applyFill="1" applyBorder="1" applyAlignment="1">
      <alignment horizontal="right" vertical="center"/>
    </xf>
    <xf numFmtId="164" fontId="39" fillId="12" borderId="25" xfId="0" applyNumberFormat="1" applyFont="1" applyFill="1" applyBorder="1" applyAlignment="1">
      <alignment horizontal="right" vertical="center"/>
    </xf>
    <xf numFmtId="165" fontId="40" fillId="9" borderId="31" xfId="0" applyNumberFormat="1" applyFont="1" applyFill="1" applyBorder="1" applyAlignment="1">
      <alignment horizontal="right" vertical="center"/>
    </xf>
    <xf numFmtId="165" fontId="39" fillId="11" borderId="25" xfId="0" applyNumberFormat="1" applyFont="1" applyFill="1" applyBorder="1" applyAlignment="1">
      <alignment horizontal="right" vertical="center" wrapText="1"/>
    </xf>
    <xf numFmtId="164" fontId="40" fillId="9" borderId="25" xfId="0" applyNumberFormat="1" applyFont="1" applyFill="1" applyBorder="1" applyAlignment="1">
      <alignment horizontal="right" vertical="center"/>
    </xf>
    <xf numFmtId="164" fontId="39" fillId="9" borderId="25" xfId="0" applyNumberFormat="1" applyFont="1" applyFill="1" applyBorder="1" applyAlignment="1">
      <alignment horizontal="right" vertical="center"/>
    </xf>
    <xf numFmtId="165" fontId="39" fillId="9" borderId="25" xfId="0" applyNumberFormat="1" applyFont="1" applyFill="1" applyBorder="1" applyAlignment="1">
      <alignment horizontal="right" vertical="center" wrapText="1"/>
    </xf>
    <xf numFmtId="165" fontId="39" fillId="14" borderId="25" xfId="0" applyNumberFormat="1" applyFont="1" applyFill="1" applyBorder="1" applyAlignment="1">
      <alignment horizontal="right" vertical="center" wrapText="1"/>
    </xf>
    <xf numFmtId="165" fontId="39" fillId="15" borderId="25" xfId="0" applyNumberFormat="1" applyFont="1" applyFill="1" applyBorder="1" applyAlignment="1">
      <alignment horizontal="right" vertical="center" wrapText="1"/>
    </xf>
    <xf numFmtId="165" fontId="39" fillId="15" borderId="25" xfId="0" applyNumberFormat="1" applyFont="1" applyFill="1" applyBorder="1" applyAlignment="1">
      <alignment horizontal="right" vertical="center"/>
    </xf>
    <xf numFmtId="164" fontId="39" fillId="17" borderId="25" xfId="0" applyNumberFormat="1" applyFont="1" applyFill="1" applyBorder="1" applyAlignment="1">
      <alignment horizontal="center" vertical="center"/>
    </xf>
    <xf numFmtId="164" fontId="39" fillId="13" borderId="4" xfId="0" applyNumberFormat="1" applyFont="1" applyFill="1" applyBorder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40" fillId="23" borderId="0" xfId="0" applyFont="1" applyFill="1" applyAlignment="1">
      <alignment horizontal="center" vertical="center"/>
    </xf>
    <xf numFmtId="164" fontId="40" fillId="15" borderId="0" xfId="0" applyNumberFormat="1" applyFont="1" applyFill="1" applyAlignment="1">
      <alignment horizontal="right" vertical="center"/>
    </xf>
    <xf numFmtId="165" fontId="41" fillId="0" borderId="0" xfId="0" applyNumberFormat="1" applyFont="1" applyAlignment="1">
      <alignment horizontal="right" vertical="center"/>
    </xf>
    <xf numFmtId="165" fontId="38" fillId="6" borderId="3" xfId="0" applyNumberFormat="1" applyFont="1" applyFill="1" applyBorder="1" applyAlignment="1">
      <alignment vertical="center"/>
    </xf>
    <xf numFmtId="165" fontId="38" fillId="0" borderId="0" xfId="0" applyNumberFormat="1" applyFont="1" applyAlignment="1">
      <alignment vertical="center"/>
    </xf>
    <xf numFmtId="164" fontId="38" fillId="0" borderId="0" xfId="0" applyNumberFormat="1" applyFont="1" applyAlignment="1">
      <alignment vertical="center"/>
    </xf>
    <xf numFmtId="0" fontId="38" fillId="0" borderId="0" xfId="0" applyFont="1" applyAlignment="1">
      <alignment horizontal="right" vertical="center"/>
    </xf>
    <xf numFmtId="0" fontId="1" fillId="0" borderId="0" xfId="0" applyFont="1" applyAlignment="1"/>
    <xf numFmtId="0" fontId="42" fillId="8" borderId="16" xfId="0" applyFont="1" applyFill="1" applyBorder="1" applyAlignment="1">
      <alignment horizontal="left" vertical="center"/>
    </xf>
    <xf numFmtId="0" fontId="42" fillId="8" borderId="17" xfId="0" applyFont="1" applyFill="1" applyBorder="1" applyAlignment="1">
      <alignment horizontal="center" vertical="center" wrapText="1"/>
    </xf>
    <xf numFmtId="0" fontId="39" fillId="8" borderId="25" xfId="0" applyFont="1" applyFill="1" applyBorder="1" applyAlignment="1">
      <alignment horizontal="center" vertical="center" wrapText="1"/>
    </xf>
    <xf numFmtId="0" fontId="43" fillId="12" borderId="30" xfId="0" applyFont="1" applyFill="1" applyBorder="1" applyAlignment="1">
      <alignment vertical="center"/>
    </xf>
    <xf numFmtId="0" fontId="40" fillId="0" borderId="25" xfId="0" applyFont="1" applyBorder="1" applyAlignment="1">
      <alignment horizontal="center" vertical="center" wrapText="1"/>
    </xf>
    <xf numFmtId="164" fontId="43" fillId="12" borderId="30" xfId="0" applyNumberFormat="1" applyFont="1" applyFill="1" applyBorder="1" applyAlignment="1">
      <alignment horizontal="center" vertical="center"/>
    </xf>
    <xf numFmtId="0" fontId="40" fillId="0" borderId="27" xfId="0" applyFont="1" applyBorder="1" applyAlignment="1">
      <alignment horizontal="center" vertical="center" wrapText="1"/>
    </xf>
    <xf numFmtId="0" fontId="40" fillId="6" borderId="25" xfId="0" applyFont="1" applyFill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32" xfId="0" applyFont="1" applyBorder="1" applyAlignment="1">
      <alignment horizontal="center" vertical="center" wrapText="1"/>
    </xf>
    <xf numFmtId="0" fontId="43" fillId="12" borderId="30" xfId="0" applyFont="1" applyFill="1" applyBorder="1" applyAlignment="1">
      <alignment horizontal="left" vertical="center"/>
    </xf>
    <xf numFmtId="0" fontId="39" fillId="11" borderId="25" xfId="0" applyFont="1" applyFill="1" applyBorder="1" applyAlignment="1">
      <alignment horizontal="center" vertical="center" wrapText="1"/>
    </xf>
    <xf numFmtId="0" fontId="39" fillId="13" borderId="25" xfId="0" applyFont="1" applyFill="1" applyBorder="1" applyAlignment="1">
      <alignment horizontal="center" vertical="center" wrapText="1"/>
    </xf>
    <xf numFmtId="0" fontId="40" fillId="0" borderId="25" xfId="0" applyFont="1" applyBorder="1" applyAlignment="1">
      <alignment horizontal="center"/>
    </xf>
    <xf numFmtId="0" fontId="39" fillId="14" borderId="25" xfId="0" applyFont="1" applyFill="1" applyBorder="1" applyAlignment="1">
      <alignment horizontal="center" vertical="center" wrapText="1"/>
    </xf>
    <xf numFmtId="0" fontId="39" fillId="9" borderId="25" xfId="0" applyFont="1" applyFill="1" applyBorder="1" applyAlignment="1">
      <alignment horizontal="center" vertical="center" wrapText="1"/>
    </xf>
    <xf numFmtId="0" fontId="39" fillId="15" borderId="25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67" fontId="40" fillId="0" borderId="0" xfId="0" applyNumberFormat="1" applyFont="1" applyAlignment="1">
      <alignment vertical="center"/>
    </xf>
    <xf numFmtId="0" fontId="40" fillId="0" borderId="0" xfId="0" applyFont="1" applyAlignment="1">
      <alignment vertical="center"/>
    </xf>
    <xf numFmtId="0" fontId="40" fillId="6" borderId="4" xfId="0" applyFont="1" applyFill="1" applyBorder="1" applyAlignment="1">
      <alignment vertical="center"/>
    </xf>
    <xf numFmtId="0" fontId="40" fillId="6" borderId="41" xfId="0" applyFont="1" applyFill="1" applyBorder="1" applyAlignment="1">
      <alignment vertical="center"/>
    </xf>
    <xf numFmtId="0" fontId="42" fillId="23" borderId="42" xfId="0" applyFont="1" applyFill="1" applyBorder="1" applyAlignment="1">
      <alignment vertical="center"/>
    </xf>
    <xf numFmtId="0" fontId="42" fillId="23" borderId="43" xfId="0" applyFont="1" applyFill="1" applyBorder="1" applyAlignment="1">
      <alignment vertical="center"/>
    </xf>
    <xf numFmtId="0" fontId="1" fillId="15" borderId="15" xfId="0" applyFont="1" applyFill="1" applyBorder="1"/>
    <xf numFmtId="0" fontId="38" fillId="6" borderId="27" xfId="0" applyFont="1" applyFill="1" applyBorder="1" applyAlignment="1">
      <alignment vertical="center"/>
    </xf>
    <xf numFmtId="0" fontId="38" fillId="0" borderId="25" xfId="0" applyFont="1" applyBorder="1" applyAlignment="1">
      <alignment horizontal="center" vertical="center" wrapText="1"/>
    </xf>
    <xf numFmtId="0" fontId="38" fillId="6" borderId="25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42" fillId="8" borderId="15" xfId="0" applyFont="1" applyFill="1" applyBorder="1" applyAlignment="1">
      <alignment horizontal="left" vertical="center"/>
    </xf>
    <xf numFmtId="164" fontId="39" fillId="11" borderId="25" xfId="0" applyNumberFormat="1" applyFont="1" applyFill="1" applyBorder="1" applyAlignment="1">
      <alignment horizontal="center" vertical="center"/>
    </xf>
    <xf numFmtId="165" fontId="38" fillId="6" borderId="2" xfId="0" applyNumberFormat="1" applyFont="1" applyFill="1" applyBorder="1" applyAlignment="1">
      <alignment vertical="center"/>
    </xf>
    <xf numFmtId="0" fontId="39" fillId="6" borderId="25" xfId="0" applyFont="1" applyFill="1" applyBorder="1" applyAlignment="1">
      <alignment vertical="center" wrapText="1"/>
    </xf>
    <xf numFmtId="0" fontId="42" fillId="8" borderId="16" xfId="0" applyFont="1" applyFill="1" applyBorder="1" applyAlignment="1">
      <alignment horizontal="center" vertical="center" wrapText="1"/>
    </xf>
    <xf numFmtId="0" fontId="41" fillId="8" borderId="28" xfId="0" applyFont="1" applyFill="1" applyBorder="1" applyAlignment="1">
      <alignment horizontal="center" vertical="center"/>
    </xf>
    <xf numFmtId="0" fontId="39" fillId="12" borderId="29" xfId="0" applyFont="1" applyFill="1" applyBorder="1" applyAlignment="1">
      <alignment vertical="center"/>
    </xf>
    <xf numFmtId="0" fontId="38" fillId="0" borderId="25" xfId="0" applyFont="1" applyBorder="1" applyAlignment="1">
      <alignment horizontal="center" vertical="center"/>
    </xf>
    <xf numFmtId="164" fontId="41" fillId="12" borderId="29" xfId="0" applyNumberFormat="1" applyFont="1" applyFill="1" applyBorder="1" applyAlignment="1">
      <alignment horizontal="left" vertical="center"/>
    </xf>
    <xf numFmtId="0" fontId="38" fillId="0" borderId="27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38" fillId="6" borderId="25" xfId="0" applyFont="1" applyFill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9" fillId="12" borderId="30" xfId="0" applyFont="1" applyFill="1" applyBorder="1" applyAlignment="1">
      <alignment vertical="center"/>
    </xf>
    <xf numFmtId="0" fontId="41" fillId="11" borderId="25" xfId="0" applyFont="1" applyFill="1" applyBorder="1" applyAlignment="1">
      <alignment horizontal="center" vertical="center"/>
    </xf>
    <xf numFmtId="0" fontId="38" fillId="13" borderId="25" xfId="0" applyFont="1" applyFill="1" applyBorder="1" applyAlignment="1">
      <alignment horizontal="center" vertical="center"/>
    </xf>
    <xf numFmtId="0" fontId="38" fillId="13" borderId="26" xfId="0" applyFont="1" applyFill="1" applyBorder="1" applyAlignment="1">
      <alignment horizontal="center" vertical="center" wrapText="1"/>
    </xf>
    <xf numFmtId="0" fontId="38" fillId="13" borderId="25" xfId="0" applyFont="1" applyFill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41" fillId="13" borderId="25" xfId="0" applyFont="1" applyFill="1" applyBorder="1" applyAlignment="1">
      <alignment horizontal="center" vertical="center"/>
    </xf>
    <xf numFmtId="0" fontId="41" fillId="9" borderId="25" xfId="0" applyFont="1" applyFill="1" applyBorder="1" applyAlignment="1">
      <alignment horizontal="center" vertical="center" wrapText="1"/>
    </xf>
    <xf numFmtId="0" fontId="41" fillId="8" borderId="25" xfId="0" applyFont="1" applyFill="1" applyBorder="1" applyAlignment="1">
      <alignment horizontal="center" vertical="center" wrapText="1"/>
    </xf>
    <xf numFmtId="0" fontId="41" fillId="8" borderId="25" xfId="0" applyFont="1" applyFill="1" applyBorder="1" applyAlignment="1">
      <alignment horizontal="center" vertical="center"/>
    </xf>
    <xf numFmtId="0" fontId="38" fillId="0" borderId="27" xfId="0" applyFont="1" applyBorder="1" applyAlignment="1">
      <alignment horizontal="center" vertical="center" wrapText="1"/>
    </xf>
    <xf numFmtId="0" fontId="38" fillId="0" borderId="38" xfId="0" applyFont="1" applyBorder="1" applyAlignment="1">
      <alignment horizontal="center" vertical="center" wrapText="1"/>
    </xf>
    <xf numFmtId="0" fontId="41" fillId="14" borderId="25" xfId="0" applyFont="1" applyFill="1" applyBorder="1" applyAlignment="1">
      <alignment horizontal="center" vertical="center"/>
    </xf>
    <xf numFmtId="0" fontId="38" fillId="0" borderId="39" xfId="0" applyFont="1" applyBorder="1" applyAlignment="1">
      <alignment horizontal="center" vertical="center" wrapText="1"/>
    </xf>
    <xf numFmtId="0" fontId="41" fillId="15" borderId="25" xfId="0" applyFont="1" applyFill="1" applyBorder="1" applyAlignment="1">
      <alignment horizontal="center" vertical="center"/>
    </xf>
    <xf numFmtId="0" fontId="1" fillId="0" borderId="25" xfId="0" applyFont="1" applyBorder="1"/>
    <xf numFmtId="0" fontId="38" fillId="16" borderId="25" xfId="0" applyFont="1" applyFill="1" applyBorder="1" applyAlignment="1">
      <alignment horizontal="center" vertical="center"/>
    </xf>
    <xf numFmtId="0" fontId="41" fillId="0" borderId="0" xfId="0" applyFont="1" applyAlignment="1">
      <alignment vertical="center"/>
    </xf>
    <xf numFmtId="167" fontId="38" fillId="0" borderId="0" xfId="0" applyNumberFormat="1" applyFont="1" applyAlignment="1">
      <alignment vertical="center"/>
    </xf>
    <xf numFmtId="0" fontId="41" fillId="6" borderId="4" xfId="0" applyFont="1" applyFill="1" applyBorder="1" applyAlignment="1">
      <alignment vertical="center"/>
    </xf>
    <xf numFmtId="0" fontId="41" fillId="6" borderId="1" xfId="0" applyFont="1" applyFill="1" applyBorder="1" applyAlignment="1">
      <alignment vertical="center"/>
    </xf>
    <xf numFmtId="0" fontId="38" fillId="6" borderId="1" xfId="0" applyFont="1" applyFill="1" applyBorder="1" applyAlignment="1">
      <alignment vertical="center"/>
    </xf>
    <xf numFmtId="169" fontId="2" fillId="12" borderId="25" xfId="0" applyNumberFormat="1" applyFont="1" applyFill="1" applyBorder="1" applyAlignment="1">
      <alignment horizontal="right" vertical="center"/>
    </xf>
    <xf numFmtId="0" fontId="37" fillId="0" borderId="25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 wrapText="1"/>
    </xf>
    <xf numFmtId="0" fontId="44" fillId="6" borderId="25" xfId="0" applyFont="1" applyFill="1" applyBorder="1" applyAlignment="1">
      <alignment horizontal="center" vertical="center" wrapText="1"/>
    </xf>
    <xf numFmtId="0" fontId="40" fillId="0" borderId="25" xfId="0" applyFont="1" applyBorder="1" applyAlignment="1">
      <alignment vertical="center" wrapText="1"/>
    </xf>
    <xf numFmtId="164" fontId="2" fillId="0" borderId="25" xfId="0" applyNumberFormat="1" applyFont="1" applyFill="1" applyBorder="1" applyAlignment="1">
      <alignment horizontal="right" vertical="center"/>
    </xf>
    <xf numFmtId="0" fontId="5" fillId="0" borderId="4" xfId="0" applyFont="1" applyFill="1" applyBorder="1"/>
    <xf numFmtId="0" fontId="0" fillId="0" borderId="0" xfId="0" applyFont="1" applyFill="1" applyAlignment="1"/>
    <xf numFmtId="0" fontId="13" fillId="0" borderId="25" xfId="0" applyFont="1" applyFill="1" applyBorder="1" applyAlignment="1">
      <alignment horizontal="center" vertical="center" wrapText="1"/>
    </xf>
    <xf numFmtId="0" fontId="38" fillId="0" borderId="25" xfId="0" applyFont="1" applyFill="1" applyBorder="1" applyAlignment="1">
      <alignment horizontal="center" vertical="center"/>
    </xf>
    <xf numFmtId="0" fontId="40" fillId="0" borderId="25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vertical="center" wrapText="1"/>
    </xf>
    <xf numFmtId="10" fontId="10" fillId="0" borderId="25" xfId="0" applyNumberFormat="1" applyFont="1" applyFill="1" applyBorder="1" applyAlignment="1">
      <alignment horizontal="center" vertical="center" wrapText="1"/>
    </xf>
    <xf numFmtId="164" fontId="10" fillId="0" borderId="25" xfId="0" applyNumberFormat="1" applyFont="1" applyFill="1" applyBorder="1" applyAlignment="1">
      <alignment horizontal="right" vertical="center"/>
    </xf>
    <xf numFmtId="164" fontId="20" fillId="0" borderId="25" xfId="0" applyNumberFormat="1" applyFont="1" applyFill="1" applyBorder="1" applyAlignment="1">
      <alignment horizontal="right" vertical="center"/>
    </xf>
    <xf numFmtId="165" fontId="10" fillId="0" borderId="25" xfId="0" applyNumberFormat="1" applyFont="1" applyFill="1" applyBorder="1" applyAlignment="1">
      <alignment horizontal="right" vertical="center"/>
    </xf>
    <xf numFmtId="0" fontId="4" fillId="0" borderId="0" xfId="0" applyFont="1" applyFill="1"/>
    <xf numFmtId="0" fontId="11" fillId="25" borderId="25" xfId="0" applyFont="1" applyFill="1" applyBorder="1" applyAlignment="1">
      <alignment horizontal="center" vertical="center" wrapText="1"/>
    </xf>
    <xf numFmtId="0" fontId="41" fillId="25" borderId="25" xfId="0" applyFont="1" applyFill="1" applyBorder="1" applyAlignment="1">
      <alignment horizontal="center" vertical="center"/>
    </xf>
    <xf numFmtId="0" fontId="39" fillId="25" borderId="25" xfId="0" applyFont="1" applyFill="1" applyBorder="1" applyAlignment="1">
      <alignment horizontal="center" vertical="center" wrapText="1"/>
    </xf>
    <xf numFmtId="0" fontId="2" fillId="25" borderId="25" xfId="0" applyFont="1" applyFill="1" applyBorder="1" applyAlignment="1">
      <alignment vertical="center" wrapText="1"/>
    </xf>
    <xf numFmtId="165" fontId="9" fillId="25" borderId="25" xfId="0" applyNumberFormat="1" applyFont="1" applyFill="1" applyBorder="1" applyAlignment="1">
      <alignment horizontal="right" vertical="center" wrapText="1"/>
    </xf>
    <xf numFmtId="10" fontId="2" fillId="25" borderId="25" xfId="0" applyNumberFormat="1" applyFont="1" applyFill="1" applyBorder="1" applyAlignment="1">
      <alignment horizontal="center" vertical="center" wrapText="1"/>
    </xf>
    <xf numFmtId="165" fontId="2" fillId="25" borderId="25" xfId="0" applyNumberFormat="1" applyFont="1" applyFill="1" applyBorder="1" applyAlignment="1">
      <alignment horizontal="right" vertical="center"/>
    </xf>
    <xf numFmtId="164" fontId="2" fillId="25" borderId="25" xfId="0" applyNumberFormat="1" applyFont="1" applyFill="1" applyBorder="1" applyAlignment="1">
      <alignment horizontal="right" vertical="center"/>
    </xf>
    <xf numFmtId="165" fontId="39" fillId="25" borderId="25" xfId="0" applyNumberFormat="1" applyFont="1" applyFill="1" applyBorder="1" applyAlignment="1">
      <alignment horizontal="right" vertical="center"/>
    </xf>
    <xf numFmtId="10" fontId="2" fillId="25" borderId="25" xfId="0" applyNumberFormat="1" applyFont="1" applyFill="1" applyBorder="1" applyAlignment="1">
      <alignment horizontal="center" vertical="center"/>
    </xf>
    <xf numFmtId="165" fontId="2" fillId="25" borderId="25" xfId="0" applyNumberFormat="1" applyFont="1" applyFill="1" applyBorder="1" applyAlignment="1">
      <alignment horizontal="right" vertical="center" wrapText="1"/>
    </xf>
    <xf numFmtId="165" fontId="39" fillId="25" borderId="25" xfId="0" applyNumberFormat="1" applyFont="1" applyFill="1" applyBorder="1" applyAlignment="1">
      <alignment horizontal="right" vertical="center" wrapText="1"/>
    </xf>
    <xf numFmtId="165" fontId="15" fillId="25" borderId="25" xfId="0" applyNumberFormat="1" applyFont="1" applyFill="1" applyBorder="1" applyAlignment="1">
      <alignment horizontal="right" vertical="center" wrapText="1"/>
    </xf>
    <xf numFmtId="165" fontId="14" fillId="25" borderId="25" xfId="0" applyNumberFormat="1" applyFont="1" applyFill="1" applyBorder="1" applyAlignment="1">
      <alignment horizontal="right" vertical="center" wrapText="1"/>
    </xf>
    <xf numFmtId="165" fontId="10" fillId="25" borderId="25" xfId="0" applyNumberFormat="1" applyFont="1" applyFill="1" applyBorder="1" applyAlignment="1">
      <alignment horizontal="right" vertical="center" wrapText="1"/>
    </xf>
    <xf numFmtId="164" fontId="10" fillId="25" borderId="25" xfId="0" applyNumberFormat="1" applyFont="1" applyFill="1" applyBorder="1" applyAlignment="1">
      <alignment horizontal="right" vertical="center"/>
    </xf>
    <xf numFmtId="164" fontId="40" fillId="25" borderId="25" xfId="0" applyNumberFormat="1" applyFont="1" applyFill="1" applyBorder="1" applyAlignment="1">
      <alignment horizontal="right" vertical="center"/>
    </xf>
    <xf numFmtId="165" fontId="40" fillId="25" borderId="25" xfId="0" applyNumberFormat="1" applyFont="1" applyFill="1" applyBorder="1" applyAlignment="1">
      <alignment horizontal="right" vertical="center"/>
    </xf>
    <xf numFmtId="10" fontId="10" fillId="25" borderId="25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/>
    <xf numFmtId="0" fontId="5" fillId="3" borderId="1" xfId="0" applyFont="1" applyFill="1" applyBorder="1"/>
    <xf numFmtId="164" fontId="2" fillId="18" borderId="15" xfId="0" applyNumberFormat="1" applyFont="1" applyFill="1" applyBorder="1" applyAlignment="1">
      <alignment horizontal="right" vertical="center"/>
    </xf>
    <xf numFmtId="0" fontId="3" fillId="0" borderId="16" xfId="0" applyFont="1" applyBorder="1"/>
    <xf numFmtId="0" fontId="3" fillId="0" borderId="17" xfId="0" applyFont="1" applyBorder="1"/>
    <xf numFmtId="164" fontId="2" fillId="19" borderId="15" xfId="0" applyNumberFormat="1" applyFont="1" applyFill="1" applyBorder="1" applyAlignment="1">
      <alignment horizontal="center" vertical="center"/>
    </xf>
    <xf numFmtId="164" fontId="2" fillId="20" borderId="15" xfId="0" applyNumberFormat="1" applyFont="1" applyFill="1" applyBorder="1" applyAlignment="1">
      <alignment horizontal="center" vertical="center"/>
    </xf>
    <xf numFmtId="164" fontId="2" fillId="16" borderId="15" xfId="0" applyNumberFormat="1" applyFont="1" applyFill="1" applyBorder="1" applyAlignment="1">
      <alignment horizontal="center" vertical="center"/>
    </xf>
    <xf numFmtId="164" fontId="2" fillId="13" borderId="15" xfId="0" applyNumberFormat="1" applyFont="1" applyFill="1" applyBorder="1" applyAlignment="1">
      <alignment horizontal="left" vertical="center"/>
    </xf>
    <xf numFmtId="164" fontId="2" fillId="10" borderId="21" xfId="0" applyNumberFormat="1" applyFont="1" applyFill="1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164" fontId="2" fillId="17" borderId="15" xfId="0" applyNumberFormat="1" applyFont="1" applyFill="1" applyBorder="1" applyAlignment="1">
      <alignment horizontal="center" vertical="center"/>
    </xf>
    <xf numFmtId="0" fontId="8" fillId="9" borderId="15" xfId="0" applyFont="1" applyFill="1" applyBorder="1" applyAlignment="1">
      <alignment horizontal="center" vertical="center" wrapText="1"/>
    </xf>
    <xf numFmtId="164" fontId="2" fillId="10" borderId="18" xfId="0" applyNumberFormat="1" applyFont="1" applyFill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164" fontId="2" fillId="11" borderId="15" xfId="0" applyNumberFormat="1" applyFont="1" applyFill="1" applyBorder="1" applyAlignment="1">
      <alignment horizontal="center" vertical="center"/>
    </xf>
    <xf numFmtId="164" fontId="2" fillId="11" borderId="21" xfId="0" applyNumberFormat="1" applyFont="1" applyFill="1" applyBorder="1" applyAlignment="1">
      <alignment horizontal="center" vertical="center"/>
    </xf>
    <xf numFmtId="164" fontId="2" fillId="10" borderId="24" xfId="0" applyNumberFormat="1" applyFont="1" applyFill="1" applyBorder="1" applyAlignment="1">
      <alignment horizontal="center" vertical="center" wrapText="1"/>
    </xf>
    <xf numFmtId="0" fontId="3" fillId="0" borderId="27" xfId="0" applyFont="1" applyBorder="1"/>
    <xf numFmtId="164" fontId="2" fillId="10" borderId="15" xfId="0" applyNumberFormat="1" applyFont="1" applyFill="1" applyBorder="1" applyAlignment="1">
      <alignment horizontal="center" vertical="center"/>
    </xf>
    <xf numFmtId="164" fontId="2" fillId="16" borderId="15" xfId="0" applyNumberFormat="1" applyFont="1" applyFill="1" applyBorder="1" applyAlignment="1">
      <alignment horizontal="left" vertical="center"/>
    </xf>
    <xf numFmtId="169" fontId="9" fillId="23" borderId="0" xfId="0" applyNumberFormat="1" applyFont="1" applyFill="1" applyAlignment="1">
      <alignment horizontal="center" vertical="center"/>
    </xf>
    <xf numFmtId="0" fontId="0" fillId="0" borderId="0" xfId="0" applyFont="1" applyAlignment="1"/>
    <xf numFmtId="0" fontId="2" fillId="23" borderId="0" xfId="0" applyFont="1" applyFill="1" applyAlignment="1">
      <alignment horizontal="center" vertical="center"/>
    </xf>
    <xf numFmtId="0" fontId="2" fillId="17" borderId="15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left" vertical="center"/>
    </xf>
    <xf numFmtId="0" fontId="2" fillId="17" borderId="15" xfId="0" applyFont="1" applyFill="1" applyBorder="1" applyAlignment="1">
      <alignment horizontal="left" vertical="center"/>
    </xf>
    <xf numFmtId="164" fontId="2" fillId="8" borderId="21" xfId="0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24" borderId="1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8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937E-4AC8-9819-EA923B6ADE52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937E-4AC8-9819-EA923B6ADE52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937E-4AC8-9819-EA923B6ADE52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937E-4AC8-9819-EA923B6ADE52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937E-4AC8-9819-EA923B6ADE52}"/>
              </c:ext>
            </c:extLst>
          </c:dPt>
          <c:cat>
            <c:strRef>
              <c:f>'Gráficos '!$B$34:$B$38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'!$C$34:$C$38</c:f>
              <c:numCache>
                <c:formatCode>[$R$-416]\ #,##0.00;[Red]\-[$R$-416]\ #,##0.00</c:formatCode>
                <c:ptCount val="5"/>
                <c:pt idx="0" formatCode="[$R$ -416]#,##0.00">
                  <c:v>25000</c:v>
                </c:pt>
                <c:pt idx="1">
                  <c:v>2087189.63</c:v>
                </c:pt>
                <c:pt idx="2" formatCode="[$R$ -416]#,##0.00">
                  <c:v>261376.04200000002</c:v>
                </c:pt>
                <c:pt idx="3" formatCode="[$R$ -416]#,##0.00">
                  <c:v>527423.95000000007</c:v>
                </c:pt>
                <c:pt idx="4" formatCode="[$R$ -416]#,##0.00">
                  <c:v>1223329.578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7E-4AC8-9819-EA923B6AD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E066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'!$H$63:$H$66</c:f>
              <c:strCache>
                <c:ptCount val="4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  <c:pt idx="3">
                  <c:v>RAPs - ANULADOS</c:v>
                </c:pt>
              </c:strCache>
            </c:strRef>
          </c:cat>
          <c:val>
            <c:numRef>
              <c:f>'Gráficos '!$I$63:$I$66</c:f>
              <c:numCache>
                <c:formatCode>[$R$-416]\ #,##0.00;[Red]\-[$R$-416]\ #,##0.00</c:formatCode>
                <c:ptCount val="4"/>
                <c:pt idx="0">
                  <c:v>3734259.4299999992</c:v>
                </c:pt>
                <c:pt idx="1">
                  <c:v>2889888.38</c:v>
                </c:pt>
                <c:pt idx="2">
                  <c:v>729849.71999999939</c:v>
                </c:pt>
                <c:pt idx="3" formatCode="[$R$ -416]#,##0.00">
                  <c:v>114521.33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338-45AC-9983-783EBB264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8760747"/>
        <c:axId val="1834956418"/>
      </c:barChart>
      <c:catAx>
        <c:axId val="17787607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34956418"/>
        <c:crosses val="autoZero"/>
        <c:auto val="1"/>
        <c:lblAlgn val="ctr"/>
        <c:lblOffset val="100"/>
        <c:noMultiLvlLbl val="1"/>
      </c:catAx>
      <c:valAx>
        <c:axId val="183495641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-416]\ #,##0.00;[Red]\-[$R$-416]\ 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78760747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5B0D-4E9B-BAAE-2BBE3A7FDB1D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5B0D-4E9B-BAAE-2BBE3A7FDB1D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5B0D-4E9B-BAAE-2BBE3A7FDB1D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5B0D-4E9B-BAAE-2BBE3A7FDB1D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5B0D-4E9B-BAAE-2BBE3A7FDB1D}"/>
              </c:ext>
            </c:extLst>
          </c:dPt>
          <c:cat>
            <c:strRef>
              <c:f>'Gráficos '!$K$63:$K$67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'!$L$63:$L$67</c:f>
              <c:numCache>
                <c:formatCode>[$R$-416]\ #,##0.00;[Red]\-[$R$-416]\ #,##0.00</c:formatCode>
                <c:ptCount val="5"/>
                <c:pt idx="0">
                  <c:v>4236096.5999999996</c:v>
                </c:pt>
                <c:pt idx="1">
                  <c:v>2938563.99</c:v>
                </c:pt>
                <c:pt idx="2">
                  <c:v>203316</c:v>
                </c:pt>
                <c:pt idx="3">
                  <c:v>61482.48</c:v>
                </c:pt>
                <c:pt idx="4">
                  <c:v>222166.8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0D-4E9B-BAAE-2BBE3A7FD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'Gráficos '!$L$90</c:f>
              <c:strCache>
                <c:ptCount val="1"/>
                <c:pt idx="0">
                  <c:v>RECEITAS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'Gráficos '!$K$91:$K$95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'!$L$91:$L$95</c:f>
              <c:numCache>
                <c:formatCode>_("R$"* #,##0.00_);_("R$"* \(#,##0.00\);_("R$"* "-"??_);_(@_)</c:formatCode>
                <c:ptCount val="5"/>
                <c:pt idx="0">
                  <c:v>4236096.5999999996</c:v>
                </c:pt>
                <c:pt idx="1">
                  <c:v>2938563.99</c:v>
                </c:pt>
                <c:pt idx="2">
                  <c:v>203316</c:v>
                </c:pt>
                <c:pt idx="3">
                  <c:v>61482.48</c:v>
                </c:pt>
                <c:pt idx="4">
                  <c:v>222166.8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4B-4C8F-832A-CAE047B0A130}"/>
            </c:ext>
          </c:extLst>
        </c:ser>
        <c:ser>
          <c:idx val="1"/>
          <c:order val="1"/>
          <c:tx>
            <c:strRef>
              <c:f>'Gráficos '!$M$90</c:f>
              <c:strCache>
                <c:ptCount val="1"/>
                <c:pt idx="0">
                  <c:v>DESPESAS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'Gráficos '!$K$91:$K$95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'!$M$91:$M$95</c:f>
              <c:numCache>
                <c:formatCode>_("R$"* #,##0.00_);_("R$"* \(#,##0.00\);_("R$"* "-"??_);_(@_)</c:formatCode>
                <c:ptCount val="5"/>
                <c:pt idx="0">
                  <c:v>4236096.5999999996</c:v>
                </c:pt>
                <c:pt idx="1">
                  <c:v>3184136.87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4B-4C8F-832A-CAE047B0A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1136944"/>
        <c:axId val="501135632"/>
      </c:barChart>
      <c:catAx>
        <c:axId val="50113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01135632"/>
        <c:crosses val="autoZero"/>
        <c:auto val="1"/>
        <c:lblAlgn val="ctr"/>
        <c:lblOffset val="100"/>
        <c:noMultiLvlLbl val="0"/>
      </c:catAx>
      <c:valAx>
        <c:axId val="50113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0113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B8E4-4064-8F64-8F126CA8059C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B8E4-4064-8F64-8F126CA8059C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B8E4-4064-8F64-8F126CA8059C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B8E4-4064-8F64-8F126CA8059C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B8E4-4064-8F64-8F126CA8059C}"/>
              </c:ext>
            </c:extLst>
          </c:dPt>
          <c:cat>
            <c:strRef>
              <c:f>'Gráficos '!$E$34:$E$38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'!$F$34:$F$38</c:f>
              <c:numCache>
                <c:formatCode>[$R$-416]\ #,##0.00;[Red]\-[$R$-416]\ #,##0.00</c:formatCode>
                <c:ptCount val="5"/>
                <c:pt idx="0" formatCode="[$R$ -416]#,##0.00">
                  <c:v>4000</c:v>
                </c:pt>
                <c:pt idx="1">
                  <c:v>2106858.9500000002</c:v>
                </c:pt>
                <c:pt idx="2" formatCode="[$R$ -416]#,##0.00">
                  <c:v>147160.45000000001</c:v>
                </c:pt>
                <c:pt idx="3" formatCode="[$R$ -416]#,##0.00">
                  <c:v>168454.65</c:v>
                </c:pt>
                <c:pt idx="4" formatCode="[$R$ -416]#,##0.00">
                  <c:v>1210126.92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8E4-4064-8F64-8F126CA80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4C4C-43E2-84BD-228AE8FDB070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4C4C-43E2-84BD-228AE8FDB070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4C4C-43E2-84BD-228AE8FDB070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4C4C-43E2-84BD-228AE8FDB070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4C4C-43E2-84BD-228AE8FDB070}"/>
              </c:ext>
            </c:extLst>
          </c:dPt>
          <c:cat>
            <c:strRef>
              <c:f>'Gráficos '!$H$34:$H$38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'!$I$34:$I$38</c:f>
              <c:numCache>
                <c:formatCode>[$R$-416]\ #,##0.00;[Red]\-[$R$-416]\ #,##0.00</c:formatCode>
                <c:ptCount val="5"/>
                <c:pt idx="0" formatCode="[$R$ -416]#,##0.00">
                  <c:v>3026.1</c:v>
                </c:pt>
                <c:pt idx="1">
                  <c:v>1369003.22</c:v>
                </c:pt>
                <c:pt idx="2" formatCode="[$R$ -416]#,##0.00">
                  <c:v>104290.34</c:v>
                </c:pt>
                <c:pt idx="3" formatCode="[$R$ -416]#,##0.00">
                  <c:v>90963.16</c:v>
                </c:pt>
                <c:pt idx="4" formatCode="[$R$ -416]#,##0.00">
                  <c:v>790457.3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4C-43E2-84BD-228AE8FDB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'!$B$64:$B$65</c:f>
              <c:strCache>
                <c:ptCount val="2"/>
                <c:pt idx="0">
                  <c:v>ORÇAMENTO PLANEJADO</c:v>
                </c:pt>
                <c:pt idx="1">
                  <c:v>ORÇAMENTO LIBERADO</c:v>
                </c:pt>
              </c:strCache>
            </c:strRef>
          </c:cat>
          <c:val>
            <c:numRef>
              <c:f>'Gráficos '!$C$64:$C$65</c:f>
              <c:numCache>
                <c:formatCode>[$R$-416]\ #,##0.00;[Red]\-[$R$-416]\ #,##0.00</c:formatCode>
                <c:ptCount val="2"/>
                <c:pt idx="0" formatCode="[$R$ -416]#,##0.00">
                  <c:v>4124319.2</c:v>
                </c:pt>
                <c:pt idx="1">
                  <c:v>4236096.5999999996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357-4CF4-89AE-976005EEF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3065370"/>
        <c:axId val="879685201"/>
      </c:barChart>
      <c:catAx>
        <c:axId val="19430653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79685201"/>
        <c:crosses val="autoZero"/>
        <c:auto val="1"/>
        <c:lblAlgn val="ctr"/>
        <c:lblOffset val="100"/>
        <c:noMultiLvlLbl val="1"/>
      </c:catAx>
      <c:valAx>
        <c:axId val="87968520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43065370"/>
        <c:crosses val="autoZero"/>
        <c:crossBetween val="between"/>
      </c:valAx>
    </c:plotArea>
    <c:plotVisOnly val="1"/>
    <c:dispBlanksAs val="zero"/>
    <c:showDLblsOverMax val="1"/>
  </c:chart>
  <c:spPr>
    <a:solidFill>
      <a:srgbClr val="F3F3F3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'!$L$34:$L$45</c:f>
              <c:numCache>
                <c:formatCode>[$R$ -416]#,##0.00</c:formatCode>
                <c:ptCount val="12"/>
                <c:pt idx="0">
                  <c:v>343693.26666666666</c:v>
                </c:pt>
                <c:pt idx="1">
                  <c:v>343693.26666666666</c:v>
                </c:pt>
                <c:pt idx="2">
                  <c:v>343693.26666666666</c:v>
                </c:pt>
                <c:pt idx="3">
                  <c:v>343693.26666666666</c:v>
                </c:pt>
                <c:pt idx="4">
                  <c:v>343693.26666666666</c:v>
                </c:pt>
                <c:pt idx="5">
                  <c:v>343693.26666666666</c:v>
                </c:pt>
                <c:pt idx="6">
                  <c:v>343693.26666666666</c:v>
                </c:pt>
                <c:pt idx="7">
                  <c:v>343693.26666666666</c:v>
                </c:pt>
                <c:pt idx="8">
                  <c:v>343693.26666666666</c:v>
                </c:pt>
                <c:pt idx="9">
                  <c:v>343693.26666666666</c:v>
                </c:pt>
                <c:pt idx="10">
                  <c:v>343693.26666666666</c:v>
                </c:pt>
                <c:pt idx="11">
                  <c:v>343693.26666666666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EA5-4495-878B-7AE228BC92C4}"/>
            </c:ext>
          </c:extLst>
        </c:ser>
        <c:ser>
          <c:idx val="1"/>
          <c:order val="1"/>
          <c:tx>
            <c:v>ORÇAMENTO LIBERADO</c:v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'!$M$34:$M$45</c:f>
              <c:numCache>
                <c:formatCode>[$R$-416]\ #,##0.00;[Red]\-[$R$-416]\ #,##0.00</c:formatCode>
                <c:ptCount val="12"/>
                <c:pt idx="0">
                  <c:v>1157216</c:v>
                </c:pt>
                <c:pt idx="1">
                  <c:v>385739</c:v>
                </c:pt>
                <c:pt idx="2">
                  <c:v>80000</c:v>
                </c:pt>
                <c:pt idx="3" formatCode="[$R$]#,##0.00">
                  <c:v>1928694</c:v>
                </c:pt>
                <c:pt idx="4" formatCode="[$R$]#,##0.00">
                  <c:v>267008.21999999997</c:v>
                </c:pt>
                <c:pt idx="5" formatCode="[$R$]#,##0.00">
                  <c:v>135653.64000000001</c:v>
                </c:pt>
                <c:pt idx="6">
                  <c:v>78286.540000000008</c:v>
                </c:pt>
                <c:pt idx="7">
                  <c:v>0</c:v>
                </c:pt>
                <c:pt idx="8">
                  <c:v>203499.2</c:v>
                </c:pt>
                <c:pt idx="9" formatCode="[$R$]#,##0.00">
                  <c:v>0</c:v>
                </c:pt>
                <c:pt idx="10" formatCode="[$R$]#,##0.00">
                  <c:v>0</c:v>
                </c:pt>
                <c:pt idx="11" formatCode="[$R$]#,##0.0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6EA5-4495-878B-7AE228BC9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624044"/>
        <c:axId val="533978819"/>
      </c:barChart>
      <c:catAx>
        <c:axId val="946240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33978819"/>
        <c:crosses val="autoZero"/>
        <c:auto val="1"/>
        <c:lblAlgn val="ctr"/>
        <c:lblOffset val="100"/>
        <c:noMultiLvlLbl val="1"/>
      </c:catAx>
      <c:valAx>
        <c:axId val="5339788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9462404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'!$E$63:$E$66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'!$F$63:$F$66</c:f>
              <c:numCache>
                <c:formatCode>[$R$ -416]#,##0.00</c:formatCode>
                <c:ptCount val="4"/>
                <c:pt idx="0" formatCode="[$R$-416]\ #,##0.00;[Red]\-[$R$-416]\ #,##0.00">
                  <c:v>4236096.5999999996</c:v>
                </c:pt>
                <c:pt idx="1">
                  <c:v>3636600.97</c:v>
                </c:pt>
                <c:pt idx="2">
                  <c:v>2357740.12</c:v>
                </c:pt>
                <c:pt idx="3">
                  <c:v>2357740.12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F6F-4E43-B6BF-3DB0D9FF9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3643588"/>
        <c:axId val="160158151"/>
      </c:barChart>
      <c:catAx>
        <c:axId val="174364358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ORÇAMENTO LIBERADO - MATRIZ ORÇAMENTÁRIA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60158151"/>
        <c:crosses val="autoZero"/>
        <c:auto val="1"/>
        <c:lblAlgn val="ctr"/>
        <c:lblOffset val="100"/>
        <c:noMultiLvlLbl val="1"/>
      </c:catAx>
      <c:valAx>
        <c:axId val="16015815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DESPESAS EMPENHADAS, LIQUIDADAS E PAGAS</a:t>
                </a:r>
              </a:p>
            </c:rich>
          </c:tx>
          <c:layout/>
          <c:overlay val="0"/>
        </c:title>
        <c:numFmt formatCode="[$R$-416]\ #,##0;[Red]\-[$R$-416]\ #,##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43643588"/>
        <c:crosses val="max"/>
        <c:crossBetween val="between"/>
        <c:dispUnits>
          <c:builtInUnit val="millions"/>
          <c:dispUnitsLbl>
            <c:layout/>
          </c:dispUnitsLbl>
        </c:dispUnits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EEA6-40E1-B3B1-9A1E8951A242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EEA6-40E1-B3B1-9A1E8951A242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EEA6-40E1-B3B1-9A1E8951A242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EEA6-40E1-B3B1-9A1E8951A242}"/>
              </c:ext>
            </c:extLst>
          </c:dPt>
          <c:cat>
            <c:strRef>
              <c:f>'Gráficos '!$B$5:$B$8</c:f>
              <c:strCache>
                <c:ptCount val="4"/>
                <c:pt idx="0">
                  <c:v>MATRIZ ORÇAMENTÁRIA AJUSTADA</c:v>
                </c:pt>
                <c:pt idx="1">
                  <c:v>PNAES - PTRES 170804</c:v>
                </c:pt>
                <c:pt idx="2">
                  <c:v>FNDE</c:v>
                </c:pt>
                <c:pt idx="3">
                  <c:v>OUTROS        (PNAES, FNDE, Extra Orçamentário, etc)</c:v>
                </c:pt>
              </c:strCache>
            </c:strRef>
          </c:cat>
          <c:val>
            <c:numRef>
              <c:f>'Gráficos '!$C$5:$C$8</c:f>
              <c:numCache>
                <c:formatCode>[$R$ -416]#,##0.00</c:formatCode>
                <c:ptCount val="4"/>
                <c:pt idx="0" formatCode="[$R$-416]\ #,##0.00;[Red]\-[$R$-416]\ #,##0.00">
                  <c:v>4124319.2</c:v>
                </c:pt>
                <c:pt idx="1">
                  <c:v>2000000</c:v>
                </c:pt>
                <c:pt idx="2">
                  <c:v>0</c:v>
                </c:pt>
                <c:pt idx="3" formatCode="[$R$-416]\ #,##0.00;[Red]\-[$R$-416]\ #,##0.00">
                  <c:v>11139944.870000001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EA6-40E1-B3B1-9A1E8951A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42536700876462297"/>
          <c:y val="4.8404840484048403E-2"/>
          <c:w val="0.5511289232558505"/>
          <c:h val="0.9112725760765052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7B79-470E-8C03-68D568D565F5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7B79-470E-8C03-68D568D565F5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7B79-470E-8C03-68D568D565F5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7B79-470E-8C03-68D568D565F5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7B79-470E-8C03-68D568D565F5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</c:spPr>
            <c:extLst>
              <c:ext xmlns:c16="http://schemas.microsoft.com/office/drawing/2014/chart" uri="{C3380CC4-5D6E-409C-BE32-E72D297353CC}">
                <c16:uniqueId val="{0000000B-7B79-470E-8C03-68D568D565F5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</c:spPr>
            <c:extLst>
              <c:ext xmlns:c16="http://schemas.microsoft.com/office/drawing/2014/chart" uri="{C3380CC4-5D6E-409C-BE32-E72D297353CC}">
                <c16:uniqueId val="{0000000D-7B79-470E-8C03-68D568D565F5}"/>
              </c:ext>
            </c:extLst>
          </c:dPt>
          <c:dPt>
            <c:idx val="7"/>
            <c:bubble3D val="0"/>
            <c:spPr>
              <a:solidFill>
                <a:srgbClr val="D38582"/>
              </a:solidFill>
            </c:spPr>
            <c:extLst>
              <c:ext xmlns:c16="http://schemas.microsoft.com/office/drawing/2014/chart" uri="{C3380CC4-5D6E-409C-BE32-E72D297353CC}">
                <c16:uniqueId val="{0000000F-7B79-470E-8C03-68D568D565F5}"/>
              </c:ext>
            </c:extLst>
          </c:dPt>
          <c:dPt>
            <c:idx val="8"/>
            <c:bubble3D val="0"/>
            <c:spPr>
              <a:solidFill>
                <a:srgbClr val="B9CF8B"/>
              </a:solidFill>
            </c:spPr>
            <c:extLst>
              <c:ext xmlns:c16="http://schemas.microsoft.com/office/drawing/2014/chart" uri="{C3380CC4-5D6E-409C-BE32-E72D297353CC}">
                <c16:uniqueId val="{00000011-7B79-470E-8C03-68D568D565F5}"/>
              </c:ext>
            </c:extLst>
          </c:dPt>
          <c:dPt>
            <c:idx val="9"/>
            <c:bubble3D val="0"/>
            <c:spPr>
              <a:solidFill>
                <a:srgbClr val="A693BE"/>
              </a:solidFill>
            </c:spPr>
            <c:extLst>
              <c:ext xmlns:c16="http://schemas.microsoft.com/office/drawing/2014/chart" uri="{C3380CC4-5D6E-409C-BE32-E72D297353CC}">
                <c16:uniqueId val="{00000013-7B79-470E-8C03-68D568D565F5}"/>
              </c:ext>
            </c:extLst>
          </c:dPt>
          <c:cat>
            <c:strRef>
              <c:f>'Gráficos '!$E$4:$E$13</c:f>
              <c:strCache>
                <c:ptCount val="10"/>
                <c:pt idx="0">
                  <c:v>RECURSO LIVRE</c:v>
                </c:pt>
                <c:pt idx="1">
                  <c:v>PIIQP </c:v>
                </c:pt>
                <c:pt idx="2">
                  <c:v>PIIQPPE </c:v>
                </c:pt>
                <c:pt idx="3">
                  <c:v>FUNDO DE TI </c:v>
                </c:pt>
                <c:pt idx="4">
                  <c:v>PID</c:v>
                </c:pt>
                <c:pt idx="5">
                  <c:v>PROJETOS DE ENSINO </c:v>
                </c:pt>
                <c:pt idx="6">
                  <c:v>ASSISTÊNCIA ESTUDANTIL</c:v>
                </c:pt>
                <c:pt idx="7">
                  <c:v>AÇÕES INCLUSIVAS </c:v>
                </c:pt>
                <c:pt idx="8">
                  <c:v>PROJETOS DE PESQUISA</c:v>
                </c:pt>
                <c:pt idx="9">
                  <c:v>PROJETOS DE EXTENSÃO- PI - LEN09P20FAI</c:v>
                </c:pt>
              </c:strCache>
            </c:strRef>
          </c:cat>
          <c:val>
            <c:numRef>
              <c:f>'Gráficos '!$F$4:$F$13</c:f>
              <c:numCache>
                <c:formatCode>[$R$ -416]#,##0.00</c:formatCode>
                <c:ptCount val="10"/>
                <c:pt idx="0">
                  <c:v>3592889.63</c:v>
                </c:pt>
                <c:pt idx="1">
                  <c:v>41243.192000000003</c:v>
                </c:pt>
                <c:pt idx="2">
                  <c:v>11039.870000000003</c:v>
                </c:pt>
                <c:pt idx="3">
                  <c:v>46092.98</c:v>
                </c:pt>
                <c:pt idx="4">
                  <c:v>0</c:v>
                </c:pt>
                <c:pt idx="5">
                  <c:v>41243.19</c:v>
                </c:pt>
                <c:pt idx="6">
                  <c:v>206215.96</c:v>
                </c:pt>
                <c:pt idx="7">
                  <c:v>61864.799999999996</c:v>
                </c:pt>
                <c:pt idx="8">
                  <c:v>61864.788000000008</c:v>
                </c:pt>
                <c:pt idx="9">
                  <c:v>61864.789999999994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B79-470E-8C03-68D568D56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5.4088149160995535E-3"/>
          <c:y val="1.3582807099607599E-2"/>
          <c:w val="0.43562261304163324"/>
          <c:h val="0.95561411259236162"/>
        </c:manualLayout>
      </c:layout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5B71-4458-B9EE-0EE82F475C16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5B71-4458-B9EE-0EE82F475C16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5B71-4458-B9EE-0EE82F475C16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5B71-4458-B9EE-0EE82F475C16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5B71-4458-B9EE-0EE82F475C16}"/>
              </c:ext>
            </c:extLst>
          </c:dPt>
          <c:cat>
            <c:strRef>
              <c:f>'Gráficos '!$H$4:$H$8</c:f>
              <c:strCache>
                <c:ptCount val="5"/>
                <c:pt idx="0">
                  <c:v>5% CUSTEIO DO CAMPUS </c:v>
                </c:pt>
                <c:pt idx="1">
                  <c:v>PNAES - PTRES 170804</c:v>
                </c:pt>
                <c:pt idx="2">
                  <c:v>RIP - PTRES 170803</c:v>
                </c:pt>
                <c:pt idx="3">
                  <c:v>FNDE</c:v>
                </c:pt>
                <c:pt idx="4">
                  <c:v>OUTROS        (PNAES, FNDE, Extra Orçamentário, etc)</c:v>
                </c:pt>
              </c:strCache>
            </c:strRef>
          </c:cat>
          <c:val>
            <c:numRef>
              <c:f>'Gráficos '!$I$4:$I$8</c:f>
              <c:numCache>
                <c:formatCode>[$R$ -416]#,##0.00</c:formatCode>
                <c:ptCount val="5"/>
                <c:pt idx="0">
                  <c:v>206215.96</c:v>
                </c:pt>
                <c:pt idx="1">
                  <c:v>2000000</c:v>
                </c:pt>
                <c:pt idx="2">
                  <c:v>3249944.87</c:v>
                </c:pt>
                <c:pt idx="3">
                  <c:v>0</c:v>
                </c:pt>
                <c:pt idx="4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71-4458-B9EE-0EE82F475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2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38</xdr:row>
      <xdr:rowOff>180975</xdr:rowOff>
    </xdr:from>
    <xdr:ext cx="4772025" cy="3533775"/>
    <xdr:graphicFrame macro="">
      <xdr:nvGraphicFramePr>
        <xdr:cNvPr id="877188882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95250</xdr:colOff>
      <xdr:row>38</xdr:row>
      <xdr:rowOff>180975</xdr:rowOff>
    </xdr:from>
    <xdr:ext cx="4772025" cy="3533775"/>
    <xdr:graphicFrame macro="">
      <xdr:nvGraphicFramePr>
        <xdr:cNvPr id="125277631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85725</xdr:colOff>
      <xdr:row>38</xdr:row>
      <xdr:rowOff>180975</xdr:rowOff>
    </xdr:from>
    <xdr:ext cx="4772025" cy="3533775"/>
    <xdr:graphicFrame macro="">
      <xdr:nvGraphicFramePr>
        <xdr:cNvPr id="1448625377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85725</xdr:colOff>
      <xdr:row>66</xdr:row>
      <xdr:rowOff>9525</xdr:rowOff>
    </xdr:from>
    <xdr:ext cx="4772025" cy="3533775"/>
    <xdr:graphicFrame macro="">
      <xdr:nvGraphicFramePr>
        <xdr:cNvPr id="1954600860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10</xdr:col>
      <xdr:colOff>76200</xdr:colOff>
      <xdr:row>45</xdr:row>
      <xdr:rowOff>47625</xdr:rowOff>
    </xdr:from>
    <xdr:ext cx="4772025" cy="2400300"/>
    <xdr:graphicFrame macro="">
      <xdr:nvGraphicFramePr>
        <xdr:cNvPr id="983566465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4</xdr:col>
      <xdr:colOff>95250</xdr:colOff>
      <xdr:row>66</xdr:row>
      <xdr:rowOff>9525</xdr:rowOff>
    </xdr:from>
    <xdr:ext cx="4772025" cy="3533775"/>
    <xdr:graphicFrame macro="">
      <xdr:nvGraphicFramePr>
        <xdr:cNvPr id="1356836092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85725</xdr:colOff>
      <xdr:row>9</xdr:row>
      <xdr:rowOff>9525</xdr:rowOff>
    </xdr:from>
    <xdr:ext cx="4772025" cy="3676650"/>
    <xdr:graphicFrame macro="">
      <xdr:nvGraphicFramePr>
        <xdr:cNvPr id="1472074581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4</xdr:col>
      <xdr:colOff>85725</xdr:colOff>
      <xdr:row>13</xdr:row>
      <xdr:rowOff>38100</xdr:rowOff>
    </xdr:from>
    <xdr:ext cx="4772025" cy="2886075"/>
    <xdr:graphicFrame macro="">
      <xdr:nvGraphicFramePr>
        <xdr:cNvPr id="1127804759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7</xdr:col>
      <xdr:colOff>85725</xdr:colOff>
      <xdr:row>9</xdr:row>
      <xdr:rowOff>9525</xdr:rowOff>
    </xdr:from>
    <xdr:ext cx="4772025" cy="3676650"/>
    <xdr:graphicFrame macro="">
      <xdr:nvGraphicFramePr>
        <xdr:cNvPr id="1311073561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7</xdr:col>
      <xdr:colOff>85725</xdr:colOff>
      <xdr:row>66</xdr:row>
      <xdr:rowOff>9525</xdr:rowOff>
    </xdr:from>
    <xdr:ext cx="4772025" cy="3533775"/>
    <xdr:graphicFrame macro="">
      <xdr:nvGraphicFramePr>
        <xdr:cNvPr id="1224838323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10</xdr:col>
      <xdr:colOff>76200</xdr:colOff>
      <xdr:row>67</xdr:row>
      <xdr:rowOff>47625</xdr:rowOff>
    </xdr:from>
    <xdr:ext cx="4772025" cy="3295650"/>
    <xdr:graphicFrame macro="">
      <xdr:nvGraphicFramePr>
        <xdr:cNvPr id="1231952823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10</xdr:col>
      <xdr:colOff>38100</xdr:colOff>
      <xdr:row>122</xdr:row>
      <xdr:rowOff>152400</xdr:rowOff>
    </xdr:from>
    <xdr:ext cx="5848350" cy="3200400"/>
    <xdr:pic>
      <xdr:nvPicPr>
        <xdr:cNvPr id="3" name="image2.png" title="Imagem"/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149</xdr:row>
      <xdr:rowOff>123825</xdr:rowOff>
    </xdr:from>
    <xdr:ext cx="5848350" cy="3200400"/>
    <xdr:pic>
      <xdr:nvPicPr>
        <xdr:cNvPr id="4" name="image3.png" title="Imagem"/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181</xdr:row>
      <xdr:rowOff>190500</xdr:rowOff>
    </xdr:from>
    <xdr:ext cx="5848350" cy="3124200"/>
    <xdr:pic>
      <xdr:nvPicPr>
        <xdr:cNvPr id="5" name="image4.png" title="Imagem"/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10</xdr:col>
      <xdr:colOff>209550</xdr:colOff>
      <xdr:row>96</xdr:row>
      <xdr:rowOff>57150</xdr:rowOff>
    </xdr:from>
    <xdr:to>
      <xdr:col>12</xdr:col>
      <xdr:colOff>952500</xdr:colOff>
      <xdr:row>110</xdr:row>
      <xdr:rowOff>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P1000"/>
  <sheetViews>
    <sheetView showGridLines="0" workbookViewId="0"/>
  </sheetViews>
  <sheetFormatPr defaultColWidth="14.42578125" defaultRowHeight="15" customHeight="1"/>
  <cols>
    <col min="1" max="1" width="4.42578125" customWidth="1"/>
    <col min="2" max="7" width="16.28515625" customWidth="1"/>
    <col min="8" max="8" width="18.28515625" customWidth="1"/>
    <col min="9" max="9" width="5.28515625" customWidth="1"/>
    <col min="10" max="10" width="24.7109375" customWidth="1"/>
    <col min="12" max="12" width="13.7109375" customWidth="1"/>
    <col min="16" max="16" width="30.28515625" customWidth="1"/>
  </cols>
  <sheetData>
    <row r="2" spans="2:16" ht="15.75">
      <c r="B2" s="492" t="s">
        <v>0</v>
      </c>
      <c r="C2" s="493"/>
      <c r="D2" s="493"/>
      <c r="E2" s="493"/>
      <c r="F2" s="493"/>
      <c r="G2" s="493"/>
      <c r="H2" s="494"/>
      <c r="J2" s="495" t="s">
        <v>1</v>
      </c>
      <c r="K2" s="493"/>
      <c r="L2" s="493"/>
      <c r="M2" s="493"/>
      <c r="N2" s="493"/>
      <c r="O2" s="493"/>
      <c r="P2" s="494"/>
    </row>
    <row r="4" spans="2:16">
      <c r="B4" s="1" t="s">
        <v>2</v>
      </c>
      <c r="J4" s="1" t="s">
        <v>2</v>
      </c>
    </row>
    <row r="5" spans="2:16">
      <c r="B5" s="1" t="s">
        <v>3</v>
      </c>
      <c r="J5" s="1" t="s">
        <v>4</v>
      </c>
    </row>
    <row r="6" spans="2:16">
      <c r="B6" s="1" t="s">
        <v>5</v>
      </c>
      <c r="J6" s="1" t="s">
        <v>6</v>
      </c>
    </row>
    <row r="8" spans="2:16">
      <c r="B8" s="2" t="s">
        <v>7</v>
      </c>
      <c r="C8" s="2"/>
      <c r="D8" s="2"/>
      <c r="E8" s="2"/>
      <c r="F8" s="2"/>
      <c r="G8" s="2"/>
      <c r="H8" s="2"/>
      <c r="J8" s="496" t="s">
        <v>8</v>
      </c>
      <c r="K8" s="493"/>
      <c r="L8" s="493"/>
      <c r="M8" s="493"/>
      <c r="N8" s="493"/>
      <c r="O8" s="493"/>
      <c r="P8" s="494"/>
    </row>
    <row r="9" spans="2:16">
      <c r="B9" s="1" t="s">
        <v>9</v>
      </c>
      <c r="J9" s="3" t="s">
        <v>10</v>
      </c>
      <c r="K9" s="3" t="s">
        <v>11</v>
      </c>
      <c r="L9" s="4"/>
      <c r="M9" s="4"/>
      <c r="N9" s="4"/>
      <c r="O9" s="4"/>
      <c r="P9" s="4"/>
    </row>
    <row r="10" spans="2:16">
      <c r="B10" s="2" t="s">
        <v>12</v>
      </c>
      <c r="C10" s="2"/>
      <c r="D10" s="2"/>
      <c r="E10" s="2"/>
      <c r="F10" s="2"/>
      <c r="G10" s="2"/>
      <c r="H10" s="2"/>
      <c r="J10" s="5" t="s">
        <v>13</v>
      </c>
      <c r="K10" s="6" t="s">
        <v>14</v>
      </c>
      <c r="L10" s="6"/>
      <c r="M10" s="6"/>
      <c r="N10" s="6"/>
      <c r="O10" s="6"/>
      <c r="P10" s="6"/>
    </row>
    <row r="11" spans="2:16">
      <c r="B11" s="1" t="s">
        <v>15</v>
      </c>
      <c r="J11" s="6" t="s">
        <v>16</v>
      </c>
      <c r="K11" s="6" t="s">
        <v>14</v>
      </c>
      <c r="L11" s="6"/>
      <c r="M11" s="6"/>
      <c r="N11" s="6"/>
      <c r="O11" s="6"/>
      <c r="P11" s="6"/>
    </row>
    <row r="12" spans="2:16">
      <c r="B12" s="2" t="s">
        <v>17</v>
      </c>
      <c r="C12" s="2"/>
      <c r="D12" s="2"/>
      <c r="E12" s="2"/>
      <c r="F12" s="2"/>
      <c r="G12" s="2"/>
      <c r="H12" s="2"/>
      <c r="J12" s="7">
        <v>631100000</v>
      </c>
      <c r="K12" s="1" t="s">
        <v>18</v>
      </c>
    </row>
    <row r="13" spans="2:16">
      <c r="B13" s="1" t="s">
        <v>19</v>
      </c>
      <c r="J13" s="5">
        <v>631100000</v>
      </c>
      <c r="K13" s="6" t="s">
        <v>20</v>
      </c>
      <c r="L13" s="6"/>
      <c r="M13" s="6"/>
      <c r="N13" s="6"/>
      <c r="O13" s="6"/>
      <c r="P13" s="6"/>
    </row>
    <row r="14" spans="2:16">
      <c r="B14" s="2" t="s">
        <v>21</v>
      </c>
      <c r="C14" s="2"/>
      <c r="D14" s="2"/>
      <c r="E14" s="2"/>
      <c r="F14" s="2"/>
      <c r="G14" s="2"/>
      <c r="H14" s="2"/>
      <c r="J14" s="7">
        <v>622920101</v>
      </c>
      <c r="K14" s="1" t="s">
        <v>22</v>
      </c>
    </row>
    <row r="15" spans="2:16">
      <c r="B15" s="1" t="s">
        <v>23</v>
      </c>
      <c r="J15" s="5">
        <v>622920104</v>
      </c>
      <c r="K15" s="6" t="s">
        <v>24</v>
      </c>
      <c r="L15" s="6"/>
      <c r="M15" s="6"/>
      <c r="N15" s="6"/>
      <c r="O15" s="6"/>
      <c r="P15" s="6"/>
    </row>
    <row r="16" spans="2:16">
      <c r="B16" s="2" t="s">
        <v>25</v>
      </c>
      <c r="C16" s="2"/>
      <c r="D16" s="2"/>
      <c r="E16" s="2"/>
      <c r="F16" s="2"/>
      <c r="G16" s="2"/>
      <c r="H16" s="2"/>
      <c r="J16" s="7">
        <v>632200000</v>
      </c>
      <c r="K16" s="8" t="s">
        <v>26</v>
      </c>
    </row>
    <row r="17" spans="2:16">
      <c r="B17" s="1" t="s">
        <v>27</v>
      </c>
      <c r="J17" s="5">
        <v>631400000</v>
      </c>
      <c r="K17" s="9" t="s">
        <v>28</v>
      </c>
      <c r="L17" s="6"/>
      <c r="M17" s="6"/>
      <c r="N17" s="6"/>
      <c r="O17" s="6"/>
      <c r="P17" s="6"/>
    </row>
    <row r="18" spans="2:16">
      <c r="B18" s="2" t="s">
        <v>29</v>
      </c>
      <c r="C18" s="2"/>
      <c r="D18" s="2"/>
      <c r="E18" s="2"/>
      <c r="F18" s="2"/>
      <c r="G18" s="2"/>
      <c r="H18" s="2"/>
    </row>
    <row r="19" spans="2:16">
      <c r="B19" s="1" t="s">
        <v>30</v>
      </c>
    </row>
    <row r="20" spans="2:16">
      <c r="B20" s="2" t="s">
        <v>31</v>
      </c>
      <c r="C20" s="2"/>
      <c r="D20" s="2"/>
      <c r="E20" s="2"/>
      <c r="F20" s="2"/>
      <c r="G20" s="2"/>
      <c r="H20" s="2"/>
    </row>
    <row r="21" spans="2:16" ht="15.75" customHeight="1">
      <c r="B21" s="1" t="s">
        <v>32</v>
      </c>
    </row>
    <row r="22" spans="2:16" ht="15.75" customHeight="1">
      <c r="B22" s="1" t="s">
        <v>33</v>
      </c>
    </row>
    <row r="23" spans="2:16" ht="15.75" customHeight="1">
      <c r="B23" s="1" t="s">
        <v>34</v>
      </c>
    </row>
    <row r="24" spans="2:16" ht="15.75" customHeight="1">
      <c r="B24" s="2" t="s">
        <v>35</v>
      </c>
      <c r="C24" s="2"/>
      <c r="D24" s="2"/>
      <c r="E24" s="2"/>
      <c r="F24" s="2"/>
      <c r="G24" s="2"/>
      <c r="H24" s="2"/>
    </row>
    <row r="25" spans="2:16" ht="15.75" customHeight="1">
      <c r="B25" s="2" t="s">
        <v>36</v>
      </c>
      <c r="C25" s="2"/>
      <c r="D25" s="2"/>
      <c r="E25" s="2"/>
      <c r="F25" s="2"/>
      <c r="G25" s="2"/>
      <c r="H25" s="2"/>
    </row>
    <row r="26" spans="2:16" ht="15.75" customHeight="1">
      <c r="B26" s="1" t="s">
        <v>37</v>
      </c>
    </row>
    <row r="27" spans="2:16" ht="15.75" customHeight="1">
      <c r="B27" s="2" t="s">
        <v>38</v>
      </c>
      <c r="C27" s="2"/>
      <c r="D27" s="2"/>
      <c r="E27" s="2"/>
      <c r="F27" s="2"/>
      <c r="G27" s="2"/>
      <c r="H27" s="2"/>
      <c r="J27" s="10" t="s">
        <v>39</v>
      </c>
      <c r="K27" s="11"/>
      <c r="L27" s="11"/>
      <c r="M27" s="11"/>
      <c r="N27" s="11"/>
      <c r="O27" s="11"/>
      <c r="P27" s="12"/>
    </row>
    <row r="28" spans="2:16" ht="15.75" customHeight="1">
      <c r="B28" s="2" t="s">
        <v>40</v>
      </c>
      <c r="C28" s="2"/>
      <c r="D28" s="2"/>
      <c r="E28" s="2"/>
      <c r="F28" s="2"/>
      <c r="G28" s="2"/>
      <c r="H28" s="2"/>
      <c r="J28" s="13" t="s">
        <v>41</v>
      </c>
      <c r="K28" s="6" t="s">
        <v>42</v>
      </c>
      <c r="L28" s="6"/>
      <c r="M28" s="6"/>
      <c r="N28" s="6" t="s">
        <v>43</v>
      </c>
      <c r="O28" s="6"/>
      <c r="P28" s="14"/>
    </row>
    <row r="29" spans="2:16" ht="15.75" customHeight="1">
      <c r="B29" s="1" t="s">
        <v>44</v>
      </c>
      <c r="J29" s="15" t="s">
        <v>45</v>
      </c>
      <c r="K29" s="1" t="s">
        <v>46</v>
      </c>
      <c r="N29" s="1" t="s">
        <v>47</v>
      </c>
      <c r="P29" s="16"/>
    </row>
    <row r="30" spans="2:16" ht="15.75" customHeight="1">
      <c r="B30" s="2"/>
      <c r="C30" s="2"/>
      <c r="D30" s="2"/>
      <c r="E30" s="2"/>
      <c r="F30" s="2"/>
      <c r="G30" s="2"/>
      <c r="H30" s="2"/>
      <c r="J30" s="17" t="s">
        <v>48</v>
      </c>
      <c r="K30" s="18" t="s">
        <v>49</v>
      </c>
      <c r="L30" s="18"/>
      <c r="M30" s="18"/>
      <c r="N30" s="18" t="s">
        <v>50</v>
      </c>
      <c r="O30" s="18"/>
      <c r="P30" s="19"/>
    </row>
    <row r="31" spans="2:16" ht="15.75" customHeight="1"/>
    <row r="32" spans="2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J2:P2"/>
    <mergeCell ref="J8:P8"/>
  </mergeCell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789"/>
  <sheetViews>
    <sheetView showGridLines="0" zoomScale="80" zoomScaleNormal="80" workbookViewId="0">
      <pane xSplit="4" ySplit="3" topLeftCell="BN4" activePane="bottomRight" state="frozen"/>
      <selection pane="topRight" activeCell="E1" sqref="E1"/>
      <selection pane="bottomLeft" activeCell="A4" sqref="A4"/>
      <selection pane="bottomRight" activeCell="D17" sqref="D17"/>
    </sheetView>
  </sheetViews>
  <sheetFormatPr defaultColWidth="14.42578125" defaultRowHeight="15" customHeight="1" outlineLevelRow="1"/>
  <cols>
    <col min="1" max="1" width="17.85546875" customWidth="1"/>
    <col min="2" max="2" width="16" style="389" customWidth="1"/>
    <col min="3" max="3" width="16.85546875" style="389" customWidth="1"/>
    <col min="4" max="4" width="66.5703125" customWidth="1"/>
    <col min="5" max="7" width="19.28515625" customWidth="1"/>
    <col min="8" max="8" width="19.7109375" customWidth="1"/>
    <col min="9" max="9" width="17.140625" hidden="1" customWidth="1"/>
    <col min="10" max="10" width="15" hidden="1" customWidth="1"/>
    <col min="11" max="11" width="18.7109375" customWidth="1"/>
    <col min="12" max="12" width="17.7109375" customWidth="1"/>
    <col min="13" max="13" width="18" customWidth="1"/>
    <col min="14" max="14" width="16.85546875" customWidth="1"/>
    <col min="15" max="16" width="17.28515625" bestFit="1" customWidth="1"/>
    <col min="17" max="17" width="17.7109375" customWidth="1"/>
    <col min="18" max="18" width="17" customWidth="1"/>
    <col min="19" max="19" width="17.28515625" bestFit="1" customWidth="1"/>
    <col min="20" max="20" width="18.28515625" customWidth="1"/>
    <col min="21" max="21" width="16.85546875" style="389" customWidth="1"/>
    <col min="22" max="22" width="17" style="389" customWidth="1"/>
    <col min="23" max="23" width="17.28515625" style="389" bestFit="1" customWidth="1"/>
    <col min="24" max="24" width="12.28515625" customWidth="1"/>
    <col min="25" max="25" width="11.42578125" customWidth="1"/>
    <col min="26" max="26" width="12.140625" customWidth="1"/>
    <col min="27" max="27" width="16" customWidth="1"/>
    <col min="28" max="28" width="15.7109375" customWidth="1"/>
    <col min="29" max="29" width="17.42578125" bestFit="1" customWidth="1"/>
    <col min="30" max="30" width="16.7109375" bestFit="1" customWidth="1"/>
    <col min="31" max="35" width="15.7109375" customWidth="1"/>
    <col min="36" max="36" width="16.7109375" bestFit="1" customWidth="1"/>
    <col min="37" max="65" width="15.7109375" customWidth="1"/>
    <col min="66" max="66" width="17.28515625" bestFit="1" customWidth="1"/>
    <col min="67" max="67" width="17.42578125" bestFit="1" customWidth="1"/>
    <col min="68" max="68" width="17.28515625" bestFit="1" customWidth="1"/>
    <col min="69" max="70" width="16.85546875" customWidth="1"/>
    <col min="71" max="71" width="17.28515625" bestFit="1" customWidth="1"/>
    <col min="72" max="72" width="17.7109375" customWidth="1"/>
    <col min="73" max="75" width="19.5703125" customWidth="1"/>
    <col min="76" max="85" width="14.42578125" customWidth="1"/>
  </cols>
  <sheetData>
    <row r="1" spans="1:85" ht="18.75">
      <c r="A1" s="20" t="s">
        <v>51</v>
      </c>
      <c r="B1" s="390"/>
      <c r="C1" s="390"/>
      <c r="D1" s="21"/>
      <c r="E1" s="508" t="s">
        <v>52</v>
      </c>
      <c r="F1" s="498"/>
      <c r="G1" s="498"/>
      <c r="H1" s="498"/>
      <c r="I1" s="498"/>
      <c r="J1" s="499"/>
      <c r="K1" s="509" t="s">
        <v>53</v>
      </c>
      <c r="L1" s="510"/>
      <c r="M1" s="510"/>
      <c r="N1" s="511"/>
      <c r="O1" s="512" t="s">
        <v>54</v>
      </c>
      <c r="P1" s="498"/>
      <c r="Q1" s="499"/>
      <c r="R1" s="513" t="s">
        <v>55</v>
      </c>
      <c r="S1" s="505"/>
      <c r="T1" s="506"/>
      <c r="U1" s="513" t="s">
        <v>56</v>
      </c>
      <c r="V1" s="505"/>
      <c r="W1" s="506"/>
      <c r="X1" s="524" t="s">
        <v>57</v>
      </c>
      <c r="Y1" s="505"/>
      <c r="Z1" s="506"/>
      <c r="AA1" s="504" t="s">
        <v>58</v>
      </c>
      <c r="AB1" s="505"/>
      <c r="AC1" s="506"/>
      <c r="AD1" s="504" t="s">
        <v>59</v>
      </c>
      <c r="AE1" s="505"/>
      <c r="AF1" s="506"/>
      <c r="AG1" s="504" t="s">
        <v>60</v>
      </c>
      <c r="AH1" s="505"/>
      <c r="AI1" s="506"/>
      <c r="AJ1" s="504" t="s">
        <v>61</v>
      </c>
      <c r="AK1" s="505"/>
      <c r="AL1" s="506"/>
      <c r="AM1" s="504" t="s">
        <v>62</v>
      </c>
      <c r="AN1" s="505"/>
      <c r="AO1" s="506"/>
      <c r="AP1" s="504" t="s">
        <v>63</v>
      </c>
      <c r="AQ1" s="505"/>
      <c r="AR1" s="506"/>
      <c r="AS1" s="504" t="s">
        <v>64</v>
      </c>
      <c r="AT1" s="505"/>
      <c r="AU1" s="506"/>
      <c r="AV1" s="504" t="s">
        <v>65</v>
      </c>
      <c r="AW1" s="505"/>
      <c r="AX1" s="506"/>
      <c r="AY1" s="504" t="s">
        <v>66</v>
      </c>
      <c r="AZ1" s="505"/>
      <c r="BA1" s="506"/>
      <c r="BB1" s="504" t="s">
        <v>67</v>
      </c>
      <c r="BC1" s="505"/>
      <c r="BD1" s="506"/>
      <c r="BE1" s="504" t="s">
        <v>68</v>
      </c>
      <c r="BF1" s="505"/>
      <c r="BG1" s="506"/>
      <c r="BH1" s="504" t="s">
        <v>69</v>
      </c>
      <c r="BI1" s="505"/>
      <c r="BJ1" s="506"/>
      <c r="BK1" s="504" t="s">
        <v>70</v>
      </c>
      <c r="BL1" s="505"/>
      <c r="BM1" s="506"/>
      <c r="BN1" s="516" t="s">
        <v>71</v>
      </c>
      <c r="BO1" s="498"/>
      <c r="BP1" s="499"/>
      <c r="BQ1" s="516" t="s">
        <v>72</v>
      </c>
      <c r="BR1" s="498"/>
      <c r="BS1" s="499"/>
      <c r="BT1" s="514" t="s">
        <v>73</v>
      </c>
      <c r="BU1" s="514" t="s">
        <v>74</v>
      </c>
      <c r="BV1" s="514" t="s">
        <v>75</v>
      </c>
      <c r="BW1" s="514" t="s">
        <v>76</v>
      </c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85" ht="66.75">
      <c r="A2" s="419" t="s">
        <v>77</v>
      </c>
      <c r="B2" s="423"/>
      <c r="C2" s="391"/>
      <c r="D2" s="22" t="s">
        <v>78</v>
      </c>
      <c r="E2" s="23" t="s">
        <v>79</v>
      </c>
      <c r="F2" s="24" t="s">
        <v>80</v>
      </c>
      <c r="G2" s="24" t="s">
        <v>81</v>
      </c>
      <c r="H2" s="24" t="s">
        <v>82</v>
      </c>
      <c r="I2" s="24" t="s">
        <v>83</v>
      </c>
      <c r="J2" s="24" t="s">
        <v>84</v>
      </c>
      <c r="K2" s="25" t="s">
        <v>85</v>
      </c>
      <c r="L2" s="26" t="s">
        <v>86</v>
      </c>
      <c r="M2" s="27" t="s">
        <v>87</v>
      </c>
      <c r="N2" s="28" t="s">
        <v>88</v>
      </c>
      <c r="O2" s="29" t="s">
        <v>85</v>
      </c>
      <c r="P2" s="29" t="s">
        <v>86</v>
      </c>
      <c r="Q2" s="30" t="s">
        <v>89</v>
      </c>
      <c r="R2" s="29" t="s">
        <v>85</v>
      </c>
      <c r="S2" s="29" t="s">
        <v>86</v>
      </c>
      <c r="T2" s="30" t="s">
        <v>90</v>
      </c>
      <c r="U2" s="365" t="s">
        <v>91</v>
      </c>
      <c r="V2" s="420" t="s">
        <v>86</v>
      </c>
      <c r="W2" s="365" t="s">
        <v>92</v>
      </c>
      <c r="X2" s="31" t="s">
        <v>93</v>
      </c>
      <c r="Y2" s="32" t="s">
        <v>86</v>
      </c>
      <c r="Z2" s="31" t="s">
        <v>94</v>
      </c>
      <c r="AA2" s="26" t="s">
        <v>85</v>
      </c>
      <c r="AB2" s="26" t="s">
        <v>86</v>
      </c>
      <c r="AC2" s="28" t="s">
        <v>95</v>
      </c>
      <c r="AD2" s="26" t="s">
        <v>85</v>
      </c>
      <c r="AE2" s="26" t="s">
        <v>86</v>
      </c>
      <c r="AF2" s="28" t="s">
        <v>96</v>
      </c>
      <c r="AG2" s="26" t="s">
        <v>85</v>
      </c>
      <c r="AH2" s="26" t="s">
        <v>86</v>
      </c>
      <c r="AI2" s="28" t="s">
        <v>97</v>
      </c>
      <c r="AJ2" s="26" t="s">
        <v>85</v>
      </c>
      <c r="AK2" s="26" t="s">
        <v>86</v>
      </c>
      <c r="AL2" s="28" t="s">
        <v>98</v>
      </c>
      <c r="AM2" s="26" t="s">
        <v>85</v>
      </c>
      <c r="AN2" s="26" t="s">
        <v>86</v>
      </c>
      <c r="AO2" s="28" t="s">
        <v>99</v>
      </c>
      <c r="AP2" s="26" t="s">
        <v>85</v>
      </c>
      <c r="AQ2" s="26" t="s">
        <v>86</v>
      </c>
      <c r="AR2" s="28" t="s">
        <v>100</v>
      </c>
      <c r="AS2" s="26" t="s">
        <v>85</v>
      </c>
      <c r="AT2" s="26" t="s">
        <v>86</v>
      </c>
      <c r="AU2" s="28" t="s">
        <v>101</v>
      </c>
      <c r="AV2" s="26" t="s">
        <v>85</v>
      </c>
      <c r="AW2" s="26" t="s">
        <v>86</v>
      </c>
      <c r="AX2" s="28" t="s">
        <v>102</v>
      </c>
      <c r="AY2" s="26" t="s">
        <v>85</v>
      </c>
      <c r="AZ2" s="26" t="s">
        <v>86</v>
      </c>
      <c r="BA2" s="28" t="s">
        <v>103</v>
      </c>
      <c r="BB2" s="26" t="s">
        <v>85</v>
      </c>
      <c r="BC2" s="26" t="s">
        <v>86</v>
      </c>
      <c r="BD2" s="28" t="s">
        <v>104</v>
      </c>
      <c r="BE2" s="26" t="s">
        <v>85</v>
      </c>
      <c r="BF2" s="26" t="s">
        <v>86</v>
      </c>
      <c r="BG2" s="28" t="s">
        <v>105</v>
      </c>
      <c r="BH2" s="26" t="s">
        <v>85</v>
      </c>
      <c r="BI2" s="26" t="s">
        <v>86</v>
      </c>
      <c r="BJ2" s="28" t="s">
        <v>106</v>
      </c>
      <c r="BK2" s="26" t="s">
        <v>85</v>
      </c>
      <c r="BL2" s="26" t="s">
        <v>86</v>
      </c>
      <c r="BM2" s="28" t="s">
        <v>107</v>
      </c>
      <c r="BN2" s="26" t="s">
        <v>85</v>
      </c>
      <c r="BO2" s="28" t="s">
        <v>108</v>
      </c>
      <c r="BP2" s="28" t="s">
        <v>109</v>
      </c>
      <c r="BQ2" s="26" t="s">
        <v>85</v>
      </c>
      <c r="BR2" s="28" t="s">
        <v>110</v>
      </c>
      <c r="BS2" s="28" t="s">
        <v>109</v>
      </c>
      <c r="BT2" s="515"/>
      <c r="BU2" s="515"/>
      <c r="BV2" s="515"/>
      <c r="BW2" s="515"/>
      <c r="BX2" s="1"/>
      <c r="BY2" s="1"/>
      <c r="BZ2" s="1"/>
      <c r="CA2" s="1"/>
      <c r="CB2" s="1"/>
      <c r="CC2" s="1"/>
      <c r="CD2" s="1"/>
      <c r="CE2" s="1"/>
      <c r="CF2" s="1"/>
      <c r="CG2" s="1"/>
    </row>
    <row r="3" spans="1:85" ht="15.75">
      <c r="A3" s="33" t="s">
        <v>111</v>
      </c>
      <c r="B3" s="424" t="s">
        <v>112</v>
      </c>
      <c r="C3" s="392" t="s">
        <v>113</v>
      </c>
      <c r="D3" s="34" t="s">
        <v>114</v>
      </c>
      <c r="E3" s="35">
        <f>E4+E8+E116+E196+E347+E473+E480</f>
        <v>4628865.2</v>
      </c>
      <c r="F3" s="35">
        <f>F4+F8+F116+F196+F347+F473+F480</f>
        <v>504546</v>
      </c>
      <c r="G3" s="35">
        <f>G4+G8+G116+G196+G347+G473+G480</f>
        <v>4124319.2</v>
      </c>
      <c r="H3" s="35">
        <f>H4+H8+H116+H196+H347+H473+H480</f>
        <v>13139944.870000001</v>
      </c>
      <c r="I3" s="36">
        <f>K3/G3</f>
        <v>1.1578434108591789</v>
      </c>
      <c r="J3" s="36">
        <f>O3/G3</f>
        <v>0.70414796216548903</v>
      </c>
      <c r="K3" s="35">
        <f>K4+K8+K116+K196+K347+K473+K480</f>
        <v>4775315.8100000005</v>
      </c>
      <c r="L3" s="35">
        <f t="shared" ref="L3:W3" si="0">L4+L8+L116+L196+L347+L473+L480</f>
        <v>3734259.4299999992</v>
      </c>
      <c r="M3" s="35">
        <f t="shared" si="0"/>
        <v>114521.33</v>
      </c>
      <c r="N3" s="35">
        <f t="shared" si="0"/>
        <v>3320428.75</v>
      </c>
      <c r="O3" s="35">
        <f>O4+O8+O116+O196+O347+O473+O480</f>
        <v>2904130.96</v>
      </c>
      <c r="P3" s="35">
        <f t="shared" si="0"/>
        <v>2889888.38</v>
      </c>
      <c r="Q3" s="35">
        <f t="shared" si="0"/>
        <v>2016019.06</v>
      </c>
      <c r="R3" s="35">
        <f t="shared" si="0"/>
        <v>2904130.96</v>
      </c>
      <c r="S3" s="35">
        <f t="shared" si="0"/>
        <v>2889888.38</v>
      </c>
      <c r="T3" s="35">
        <f t="shared" si="0"/>
        <v>2016019.06</v>
      </c>
      <c r="U3" s="366">
        <f t="shared" si="0"/>
        <v>1871184.85</v>
      </c>
      <c r="V3" s="366">
        <f t="shared" si="0"/>
        <v>729849.72000000009</v>
      </c>
      <c r="W3" s="366">
        <f t="shared" si="0"/>
        <v>1304409.69</v>
      </c>
      <c r="X3" s="36">
        <f t="shared" ref="X3:X66" si="1">IF(O3&gt;0,O3/K3,0)</f>
        <v>0.60815474317289175</v>
      </c>
      <c r="Y3" s="36">
        <f t="shared" ref="Y3:Y66" si="2">IF(P3&gt;0,P3/L3,0)</f>
        <v>0.77388527341818891</v>
      </c>
      <c r="Z3" s="36">
        <f t="shared" ref="Z3:Z66" si="3">IF(Q3&gt;0,Q3/N3,0)</f>
        <v>0.607156247517734</v>
      </c>
      <c r="AA3" s="35">
        <f t="shared" ref="AA3:BW3" si="4">AA4+AA8+AA116+AA196+AA347+AA473+AA480</f>
        <v>117632.43</v>
      </c>
      <c r="AB3" s="35">
        <f t="shared" si="4"/>
        <v>436924.12999999995</v>
      </c>
      <c r="AC3" s="35">
        <f t="shared" si="4"/>
        <v>0</v>
      </c>
      <c r="AD3" s="35">
        <f t="shared" si="4"/>
        <v>103253.87</v>
      </c>
      <c r="AE3" s="35">
        <f t="shared" si="4"/>
        <v>376933.13</v>
      </c>
      <c r="AF3" s="35">
        <f t="shared" si="4"/>
        <v>405.27</v>
      </c>
      <c r="AG3" s="35">
        <f t="shared" si="4"/>
        <v>316244.53999999998</v>
      </c>
      <c r="AH3" s="35">
        <f t="shared" si="4"/>
        <v>758963.84</v>
      </c>
      <c r="AI3" s="35">
        <f t="shared" si="4"/>
        <v>106717.36</v>
      </c>
      <c r="AJ3" s="35">
        <f t="shared" si="4"/>
        <v>270181.07</v>
      </c>
      <c r="AK3" s="35">
        <f t="shared" si="4"/>
        <v>327810.02</v>
      </c>
      <c r="AL3" s="35">
        <f t="shared" si="4"/>
        <v>203632.5</v>
      </c>
      <c r="AM3" s="35">
        <f t="shared" si="4"/>
        <v>295124.74</v>
      </c>
      <c r="AN3" s="35">
        <f t="shared" si="4"/>
        <v>182392.25999999995</v>
      </c>
      <c r="AO3" s="35">
        <f t="shared" si="4"/>
        <v>312364.15000000002</v>
      </c>
      <c r="AP3" s="35">
        <f t="shared" si="4"/>
        <v>386959.48999999993</v>
      </c>
      <c r="AQ3" s="35">
        <f t="shared" si="4"/>
        <v>279783.14</v>
      </c>
      <c r="AR3" s="35">
        <f t="shared" si="4"/>
        <v>271111.19000000006</v>
      </c>
      <c r="AS3" s="35">
        <f t="shared" si="4"/>
        <v>253344.45</v>
      </c>
      <c r="AT3" s="35">
        <f t="shared" si="4"/>
        <v>81577.36</v>
      </c>
      <c r="AU3" s="35">
        <f t="shared" si="4"/>
        <v>295189.57</v>
      </c>
      <c r="AV3" s="35">
        <f t="shared" si="4"/>
        <v>491147.75</v>
      </c>
      <c r="AW3" s="35">
        <f t="shared" si="4"/>
        <v>324280.42000000004</v>
      </c>
      <c r="AX3" s="35">
        <f t="shared" si="4"/>
        <v>610107.39</v>
      </c>
      <c r="AY3" s="35">
        <f t="shared" si="4"/>
        <v>670242.62</v>
      </c>
      <c r="AZ3" s="35">
        <f t="shared" si="4"/>
        <v>121224.08000000002</v>
      </c>
      <c r="BA3" s="35">
        <f t="shared" si="4"/>
        <v>216491.63</v>
      </c>
      <c r="BB3" s="35">
        <f t="shared" si="4"/>
        <v>0</v>
      </c>
      <c r="BC3" s="35">
        <f t="shared" si="4"/>
        <v>0</v>
      </c>
      <c r="BD3" s="35">
        <f t="shared" si="4"/>
        <v>0</v>
      </c>
      <c r="BE3" s="35">
        <f t="shared" si="4"/>
        <v>0</v>
      </c>
      <c r="BF3" s="35">
        <f t="shared" si="4"/>
        <v>0</v>
      </c>
      <c r="BG3" s="35">
        <f t="shared" si="4"/>
        <v>0</v>
      </c>
      <c r="BH3" s="35">
        <f t="shared" si="4"/>
        <v>0</v>
      </c>
      <c r="BI3" s="35">
        <f t="shared" si="4"/>
        <v>0</v>
      </c>
      <c r="BJ3" s="35">
        <f t="shared" si="4"/>
        <v>0</v>
      </c>
      <c r="BK3" s="35">
        <f t="shared" si="4"/>
        <v>0</v>
      </c>
      <c r="BL3" s="35">
        <f t="shared" si="4"/>
        <v>0</v>
      </c>
      <c r="BM3" s="35">
        <f t="shared" si="4"/>
        <v>0</v>
      </c>
      <c r="BN3" s="35">
        <f t="shared" si="4"/>
        <v>2904130.96</v>
      </c>
      <c r="BO3" s="35">
        <f t="shared" si="4"/>
        <v>2016019.06</v>
      </c>
      <c r="BP3" s="35">
        <f>BP4+BP8+BP116+BP196+BP347+BP473+BP480</f>
        <v>4920150.0200000005</v>
      </c>
      <c r="BQ3" s="35">
        <f t="shared" si="4"/>
        <v>1871184.85</v>
      </c>
      <c r="BR3" s="35">
        <f t="shared" si="4"/>
        <v>1304409.69</v>
      </c>
      <c r="BS3" s="35">
        <f t="shared" si="4"/>
        <v>3175594.54</v>
      </c>
      <c r="BT3" s="35">
        <f t="shared" si="4"/>
        <v>729849.72000000009</v>
      </c>
      <c r="BU3" s="35">
        <f t="shared" si="4"/>
        <v>4920150.0200000005</v>
      </c>
      <c r="BV3" s="35">
        <f t="shared" si="4"/>
        <v>3175594.54</v>
      </c>
      <c r="BW3" s="35">
        <f t="shared" si="4"/>
        <v>5649999.7400000002</v>
      </c>
      <c r="BX3" s="1"/>
      <c r="BY3" s="1"/>
      <c r="BZ3" s="1"/>
      <c r="CA3" s="1"/>
      <c r="CB3" s="1"/>
      <c r="CC3" s="1"/>
      <c r="CD3" s="1"/>
      <c r="CE3" s="1"/>
      <c r="CF3" s="1"/>
      <c r="CG3" s="1"/>
    </row>
    <row r="4" spans="1:85" ht="21">
      <c r="A4" s="37"/>
      <c r="B4" s="425" t="s">
        <v>115</v>
      </c>
      <c r="C4" s="393"/>
      <c r="D4" s="38"/>
      <c r="E4" s="39">
        <f>SUM(E5:E7)</f>
        <v>25000</v>
      </c>
      <c r="F4" s="40">
        <f>SUM(F5:F7)</f>
        <v>0</v>
      </c>
      <c r="G4" s="40">
        <f>SUM(G5:G7)</f>
        <v>25000</v>
      </c>
      <c r="H4" s="40">
        <f>SUM(H5:H7)</f>
        <v>0</v>
      </c>
      <c r="I4" s="41">
        <f>K4/G4</f>
        <v>0.16</v>
      </c>
      <c r="J4" s="41">
        <f>O4/G4</f>
        <v>0.121044</v>
      </c>
      <c r="K4" s="40">
        <f t="shared" ref="K4:Q4" si="5">SUM(K5:K7)</f>
        <v>4000</v>
      </c>
      <c r="L4" s="40">
        <f t="shared" si="5"/>
        <v>0</v>
      </c>
      <c r="M4" s="40">
        <f t="shared" si="5"/>
        <v>0</v>
      </c>
      <c r="N4" s="40">
        <f t="shared" si="5"/>
        <v>0</v>
      </c>
      <c r="O4" s="40">
        <f t="shared" si="5"/>
        <v>3026.1</v>
      </c>
      <c r="P4" s="40">
        <f t="shared" si="5"/>
        <v>0</v>
      </c>
      <c r="Q4" s="40">
        <f t="shared" si="5"/>
        <v>0</v>
      </c>
      <c r="R4" s="42">
        <f t="shared" ref="R4:T7" si="6">IF(BK4=0,SUM(AA4+AD4+AG4+AJ4+AM4+AP4+AS4+AV4+AY4+BB4+BE4+BH4),BK4)</f>
        <v>3026.1</v>
      </c>
      <c r="S4" s="42">
        <f t="shared" si="6"/>
        <v>0</v>
      </c>
      <c r="T4" s="42">
        <f t="shared" si="6"/>
        <v>0</v>
      </c>
      <c r="U4" s="367">
        <f>SUM(U5:U7)</f>
        <v>973.89999999999986</v>
      </c>
      <c r="V4" s="367">
        <f>SUM(V5:V7)</f>
        <v>0</v>
      </c>
      <c r="W4" s="367">
        <f>SUM(W5:W7)</f>
        <v>0</v>
      </c>
      <c r="X4" s="41">
        <f t="shared" si="1"/>
        <v>0.756525</v>
      </c>
      <c r="Y4" s="41">
        <f t="shared" si="2"/>
        <v>0</v>
      </c>
      <c r="Z4" s="41">
        <f t="shared" si="3"/>
        <v>0</v>
      </c>
      <c r="AA4" s="40">
        <f t="shared" ref="AA4:BW4" si="7">SUM(AA5:AA7)</f>
        <v>0</v>
      </c>
      <c r="AB4" s="40">
        <f t="shared" si="7"/>
        <v>0</v>
      </c>
      <c r="AC4" s="40">
        <f t="shared" si="7"/>
        <v>0</v>
      </c>
      <c r="AD4" s="40">
        <f t="shared" si="7"/>
        <v>106.08</v>
      </c>
      <c r="AE4" s="40">
        <f t="shared" si="7"/>
        <v>0</v>
      </c>
      <c r="AF4" s="40">
        <f t="shared" si="7"/>
        <v>0</v>
      </c>
      <c r="AG4" s="40">
        <f t="shared" si="7"/>
        <v>220.74</v>
      </c>
      <c r="AH4" s="40">
        <f t="shared" si="7"/>
        <v>0</v>
      </c>
      <c r="AI4" s="40">
        <f t="shared" si="7"/>
        <v>0</v>
      </c>
      <c r="AJ4" s="40">
        <f t="shared" si="7"/>
        <v>0</v>
      </c>
      <c r="AK4" s="40">
        <f t="shared" si="7"/>
        <v>0</v>
      </c>
      <c r="AL4" s="40">
        <f t="shared" si="7"/>
        <v>0</v>
      </c>
      <c r="AM4" s="40">
        <f t="shared" si="7"/>
        <v>84.93</v>
      </c>
      <c r="AN4" s="40">
        <f t="shared" si="7"/>
        <v>0</v>
      </c>
      <c r="AO4" s="40">
        <f t="shared" si="7"/>
        <v>0</v>
      </c>
      <c r="AP4" s="40">
        <f t="shared" si="7"/>
        <v>2225.6999999999998</v>
      </c>
      <c r="AQ4" s="40">
        <f t="shared" si="7"/>
        <v>0</v>
      </c>
      <c r="AR4" s="40">
        <f t="shared" si="7"/>
        <v>0</v>
      </c>
      <c r="AS4" s="40">
        <f t="shared" si="7"/>
        <v>129.63</v>
      </c>
      <c r="AT4" s="40">
        <f t="shared" si="7"/>
        <v>0</v>
      </c>
      <c r="AU4" s="40">
        <f t="shared" si="7"/>
        <v>0</v>
      </c>
      <c r="AV4" s="40">
        <f t="shared" si="7"/>
        <v>0</v>
      </c>
      <c r="AW4" s="40">
        <f t="shared" si="7"/>
        <v>0</v>
      </c>
      <c r="AX4" s="40">
        <f t="shared" si="7"/>
        <v>0</v>
      </c>
      <c r="AY4" s="40">
        <f t="shared" si="7"/>
        <v>259.02</v>
      </c>
      <c r="AZ4" s="40">
        <f t="shared" si="7"/>
        <v>0</v>
      </c>
      <c r="BA4" s="40">
        <f t="shared" si="7"/>
        <v>0</v>
      </c>
      <c r="BB4" s="40">
        <f t="shared" si="7"/>
        <v>0</v>
      </c>
      <c r="BC4" s="40">
        <f t="shared" si="7"/>
        <v>0</v>
      </c>
      <c r="BD4" s="40">
        <f t="shared" si="7"/>
        <v>0</v>
      </c>
      <c r="BE4" s="40">
        <f t="shared" si="7"/>
        <v>0</v>
      </c>
      <c r="BF4" s="40">
        <f t="shared" si="7"/>
        <v>0</v>
      </c>
      <c r="BG4" s="40">
        <f t="shared" si="7"/>
        <v>0</v>
      </c>
      <c r="BH4" s="40">
        <f t="shared" si="7"/>
        <v>0</v>
      </c>
      <c r="BI4" s="40">
        <f t="shared" si="7"/>
        <v>0</v>
      </c>
      <c r="BJ4" s="40">
        <f t="shared" si="7"/>
        <v>0</v>
      </c>
      <c r="BK4" s="40">
        <f t="shared" si="7"/>
        <v>0</v>
      </c>
      <c r="BL4" s="40">
        <f t="shared" si="7"/>
        <v>0</v>
      </c>
      <c r="BM4" s="40">
        <f t="shared" si="7"/>
        <v>0</v>
      </c>
      <c r="BN4" s="40">
        <f t="shared" si="7"/>
        <v>3026.1</v>
      </c>
      <c r="BO4" s="40">
        <f t="shared" si="7"/>
        <v>0</v>
      </c>
      <c r="BP4" s="40">
        <f>SUM(BP5:BP7)</f>
        <v>3026.1</v>
      </c>
      <c r="BQ4" s="40">
        <f t="shared" si="7"/>
        <v>973.89999999999986</v>
      </c>
      <c r="BR4" s="40">
        <f t="shared" si="7"/>
        <v>0</v>
      </c>
      <c r="BS4" s="40">
        <f t="shared" si="7"/>
        <v>973.89999999999986</v>
      </c>
      <c r="BT4" s="40">
        <f t="shared" si="7"/>
        <v>0</v>
      </c>
      <c r="BU4" s="40">
        <f t="shared" si="7"/>
        <v>3026.1</v>
      </c>
      <c r="BV4" s="40">
        <f t="shared" si="7"/>
        <v>973.89999999999986</v>
      </c>
      <c r="BW4" s="40">
        <f t="shared" si="7"/>
        <v>3026.1</v>
      </c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15.75">
      <c r="A5" s="43" t="s">
        <v>116</v>
      </c>
      <c r="B5" s="416"/>
      <c r="C5" s="394" t="s">
        <v>117</v>
      </c>
      <c r="D5" s="44" t="s">
        <v>118</v>
      </c>
      <c r="E5" s="45">
        <f>5000+8000</f>
        <v>13000</v>
      </c>
      <c r="F5" s="46">
        <v>0</v>
      </c>
      <c r="G5" s="46">
        <f>E5-F5</f>
        <v>13000</v>
      </c>
      <c r="H5" s="46"/>
      <c r="I5" s="47">
        <f>IF(G5&gt;0,K5/G5,0)</f>
        <v>0.26923076923076922</v>
      </c>
      <c r="J5" s="47">
        <f>IF(G5&gt;0,O5/G5,0)</f>
        <v>0.22120384615384617</v>
      </c>
      <c r="K5" s="48">
        <f>3000+500</f>
        <v>3500</v>
      </c>
      <c r="L5" s="49"/>
      <c r="M5" s="50"/>
      <c r="N5" s="50"/>
      <c r="O5" s="51">
        <f t="shared" ref="O5:Q7" si="8">AA5+AD5+AG5+AJ5+AM5+AP5+AS5+AV5+AY5+BB5+BE5+BH5</f>
        <v>2875.65</v>
      </c>
      <c r="P5" s="51">
        <f t="shared" si="8"/>
        <v>0</v>
      </c>
      <c r="Q5" s="51">
        <f t="shared" si="8"/>
        <v>0</v>
      </c>
      <c r="R5" s="52">
        <f t="shared" si="6"/>
        <v>2875.65</v>
      </c>
      <c r="S5" s="52">
        <f t="shared" si="6"/>
        <v>0</v>
      </c>
      <c r="T5" s="52">
        <f t="shared" si="6"/>
        <v>0</v>
      </c>
      <c r="U5" s="368">
        <f>K5-O5</f>
        <v>624.34999999999991</v>
      </c>
      <c r="V5" s="369">
        <f>L5-P5-M5</f>
        <v>0</v>
      </c>
      <c r="W5" s="369">
        <f>N5-Q5</f>
        <v>0</v>
      </c>
      <c r="X5" s="53">
        <f t="shared" si="1"/>
        <v>0.82161428571428574</v>
      </c>
      <c r="Y5" s="53">
        <f t="shared" si="2"/>
        <v>0</v>
      </c>
      <c r="Z5" s="53">
        <f t="shared" si="3"/>
        <v>0</v>
      </c>
      <c r="AA5" s="54"/>
      <c r="AB5" s="54"/>
      <c r="AC5" s="54"/>
      <c r="AD5" s="48">
        <v>106.08</v>
      </c>
      <c r="AE5" s="55"/>
      <c r="AF5" s="55"/>
      <c r="AG5" s="55">
        <f>67.68+67.68+85.38</f>
        <v>220.74</v>
      </c>
      <c r="AH5" s="55"/>
      <c r="AI5" s="54"/>
      <c r="AJ5" s="54"/>
      <c r="AK5" s="54"/>
      <c r="AL5" s="54"/>
      <c r="AM5" s="48">
        <v>84.93</v>
      </c>
      <c r="AN5" s="54"/>
      <c r="AO5" s="54"/>
      <c r="AP5" s="54">
        <f>741.9*3</f>
        <v>2225.6999999999998</v>
      </c>
      <c r="AQ5" s="54"/>
      <c r="AR5" s="54"/>
      <c r="AS5" s="48">
        <v>129.63</v>
      </c>
      <c r="AT5" s="54"/>
      <c r="AU5" s="54"/>
      <c r="AV5" s="54"/>
      <c r="AW5" s="54"/>
      <c r="AX5" s="54"/>
      <c r="AY5" s="48">
        <v>108.57</v>
      </c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>
        <f>IF(O5-BK5&gt;0,O5-BK5,0)</f>
        <v>2875.65</v>
      </c>
      <c r="BO5" s="50">
        <f>IF(Q5-BM5&gt;0,Q5-BM5,0)</f>
        <v>0</v>
      </c>
      <c r="BP5" s="54">
        <f>IF(BN5+BO5&gt;0,BN5+BO5,0)</f>
        <v>2875.65</v>
      </c>
      <c r="BQ5" s="54">
        <f>IF(U5=0,0,U5)</f>
        <v>624.34999999999991</v>
      </c>
      <c r="BR5" s="54">
        <f>IF(W5=0,0,W5)</f>
        <v>0</v>
      </c>
      <c r="BS5" s="54">
        <f>IF(BQ5+BR5&gt;0,BQ5+BR5,0)</f>
        <v>624.34999999999991</v>
      </c>
      <c r="BT5" s="54">
        <f>IF(V5&gt;0,V5,0)</f>
        <v>0</v>
      </c>
      <c r="BU5" s="54">
        <f>IF(BP5=0,0,BP5)</f>
        <v>2875.65</v>
      </c>
      <c r="BV5" s="54">
        <f>IF(BS5=0,0,BS5)</f>
        <v>624.34999999999991</v>
      </c>
      <c r="BW5" s="54">
        <f>IF(BP5+BT5&gt;0,BP5+BT5,0)</f>
        <v>2875.65</v>
      </c>
      <c r="BX5" s="1"/>
      <c r="BY5" s="1"/>
      <c r="BZ5" s="1"/>
      <c r="CA5" s="1"/>
      <c r="CB5" s="1"/>
      <c r="CC5" s="1"/>
      <c r="CD5" s="1"/>
      <c r="CE5" s="1"/>
      <c r="CF5" s="1"/>
      <c r="CG5" s="1"/>
    </row>
    <row r="6" spans="1:85" ht="15.75">
      <c r="A6" s="56"/>
      <c r="B6" s="416"/>
      <c r="C6" s="394" t="s">
        <v>119</v>
      </c>
      <c r="D6" s="44" t="s">
        <v>120</v>
      </c>
      <c r="E6" s="45">
        <v>10000</v>
      </c>
      <c r="F6" s="46"/>
      <c r="G6" s="46">
        <f>E6-F6</f>
        <v>10000</v>
      </c>
      <c r="H6" s="46"/>
      <c r="I6" s="47">
        <f>IF(G6&gt;0,K6/G6,0)</f>
        <v>0</v>
      </c>
      <c r="J6" s="47">
        <f>IF(G6&gt;0,O6/G6,0)</f>
        <v>0</v>
      </c>
      <c r="K6" s="54"/>
      <c r="L6" s="49"/>
      <c r="M6" s="50"/>
      <c r="N6" s="50"/>
      <c r="O6" s="51">
        <f t="shared" si="8"/>
        <v>0</v>
      </c>
      <c r="P6" s="51">
        <f t="shared" si="8"/>
        <v>0</v>
      </c>
      <c r="Q6" s="51">
        <f t="shared" si="8"/>
        <v>0</v>
      </c>
      <c r="R6" s="52">
        <f t="shared" si="6"/>
        <v>0</v>
      </c>
      <c r="S6" s="52">
        <f t="shared" si="6"/>
        <v>0</v>
      </c>
      <c r="T6" s="52">
        <f t="shared" si="6"/>
        <v>0</v>
      </c>
      <c r="U6" s="369">
        <f>K6-O6</f>
        <v>0</v>
      </c>
      <c r="V6" s="369">
        <f>L6-P6-M6</f>
        <v>0</v>
      </c>
      <c r="W6" s="369">
        <f>N6-Q6</f>
        <v>0</v>
      </c>
      <c r="X6" s="53">
        <f t="shared" si="1"/>
        <v>0</v>
      </c>
      <c r="Y6" s="53">
        <f t="shared" si="2"/>
        <v>0</v>
      </c>
      <c r="Z6" s="53">
        <f t="shared" si="3"/>
        <v>0</v>
      </c>
      <c r="AA6" s="54"/>
      <c r="AB6" s="54"/>
      <c r="AC6" s="54"/>
      <c r="AD6" s="54"/>
      <c r="AE6" s="55"/>
      <c r="AF6" s="55"/>
      <c r="AG6" s="55"/>
      <c r="AH6" s="55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>
        <f>IF(O6-BK6&gt;0,O6-BK6,0)</f>
        <v>0</v>
      </c>
      <c r="BO6" s="50">
        <f>IF(Q6-BM6&gt;0,Q6-BM6,0)</f>
        <v>0</v>
      </c>
      <c r="BP6" s="54">
        <f>IF(BN6+BO6&gt;0,BN6+BO6,0)</f>
        <v>0</v>
      </c>
      <c r="BQ6" s="54">
        <f t="shared" ref="BQ6:BQ69" si="9">IF(U6=0,0,U6)</f>
        <v>0</v>
      </c>
      <c r="BR6" s="54">
        <f t="shared" ref="BR6:BR69" si="10">IF(W6=0,0,W6)</f>
        <v>0</v>
      </c>
      <c r="BS6" s="54">
        <f t="shared" ref="BS6:BS69" si="11">IF(BQ6+BR6&gt;0,BQ6+BR6,0)</f>
        <v>0</v>
      </c>
      <c r="BT6" s="54">
        <f t="shared" ref="BT6:BT7" si="12">IF(V6&gt;0,V6,0)</f>
        <v>0</v>
      </c>
      <c r="BU6" s="54">
        <f t="shared" ref="BU6:BU7" si="13">IF(BP6=0,0,BP6)</f>
        <v>0</v>
      </c>
      <c r="BV6" s="54">
        <f t="shared" ref="BV6:BV7" si="14">IF(BS6=0,0,BS6)</f>
        <v>0</v>
      </c>
      <c r="BW6" s="54">
        <f t="shared" ref="BW6:BW69" si="15">IF(BP6+BT6&gt;0,BP6+BT6,0)</f>
        <v>0</v>
      </c>
      <c r="BX6" s="1"/>
      <c r="BY6" s="1"/>
      <c r="BZ6" s="1"/>
      <c r="CA6" s="1"/>
      <c r="CB6" s="1"/>
      <c r="CC6" s="1"/>
      <c r="CD6" s="1"/>
      <c r="CE6" s="1"/>
      <c r="CF6" s="1"/>
      <c r="CG6" s="1"/>
    </row>
    <row r="7" spans="1:85" ht="15.75" customHeight="1">
      <c r="A7" s="43" t="s">
        <v>121</v>
      </c>
      <c r="B7" s="426"/>
      <c r="C7" s="394" t="s">
        <v>122</v>
      </c>
      <c r="D7" s="44" t="s">
        <v>123</v>
      </c>
      <c r="E7" s="45">
        <v>2000</v>
      </c>
      <c r="F7" s="57">
        <v>0</v>
      </c>
      <c r="G7" s="46">
        <f>E7-F7</f>
        <v>2000</v>
      </c>
      <c r="H7" s="46"/>
      <c r="I7" s="47">
        <f>IF(G7&gt;0,K7/G7,0)</f>
        <v>0.25</v>
      </c>
      <c r="J7" s="47">
        <f>IF(G7&gt;0,O7/G7,0)</f>
        <v>7.5225E-2</v>
      </c>
      <c r="K7" s="58">
        <v>500</v>
      </c>
      <c r="L7" s="49"/>
      <c r="M7" s="50"/>
      <c r="N7" s="50"/>
      <c r="O7" s="51">
        <f t="shared" si="8"/>
        <v>150.44999999999999</v>
      </c>
      <c r="P7" s="51">
        <f t="shared" si="8"/>
        <v>0</v>
      </c>
      <c r="Q7" s="51">
        <f t="shared" si="8"/>
        <v>0</v>
      </c>
      <c r="R7" s="52">
        <f t="shared" si="6"/>
        <v>150.44999999999999</v>
      </c>
      <c r="S7" s="52">
        <f t="shared" si="6"/>
        <v>0</v>
      </c>
      <c r="T7" s="52">
        <f t="shared" si="6"/>
        <v>0</v>
      </c>
      <c r="U7" s="369">
        <f>K7-O7</f>
        <v>349.55</v>
      </c>
      <c r="V7" s="369">
        <f>L7-P7-M7</f>
        <v>0</v>
      </c>
      <c r="W7" s="369">
        <f>N7-Q7</f>
        <v>0</v>
      </c>
      <c r="X7" s="53">
        <f t="shared" si="1"/>
        <v>0.3009</v>
      </c>
      <c r="Y7" s="53">
        <f t="shared" si="2"/>
        <v>0</v>
      </c>
      <c r="Z7" s="53">
        <f t="shared" si="3"/>
        <v>0</v>
      </c>
      <c r="AA7" s="54"/>
      <c r="AB7" s="54"/>
      <c r="AC7" s="54"/>
      <c r="AD7" s="54"/>
      <c r="AE7" s="55"/>
      <c r="AF7" s="55"/>
      <c r="AG7" s="55"/>
      <c r="AH7" s="55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48">
        <v>150.44999999999999</v>
      </c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>
        <f>IF(O7-BK7&gt;0,O7-BK7,0)</f>
        <v>150.44999999999999</v>
      </c>
      <c r="BO7" s="50">
        <f>IF(Q7-BM7&gt;0,Q7-BM7,0)</f>
        <v>0</v>
      </c>
      <c r="BP7" s="54">
        <f>IF(BN7+BO7&gt;0,BN7+BO7,0)</f>
        <v>150.44999999999999</v>
      </c>
      <c r="BQ7" s="54">
        <f t="shared" si="9"/>
        <v>349.55</v>
      </c>
      <c r="BR7" s="54">
        <f t="shared" si="10"/>
        <v>0</v>
      </c>
      <c r="BS7" s="54">
        <f t="shared" si="11"/>
        <v>349.55</v>
      </c>
      <c r="BT7" s="54">
        <f t="shared" si="12"/>
        <v>0</v>
      </c>
      <c r="BU7" s="54">
        <f t="shared" si="13"/>
        <v>150.44999999999999</v>
      </c>
      <c r="BV7" s="54">
        <f t="shared" si="14"/>
        <v>349.55</v>
      </c>
      <c r="BW7" s="54">
        <f t="shared" si="15"/>
        <v>150.44999999999999</v>
      </c>
      <c r="BX7" s="1"/>
      <c r="BY7" s="1"/>
      <c r="BZ7" s="1"/>
      <c r="CA7" s="1"/>
      <c r="CB7" s="1"/>
      <c r="CC7" s="1"/>
      <c r="CD7" s="1"/>
      <c r="CE7" s="1"/>
      <c r="CF7" s="1"/>
      <c r="CG7" s="1"/>
    </row>
    <row r="8" spans="1:85" ht="21">
      <c r="A8" s="59"/>
      <c r="B8" s="427" t="s">
        <v>124</v>
      </c>
      <c r="C8" s="395"/>
      <c r="D8" s="60"/>
      <c r="E8" s="61">
        <f>SUM(E9:E115)</f>
        <v>2262546.77</v>
      </c>
      <c r="F8" s="42">
        <f>SUM(F9:F115)</f>
        <v>175357.14</v>
      </c>
      <c r="G8" s="42">
        <f>SUM(G9:G115)</f>
        <v>2087189.63</v>
      </c>
      <c r="H8" s="42">
        <f>SUM(H9:H115)</f>
        <v>6710000</v>
      </c>
      <c r="I8" s="62">
        <f>K8/G8</f>
        <v>1.0094238298797988</v>
      </c>
      <c r="J8" s="62">
        <f>O8/G8</f>
        <v>0.65590744622471131</v>
      </c>
      <c r="K8" s="42">
        <f t="shared" ref="K8:W8" si="16">SUM(K9:K115)</f>
        <v>2106858.9500000002</v>
      </c>
      <c r="L8" s="42">
        <f t="shared" si="16"/>
        <v>868077.66999999981</v>
      </c>
      <c r="M8" s="42">
        <f t="shared" si="16"/>
        <v>52794.659999999996</v>
      </c>
      <c r="N8" s="42">
        <f t="shared" si="16"/>
        <v>0</v>
      </c>
      <c r="O8" s="42">
        <f t="shared" si="16"/>
        <v>1369003.22</v>
      </c>
      <c r="P8" s="42">
        <f t="shared" si="16"/>
        <v>760285.7699999999</v>
      </c>
      <c r="Q8" s="42">
        <f t="shared" si="16"/>
        <v>0</v>
      </c>
      <c r="R8" s="42">
        <f t="shared" si="16"/>
        <v>1369003.22</v>
      </c>
      <c r="S8" s="42">
        <f t="shared" si="16"/>
        <v>760285.7699999999</v>
      </c>
      <c r="T8" s="42">
        <f t="shared" si="16"/>
        <v>0</v>
      </c>
      <c r="U8" s="370">
        <f t="shared" si="16"/>
        <v>737855.73</v>
      </c>
      <c r="V8" s="370">
        <f t="shared" si="16"/>
        <v>54997.239999999983</v>
      </c>
      <c r="W8" s="370">
        <f t="shared" si="16"/>
        <v>0</v>
      </c>
      <c r="X8" s="41">
        <f t="shared" si="1"/>
        <v>0.64978399242151441</v>
      </c>
      <c r="Y8" s="41">
        <f t="shared" si="2"/>
        <v>0.87582689461416519</v>
      </c>
      <c r="Z8" s="41">
        <f t="shared" si="3"/>
        <v>0</v>
      </c>
      <c r="AA8" s="42">
        <f t="shared" ref="AA8:BW8" si="17">SUM(AA9:AA115)</f>
        <v>0</v>
      </c>
      <c r="AB8" s="42">
        <f t="shared" si="17"/>
        <v>188527.08</v>
      </c>
      <c r="AC8" s="42">
        <f t="shared" si="17"/>
        <v>0</v>
      </c>
      <c r="AD8" s="42">
        <f t="shared" si="17"/>
        <v>735.98</v>
      </c>
      <c r="AE8" s="42">
        <f t="shared" si="17"/>
        <v>115281.23000000001</v>
      </c>
      <c r="AF8" s="42">
        <f t="shared" si="17"/>
        <v>0</v>
      </c>
      <c r="AG8" s="42">
        <f t="shared" si="17"/>
        <v>50448.84</v>
      </c>
      <c r="AH8" s="42">
        <f t="shared" si="17"/>
        <v>154033.16999999998</v>
      </c>
      <c r="AI8" s="42">
        <f t="shared" si="17"/>
        <v>0</v>
      </c>
      <c r="AJ8" s="42">
        <f t="shared" si="17"/>
        <v>54145.170000000006</v>
      </c>
      <c r="AK8" s="42">
        <f t="shared" si="17"/>
        <v>128955.91</v>
      </c>
      <c r="AL8" s="42">
        <f t="shared" si="17"/>
        <v>0</v>
      </c>
      <c r="AM8" s="42">
        <f t="shared" si="17"/>
        <v>111434.4</v>
      </c>
      <c r="AN8" s="42">
        <f t="shared" si="17"/>
        <v>72362.27999999997</v>
      </c>
      <c r="AO8" s="42">
        <f t="shared" si="17"/>
        <v>0</v>
      </c>
      <c r="AP8" s="42">
        <f t="shared" si="17"/>
        <v>183338.62</v>
      </c>
      <c r="AQ8" s="42">
        <f t="shared" si="17"/>
        <v>75136.429999999993</v>
      </c>
      <c r="AR8" s="42">
        <f t="shared" si="17"/>
        <v>0</v>
      </c>
      <c r="AS8" s="42">
        <f t="shared" si="17"/>
        <v>139332.01</v>
      </c>
      <c r="AT8" s="42">
        <f t="shared" si="17"/>
        <v>300.14999999999998</v>
      </c>
      <c r="AU8" s="42">
        <f t="shared" si="17"/>
        <v>0</v>
      </c>
      <c r="AV8" s="42">
        <f t="shared" si="17"/>
        <v>285354</v>
      </c>
      <c r="AW8" s="42">
        <f t="shared" si="17"/>
        <v>7211.7599999999993</v>
      </c>
      <c r="AX8" s="42">
        <f t="shared" si="17"/>
        <v>0</v>
      </c>
      <c r="AY8" s="42">
        <f t="shared" si="17"/>
        <v>544214.20000000007</v>
      </c>
      <c r="AZ8" s="42">
        <f t="shared" si="17"/>
        <v>18477.760000000006</v>
      </c>
      <c r="BA8" s="42">
        <f t="shared" si="17"/>
        <v>0</v>
      </c>
      <c r="BB8" s="42">
        <f t="shared" si="17"/>
        <v>0</v>
      </c>
      <c r="BC8" s="42">
        <f t="shared" si="17"/>
        <v>0</v>
      </c>
      <c r="BD8" s="42">
        <f t="shared" si="17"/>
        <v>0</v>
      </c>
      <c r="BE8" s="42">
        <f t="shared" si="17"/>
        <v>0</v>
      </c>
      <c r="BF8" s="42">
        <f t="shared" si="17"/>
        <v>0</v>
      </c>
      <c r="BG8" s="42">
        <f t="shared" si="17"/>
        <v>0</v>
      </c>
      <c r="BH8" s="42">
        <f t="shared" si="17"/>
        <v>0</v>
      </c>
      <c r="BI8" s="42">
        <f t="shared" si="17"/>
        <v>0</v>
      </c>
      <c r="BJ8" s="42">
        <f t="shared" si="17"/>
        <v>0</v>
      </c>
      <c r="BK8" s="42">
        <f t="shared" si="17"/>
        <v>0</v>
      </c>
      <c r="BL8" s="42">
        <f t="shared" si="17"/>
        <v>0</v>
      </c>
      <c r="BM8" s="42">
        <f t="shared" si="17"/>
        <v>0</v>
      </c>
      <c r="BN8" s="42">
        <f t="shared" si="17"/>
        <v>1369003.22</v>
      </c>
      <c r="BO8" s="42">
        <f t="shared" si="17"/>
        <v>0</v>
      </c>
      <c r="BP8" s="42">
        <f>SUM(BP9:BP115)</f>
        <v>1369003.22</v>
      </c>
      <c r="BQ8" s="42">
        <f t="shared" si="17"/>
        <v>737855.73</v>
      </c>
      <c r="BR8" s="42">
        <f t="shared" si="17"/>
        <v>0</v>
      </c>
      <c r="BS8" s="42">
        <f t="shared" si="17"/>
        <v>737855.73</v>
      </c>
      <c r="BT8" s="42">
        <f t="shared" si="17"/>
        <v>54997.24</v>
      </c>
      <c r="BU8" s="42">
        <f t="shared" si="17"/>
        <v>1369003.22</v>
      </c>
      <c r="BV8" s="42">
        <f t="shared" si="17"/>
        <v>737855.73</v>
      </c>
      <c r="BW8" s="42">
        <f t="shared" si="17"/>
        <v>1424000.4600000004</v>
      </c>
      <c r="BX8" s="1"/>
      <c r="BY8" s="1"/>
      <c r="BZ8" s="1"/>
      <c r="CA8" s="1"/>
      <c r="CB8" s="1"/>
      <c r="CC8" s="1"/>
      <c r="CD8" s="1"/>
      <c r="CE8" s="1"/>
      <c r="CF8" s="1"/>
      <c r="CG8" s="1"/>
    </row>
    <row r="9" spans="1:85" ht="15.75" customHeight="1">
      <c r="A9" s="43" t="s">
        <v>125</v>
      </c>
      <c r="B9" s="416"/>
      <c r="C9" s="394" t="s">
        <v>117</v>
      </c>
      <c r="D9" s="44" t="s">
        <v>118</v>
      </c>
      <c r="E9" s="45">
        <v>3000</v>
      </c>
      <c r="F9" s="46">
        <v>0</v>
      </c>
      <c r="G9" s="46">
        <f t="shared" ref="G9:G40" si="18">E9-F9</f>
        <v>3000</v>
      </c>
      <c r="H9" s="46"/>
      <c r="I9" s="47">
        <f t="shared" ref="I9:I40" si="19">IF(G9&gt;0,K9/G9,0)</f>
        <v>2.3333333333333335</v>
      </c>
      <c r="J9" s="47">
        <f t="shared" ref="J9:J40" si="20">IF(G9&gt;0,O9/G9,0)</f>
        <v>1.52755</v>
      </c>
      <c r="K9" s="48">
        <f>4000+3000</f>
        <v>7000</v>
      </c>
      <c r="L9" s="54"/>
      <c r="M9" s="54"/>
      <c r="N9" s="49"/>
      <c r="O9" s="51">
        <f t="shared" ref="O9:O40" si="21">AA9+AD9+AG9+AJ9+AM9+AP9+AS9+AV9+AY9+BB9+BE9+BH9</f>
        <v>4582.6499999999996</v>
      </c>
      <c r="P9" s="51">
        <f t="shared" ref="P9:P40" si="22">AB9+AE9+AH9+AK9+AN9+AQ9+AT9+AW9+AZ9+BC9+BF9+BI9</f>
        <v>0</v>
      </c>
      <c r="Q9" s="51">
        <f t="shared" ref="Q9:Q40" si="23">AC9+AF9+AI9+AL9+AO9+AR9+AU9+AX9+BA9+BD9+BG9+BJ9</f>
        <v>0</v>
      </c>
      <c r="R9" s="52">
        <f t="shared" ref="R9:R40" si="24">IF(BK9=0,SUM(AA9+AD9+AG9+AJ9+AM9+AP9+AS9+AV9+AY9+BB9+BE9+BH9),BK9)</f>
        <v>4582.6499999999996</v>
      </c>
      <c r="S9" s="52">
        <f t="shared" ref="S9:S40" si="25">IF(BL9=0,SUM(AB9+AE9+AH9+AK9+AN9+AQ9+AT9+AW9+AZ9+BC9+BF9+BI9),BL9)</f>
        <v>0</v>
      </c>
      <c r="T9" s="52">
        <f t="shared" ref="T9:T40" si="26">IF(BM9=0,SUM(AC9+AF9+AI9+AL9+AO9+AR9+AU9+AX9+BA9+BD9+BG9+BJ9),BM9)</f>
        <v>0</v>
      </c>
      <c r="U9" s="368">
        <f t="shared" ref="U9:U67" si="27">K9-O9</f>
        <v>2417.3500000000004</v>
      </c>
      <c r="V9" s="369">
        <f t="shared" ref="V9:V115" si="28">L9-P9-M9</f>
        <v>0</v>
      </c>
      <c r="W9" s="369">
        <f t="shared" ref="W9:W115" si="29">N9-Q9</f>
        <v>0</v>
      </c>
      <c r="X9" s="53">
        <f t="shared" si="1"/>
        <v>0.6546642857142857</v>
      </c>
      <c r="Y9" s="53">
        <f t="shared" si="2"/>
        <v>0</v>
      </c>
      <c r="Z9" s="53">
        <f t="shared" si="3"/>
        <v>0</v>
      </c>
      <c r="AA9" s="54"/>
      <c r="AB9" s="54"/>
      <c r="AC9" s="54"/>
      <c r="AD9" s="54"/>
      <c r="AE9" s="55"/>
      <c r="AF9" s="55"/>
      <c r="AG9" s="55">
        <f>644.28+869.4+106.2+85.38</f>
        <v>1705.2599999999998</v>
      </c>
      <c r="AH9" s="55"/>
      <c r="AI9" s="54"/>
      <c r="AJ9" s="54"/>
      <c r="AK9" s="54"/>
      <c r="AL9" s="54"/>
      <c r="AM9" s="54"/>
      <c r="AN9" s="54"/>
      <c r="AO9" s="54"/>
      <c r="AP9" s="54">
        <f>819.42+819.42+999.2+738.32-819.42</f>
        <v>2556.94</v>
      </c>
      <c r="AQ9" s="54"/>
      <c r="AR9" s="54"/>
      <c r="AS9" s="54">
        <f>85.38+85.38</f>
        <v>170.76</v>
      </c>
      <c r="AT9" s="54"/>
      <c r="AU9" s="54"/>
      <c r="AV9" s="54"/>
      <c r="AW9" s="54"/>
      <c r="AX9" s="54"/>
      <c r="AY9" s="48">
        <v>149.69</v>
      </c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>
        <f>IF(O9-BK9&gt;0,O9-BK9,0)</f>
        <v>4582.6499999999996</v>
      </c>
      <c r="BO9" s="58">
        <f>IF(Q9-BM9&gt;0,Q9-BM9,0)</f>
        <v>0</v>
      </c>
      <c r="BP9" s="54">
        <f>IF(BN9+BO9&gt;0,BN9+BO9,0)</f>
        <v>4582.6499999999996</v>
      </c>
      <c r="BQ9" s="54">
        <f t="shared" si="9"/>
        <v>2417.3500000000004</v>
      </c>
      <c r="BR9" s="54">
        <f t="shared" si="10"/>
        <v>0</v>
      </c>
      <c r="BS9" s="54">
        <f t="shared" si="11"/>
        <v>2417.3500000000004</v>
      </c>
      <c r="BT9" s="54">
        <f t="shared" ref="BT9" si="30">IF(V9&gt;0,V9,0)</f>
        <v>0</v>
      </c>
      <c r="BU9" s="54">
        <f t="shared" ref="BU9" si="31">IF(BP9=0,0,BP9)</f>
        <v>4582.6499999999996</v>
      </c>
      <c r="BV9" s="54">
        <f t="shared" ref="BV9" si="32">IF(BS9=0,0,BS9)</f>
        <v>2417.3500000000004</v>
      </c>
      <c r="BW9" s="54">
        <f t="shared" si="15"/>
        <v>4582.6499999999996</v>
      </c>
      <c r="BX9" s="1"/>
      <c r="BY9" s="1"/>
      <c r="BZ9" s="1"/>
      <c r="CA9" s="1"/>
      <c r="CB9" s="1"/>
      <c r="CC9" s="1"/>
      <c r="CD9" s="1"/>
      <c r="CE9" s="1"/>
      <c r="CF9" s="1"/>
      <c r="CG9" s="1"/>
    </row>
    <row r="10" spans="1:85" ht="15.75" customHeight="1">
      <c r="A10" s="43" t="s">
        <v>126</v>
      </c>
      <c r="B10" s="426"/>
      <c r="C10" s="394" t="s">
        <v>127</v>
      </c>
      <c r="D10" s="44" t="s">
        <v>128</v>
      </c>
      <c r="E10" s="45"/>
      <c r="F10" s="46"/>
      <c r="G10" s="46">
        <f t="shared" si="18"/>
        <v>0</v>
      </c>
      <c r="H10" s="46"/>
      <c r="I10" s="47">
        <f t="shared" si="19"/>
        <v>0</v>
      </c>
      <c r="J10" s="47">
        <f t="shared" si="20"/>
        <v>0</v>
      </c>
      <c r="K10" s="48">
        <v>3000</v>
      </c>
      <c r="L10" s="54"/>
      <c r="M10" s="54"/>
      <c r="N10" s="54"/>
      <c r="O10" s="51">
        <f t="shared" si="21"/>
        <v>973.68</v>
      </c>
      <c r="P10" s="51">
        <f t="shared" si="22"/>
        <v>0</v>
      </c>
      <c r="Q10" s="51">
        <f t="shared" si="23"/>
        <v>0</v>
      </c>
      <c r="R10" s="52">
        <f t="shared" si="24"/>
        <v>973.68</v>
      </c>
      <c r="S10" s="52">
        <f t="shared" si="25"/>
        <v>0</v>
      </c>
      <c r="T10" s="52">
        <f t="shared" si="26"/>
        <v>0</v>
      </c>
      <c r="U10" s="368">
        <f t="shared" si="27"/>
        <v>2026.3200000000002</v>
      </c>
      <c r="V10" s="369">
        <f t="shared" si="28"/>
        <v>0</v>
      </c>
      <c r="W10" s="369">
        <f t="shared" si="29"/>
        <v>0</v>
      </c>
      <c r="X10" s="53">
        <f t="shared" si="1"/>
        <v>0.32455999999999996</v>
      </c>
      <c r="Y10" s="53">
        <f t="shared" si="2"/>
        <v>0</v>
      </c>
      <c r="Z10" s="53">
        <f t="shared" si="3"/>
        <v>0</v>
      </c>
      <c r="AA10" s="54"/>
      <c r="AB10" s="54"/>
      <c r="AC10" s="54"/>
      <c r="AD10" s="48">
        <v>600</v>
      </c>
      <c r="AE10" s="55"/>
      <c r="AF10" s="55"/>
      <c r="AG10" s="55"/>
      <c r="AH10" s="55"/>
      <c r="AI10" s="54"/>
      <c r="AJ10" s="54"/>
      <c r="AK10" s="54"/>
      <c r="AL10" s="54"/>
      <c r="AM10" s="54"/>
      <c r="AN10" s="54"/>
      <c r="AO10" s="54"/>
      <c r="AP10" s="48">
        <v>35</v>
      </c>
      <c r="AQ10" s="54"/>
      <c r="AR10" s="54"/>
      <c r="AS10" s="54"/>
      <c r="AT10" s="54"/>
      <c r="AU10" s="54"/>
      <c r="AV10" s="48">
        <v>88.78</v>
      </c>
      <c r="AW10" s="54"/>
      <c r="AX10" s="54"/>
      <c r="AY10" s="48">
        <v>249.9</v>
      </c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>
        <f t="shared" ref="BN10:BN73" si="33">IF(O10-BK10&gt;0,O10-BK10,0)</f>
        <v>973.68</v>
      </c>
      <c r="BO10" s="58">
        <f t="shared" ref="BO10:BO73" si="34">IF(Q10-BM10&gt;0,Q10-BM10,0)</f>
        <v>0</v>
      </c>
      <c r="BP10" s="54">
        <f t="shared" ref="BP10:BP73" si="35">IF(BN10+BO10&gt;0,BN10+BO10,0)</f>
        <v>973.68</v>
      </c>
      <c r="BQ10" s="54">
        <f t="shared" si="9"/>
        <v>2026.3200000000002</v>
      </c>
      <c r="BR10" s="54">
        <f t="shared" si="10"/>
        <v>0</v>
      </c>
      <c r="BS10" s="54">
        <f t="shared" si="11"/>
        <v>2026.3200000000002</v>
      </c>
      <c r="BT10" s="54">
        <f t="shared" ref="BT10:BT73" si="36">IF(V10&gt;0,V10,0)</f>
        <v>0</v>
      </c>
      <c r="BU10" s="54">
        <f t="shared" ref="BU10:BU73" si="37">IF(BP10=0,0,BP10)</f>
        <v>973.68</v>
      </c>
      <c r="BV10" s="54">
        <f t="shared" ref="BV10:BV73" si="38">IF(BS10=0,0,BS10)</f>
        <v>2026.3200000000002</v>
      </c>
      <c r="BW10" s="54">
        <f t="shared" si="15"/>
        <v>973.68</v>
      </c>
      <c r="BX10" s="1"/>
      <c r="BY10" s="1"/>
      <c r="BZ10" s="1"/>
      <c r="CA10" s="1"/>
      <c r="CB10" s="1"/>
      <c r="CC10" s="1"/>
      <c r="CD10" s="1"/>
      <c r="CE10" s="1"/>
      <c r="CF10" s="1"/>
      <c r="CG10" s="1"/>
    </row>
    <row r="11" spans="1:85" ht="15.75" customHeight="1">
      <c r="A11" s="56"/>
      <c r="B11" s="426"/>
      <c r="C11" s="394" t="s">
        <v>129</v>
      </c>
      <c r="D11" s="44" t="s">
        <v>130</v>
      </c>
      <c r="E11" s="45">
        <v>25000</v>
      </c>
      <c r="F11" s="46"/>
      <c r="G11" s="46">
        <f t="shared" si="18"/>
        <v>25000</v>
      </c>
      <c r="H11" s="46"/>
      <c r="I11" s="47">
        <f t="shared" si="19"/>
        <v>0</v>
      </c>
      <c r="J11" s="47">
        <f t="shared" si="20"/>
        <v>0</v>
      </c>
      <c r="K11" s="54"/>
      <c r="L11" s="54"/>
      <c r="M11" s="54"/>
      <c r="N11" s="54"/>
      <c r="O11" s="51">
        <f t="shared" si="21"/>
        <v>0</v>
      </c>
      <c r="P11" s="51">
        <f t="shared" si="22"/>
        <v>0</v>
      </c>
      <c r="Q11" s="51">
        <f t="shared" si="23"/>
        <v>0</v>
      </c>
      <c r="R11" s="52">
        <f t="shared" si="24"/>
        <v>0</v>
      </c>
      <c r="S11" s="52">
        <f t="shared" si="25"/>
        <v>0</v>
      </c>
      <c r="T11" s="52">
        <f t="shared" si="26"/>
        <v>0</v>
      </c>
      <c r="U11" s="369">
        <f t="shared" si="27"/>
        <v>0</v>
      </c>
      <c r="V11" s="369">
        <f t="shared" si="28"/>
        <v>0</v>
      </c>
      <c r="W11" s="369">
        <f t="shared" si="29"/>
        <v>0</v>
      </c>
      <c r="X11" s="53">
        <f t="shared" si="1"/>
        <v>0</v>
      </c>
      <c r="Y11" s="53">
        <f t="shared" si="2"/>
        <v>0</v>
      </c>
      <c r="Z11" s="53">
        <f t="shared" si="3"/>
        <v>0</v>
      </c>
      <c r="AA11" s="54"/>
      <c r="AB11" s="54"/>
      <c r="AC11" s="54"/>
      <c r="AD11" s="54"/>
      <c r="AE11" s="55"/>
      <c r="AF11" s="55"/>
      <c r="AG11" s="55"/>
      <c r="AH11" s="55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>
        <f t="shared" si="33"/>
        <v>0</v>
      </c>
      <c r="BO11" s="58">
        <f t="shared" si="34"/>
        <v>0</v>
      </c>
      <c r="BP11" s="54">
        <f t="shared" si="35"/>
        <v>0</v>
      </c>
      <c r="BQ11" s="54">
        <f t="shared" si="9"/>
        <v>0</v>
      </c>
      <c r="BR11" s="54">
        <f t="shared" si="10"/>
        <v>0</v>
      </c>
      <c r="BS11" s="54">
        <f t="shared" si="11"/>
        <v>0</v>
      </c>
      <c r="BT11" s="54">
        <f t="shared" si="36"/>
        <v>0</v>
      </c>
      <c r="BU11" s="54">
        <f t="shared" si="37"/>
        <v>0</v>
      </c>
      <c r="BV11" s="54">
        <f t="shared" si="38"/>
        <v>0</v>
      </c>
      <c r="BW11" s="54">
        <f t="shared" si="15"/>
        <v>0</v>
      </c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1:85" ht="15.75" customHeight="1">
      <c r="A12" s="56"/>
      <c r="B12" s="426"/>
      <c r="C12" s="394" t="s">
        <v>131</v>
      </c>
      <c r="D12" s="44" t="s">
        <v>132</v>
      </c>
      <c r="E12" s="45">
        <v>5000</v>
      </c>
      <c r="F12" s="46"/>
      <c r="G12" s="46">
        <f t="shared" si="18"/>
        <v>5000</v>
      </c>
      <c r="H12" s="46"/>
      <c r="I12" s="47">
        <f t="shared" si="19"/>
        <v>0</v>
      </c>
      <c r="J12" s="47">
        <f t="shared" si="20"/>
        <v>0</v>
      </c>
      <c r="K12" s="54"/>
      <c r="L12" s="54"/>
      <c r="M12" s="54"/>
      <c r="N12" s="54"/>
      <c r="O12" s="51">
        <f t="shared" si="21"/>
        <v>0</v>
      </c>
      <c r="P12" s="51">
        <f t="shared" si="22"/>
        <v>0</v>
      </c>
      <c r="Q12" s="51">
        <f t="shared" si="23"/>
        <v>0</v>
      </c>
      <c r="R12" s="52">
        <f t="shared" si="24"/>
        <v>0</v>
      </c>
      <c r="S12" s="52">
        <f t="shared" si="25"/>
        <v>0</v>
      </c>
      <c r="T12" s="52">
        <f t="shared" si="26"/>
        <v>0</v>
      </c>
      <c r="U12" s="369">
        <f t="shared" si="27"/>
        <v>0</v>
      </c>
      <c r="V12" s="369">
        <f t="shared" si="28"/>
        <v>0</v>
      </c>
      <c r="W12" s="369">
        <f t="shared" si="29"/>
        <v>0</v>
      </c>
      <c r="X12" s="53">
        <f t="shared" si="1"/>
        <v>0</v>
      </c>
      <c r="Y12" s="53">
        <f t="shared" si="2"/>
        <v>0</v>
      </c>
      <c r="Z12" s="53">
        <f t="shared" si="3"/>
        <v>0</v>
      </c>
      <c r="AA12" s="54"/>
      <c r="AB12" s="54"/>
      <c r="AC12" s="54"/>
      <c r="AD12" s="54"/>
      <c r="AE12" s="55"/>
      <c r="AF12" s="55"/>
      <c r="AG12" s="55"/>
      <c r="AH12" s="55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>
        <f t="shared" si="33"/>
        <v>0</v>
      </c>
      <c r="BO12" s="58">
        <f t="shared" si="34"/>
        <v>0</v>
      </c>
      <c r="BP12" s="54">
        <f t="shared" si="35"/>
        <v>0</v>
      </c>
      <c r="BQ12" s="54">
        <f t="shared" si="9"/>
        <v>0</v>
      </c>
      <c r="BR12" s="54">
        <f t="shared" si="10"/>
        <v>0</v>
      </c>
      <c r="BS12" s="54">
        <f t="shared" si="11"/>
        <v>0</v>
      </c>
      <c r="BT12" s="54">
        <f t="shared" si="36"/>
        <v>0</v>
      </c>
      <c r="BU12" s="54">
        <f t="shared" si="37"/>
        <v>0</v>
      </c>
      <c r="BV12" s="54">
        <f t="shared" si="38"/>
        <v>0</v>
      </c>
      <c r="BW12" s="54">
        <f t="shared" si="15"/>
        <v>0</v>
      </c>
      <c r="BX12" s="1"/>
      <c r="BY12" s="1"/>
      <c r="BZ12" s="1"/>
      <c r="CA12" s="1"/>
      <c r="CB12" s="1"/>
      <c r="CC12" s="1"/>
      <c r="CD12" s="1"/>
      <c r="CE12" s="1"/>
      <c r="CF12" s="1"/>
      <c r="CG12" s="1"/>
    </row>
    <row r="13" spans="1:85" ht="15.75" customHeight="1">
      <c r="A13" s="56"/>
      <c r="B13" s="426"/>
      <c r="C13" s="394" t="s">
        <v>133</v>
      </c>
      <c r="D13" s="44" t="s">
        <v>134</v>
      </c>
      <c r="E13" s="45">
        <v>5000</v>
      </c>
      <c r="F13" s="46"/>
      <c r="G13" s="46">
        <f t="shared" si="18"/>
        <v>5000</v>
      </c>
      <c r="H13" s="46"/>
      <c r="I13" s="47">
        <f t="shared" si="19"/>
        <v>0</v>
      </c>
      <c r="J13" s="47">
        <f t="shared" si="20"/>
        <v>0</v>
      </c>
      <c r="K13" s="54"/>
      <c r="L13" s="54"/>
      <c r="M13" s="54"/>
      <c r="N13" s="54"/>
      <c r="O13" s="51">
        <f t="shared" si="21"/>
        <v>0</v>
      </c>
      <c r="P13" s="51">
        <f t="shared" si="22"/>
        <v>0</v>
      </c>
      <c r="Q13" s="51">
        <f t="shared" si="23"/>
        <v>0</v>
      </c>
      <c r="R13" s="52">
        <f t="shared" si="24"/>
        <v>0</v>
      </c>
      <c r="S13" s="52">
        <f t="shared" si="25"/>
        <v>0</v>
      </c>
      <c r="T13" s="52">
        <f t="shared" si="26"/>
        <v>0</v>
      </c>
      <c r="U13" s="369">
        <f t="shared" si="27"/>
        <v>0</v>
      </c>
      <c r="V13" s="369">
        <f t="shared" si="28"/>
        <v>0</v>
      </c>
      <c r="W13" s="369">
        <f t="shared" si="29"/>
        <v>0</v>
      </c>
      <c r="X13" s="53">
        <f t="shared" si="1"/>
        <v>0</v>
      </c>
      <c r="Y13" s="53">
        <f t="shared" si="2"/>
        <v>0</v>
      </c>
      <c r="Z13" s="53">
        <f t="shared" si="3"/>
        <v>0</v>
      </c>
      <c r="AA13" s="54"/>
      <c r="AB13" s="54"/>
      <c r="AC13" s="54"/>
      <c r="AD13" s="54"/>
      <c r="AE13" s="55"/>
      <c r="AF13" s="55"/>
      <c r="AG13" s="55"/>
      <c r="AH13" s="55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>
        <f t="shared" si="33"/>
        <v>0</v>
      </c>
      <c r="BO13" s="58">
        <f t="shared" si="34"/>
        <v>0</v>
      </c>
      <c r="BP13" s="54">
        <f t="shared" si="35"/>
        <v>0</v>
      </c>
      <c r="BQ13" s="54">
        <f t="shared" si="9"/>
        <v>0</v>
      </c>
      <c r="BR13" s="54">
        <f t="shared" si="10"/>
        <v>0</v>
      </c>
      <c r="BS13" s="54">
        <f t="shared" si="11"/>
        <v>0</v>
      </c>
      <c r="BT13" s="54">
        <f t="shared" si="36"/>
        <v>0</v>
      </c>
      <c r="BU13" s="54">
        <f t="shared" si="37"/>
        <v>0</v>
      </c>
      <c r="BV13" s="54">
        <f t="shared" si="38"/>
        <v>0</v>
      </c>
      <c r="BW13" s="54">
        <f t="shared" si="15"/>
        <v>0</v>
      </c>
      <c r="BX13" s="1"/>
      <c r="BY13" s="1"/>
      <c r="BZ13" s="1"/>
      <c r="CA13" s="1"/>
      <c r="CB13" s="1"/>
      <c r="CC13" s="1"/>
      <c r="CD13" s="1"/>
      <c r="CE13" s="1"/>
      <c r="CF13" s="1"/>
      <c r="CG13" s="1"/>
    </row>
    <row r="14" spans="1:85" ht="15.75" customHeight="1">
      <c r="A14" s="56"/>
      <c r="B14" s="426"/>
      <c r="C14" s="394" t="s">
        <v>135</v>
      </c>
      <c r="D14" s="44" t="s">
        <v>136</v>
      </c>
      <c r="E14" s="45">
        <v>14546.77</v>
      </c>
      <c r="F14" s="46"/>
      <c r="G14" s="46">
        <f t="shared" si="18"/>
        <v>14546.77</v>
      </c>
      <c r="H14" s="46"/>
      <c r="I14" s="47">
        <f t="shared" si="19"/>
        <v>0</v>
      </c>
      <c r="J14" s="47">
        <f t="shared" si="20"/>
        <v>0</v>
      </c>
      <c r="K14" s="54"/>
      <c r="L14" s="54"/>
      <c r="M14" s="54"/>
      <c r="N14" s="54"/>
      <c r="O14" s="51">
        <f t="shared" si="21"/>
        <v>0</v>
      </c>
      <c r="P14" s="51">
        <f t="shared" si="22"/>
        <v>0</v>
      </c>
      <c r="Q14" s="51">
        <f t="shared" si="23"/>
        <v>0</v>
      </c>
      <c r="R14" s="52">
        <f t="shared" si="24"/>
        <v>0</v>
      </c>
      <c r="S14" s="52">
        <f t="shared" si="25"/>
        <v>0</v>
      </c>
      <c r="T14" s="52">
        <f t="shared" si="26"/>
        <v>0</v>
      </c>
      <c r="U14" s="369">
        <f t="shared" si="27"/>
        <v>0</v>
      </c>
      <c r="V14" s="369">
        <f t="shared" si="28"/>
        <v>0</v>
      </c>
      <c r="W14" s="369">
        <f t="shared" si="29"/>
        <v>0</v>
      </c>
      <c r="X14" s="53">
        <f t="shared" si="1"/>
        <v>0</v>
      </c>
      <c r="Y14" s="53">
        <f t="shared" si="2"/>
        <v>0</v>
      </c>
      <c r="Z14" s="53">
        <f t="shared" si="3"/>
        <v>0</v>
      </c>
      <c r="AA14" s="54"/>
      <c r="AB14" s="54"/>
      <c r="AC14" s="54"/>
      <c r="AD14" s="54"/>
      <c r="AE14" s="55"/>
      <c r="AF14" s="55"/>
      <c r="AG14" s="55"/>
      <c r="AH14" s="55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>
        <f t="shared" si="33"/>
        <v>0</v>
      </c>
      <c r="BO14" s="58">
        <f t="shared" si="34"/>
        <v>0</v>
      </c>
      <c r="BP14" s="54">
        <f t="shared" si="35"/>
        <v>0</v>
      </c>
      <c r="BQ14" s="54">
        <f t="shared" si="9"/>
        <v>0</v>
      </c>
      <c r="BR14" s="54">
        <f t="shared" si="10"/>
        <v>0</v>
      </c>
      <c r="BS14" s="54">
        <f t="shared" si="11"/>
        <v>0</v>
      </c>
      <c r="BT14" s="54">
        <f t="shared" si="36"/>
        <v>0</v>
      </c>
      <c r="BU14" s="54">
        <f t="shared" si="37"/>
        <v>0</v>
      </c>
      <c r="BV14" s="54">
        <f t="shared" si="38"/>
        <v>0</v>
      </c>
      <c r="BW14" s="54">
        <f t="shared" si="15"/>
        <v>0</v>
      </c>
      <c r="BX14" s="1"/>
      <c r="BY14" s="1"/>
      <c r="BZ14" s="1"/>
      <c r="CA14" s="1"/>
      <c r="CB14" s="1"/>
      <c r="CC14" s="1"/>
      <c r="CD14" s="1"/>
      <c r="CE14" s="1"/>
      <c r="CF14" s="1"/>
      <c r="CG14" s="1"/>
    </row>
    <row r="15" spans="1:85" ht="15.75" customHeight="1">
      <c r="A15" s="56"/>
      <c r="B15" s="426"/>
      <c r="C15" s="394" t="s">
        <v>137</v>
      </c>
      <c r="D15" s="44" t="s">
        <v>138</v>
      </c>
      <c r="E15" s="45">
        <v>10000</v>
      </c>
      <c r="F15" s="46"/>
      <c r="G15" s="46">
        <f t="shared" si="18"/>
        <v>10000</v>
      </c>
      <c r="H15" s="46"/>
      <c r="I15" s="47">
        <f t="shared" si="19"/>
        <v>0</v>
      </c>
      <c r="J15" s="47">
        <f t="shared" si="20"/>
        <v>0</v>
      </c>
      <c r="K15" s="54"/>
      <c r="L15" s="54"/>
      <c r="M15" s="54"/>
      <c r="N15" s="54"/>
      <c r="O15" s="51">
        <f t="shared" si="21"/>
        <v>0</v>
      </c>
      <c r="P15" s="51">
        <f t="shared" si="22"/>
        <v>0</v>
      </c>
      <c r="Q15" s="51">
        <f t="shared" si="23"/>
        <v>0</v>
      </c>
      <c r="R15" s="52">
        <f t="shared" si="24"/>
        <v>0</v>
      </c>
      <c r="S15" s="52">
        <f t="shared" si="25"/>
        <v>0</v>
      </c>
      <c r="T15" s="52">
        <f t="shared" si="26"/>
        <v>0</v>
      </c>
      <c r="U15" s="369">
        <f t="shared" si="27"/>
        <v>0</v>
      </c>
      <c r="V15" s="369">
        <f t="shared" si="28"/>
        <v>0</v>
      </c>
      <c r="W15" s="369">
        <f t="shared" si="29"/>
        <v>0</v>
      </c>
      <c r="X15" s="53">
        <f t="shared" si="1"/>
        <v>0</v>
      </c>
      <c r="Y15" s="53">
        <f t="shared" si="2"/>
        <v>0</v>
      </c>
      <c r="Z15" s="53">
        <f t="shared" si="3"/>
        <v>0</v>
      </c>
      <c r="AA15" s="54"/>
      <c r="AB15" s="54"/>
      <c r="AC15" s="54"/>
      <c r="AD15" s="54"/>
      <c r="AE15" s="55"/>
      <c r="AF15" s="55"/>
      <c r="AG15" s="55"/>
      <c r="AH15" s="55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>
        <f t="shared" si="33"/>
        <v>0</v>
      </c>
      <c r="BO15" s="58">
        <f t="shared" si="34"/>
        <v>0</v>
      </c>
      <c r="BP15" s="54">
        <f t="shared" si="35"/>
        <v>0</v>
      </c>
      <c r="BQ15" s="54">
        <f t="shared" si="9"/>
        <v>0</v>
      </c>
      <c r="BR15" s="54">
        <f t="shared" si="10"/>
        <v>0</v>
      </c>
      <c r="BS15" s="54">
        <f t="shared" si="11"/>
        <v>0</v>
      </c>
      <c r="BT15" s="54">
        <f t="shared" si="36"/>
        <v>0</v>
      </c>
      <c r="BU15" s="54">
        <f t="shared" si="37"/>
        <v>0</v>
      </c>
      <c r="BV15" s="54">
        <f t="shared" si="38"/>
        <v>0</v>
      </c>
      <c r="BW15" s="54">
        <f t="shared" si="15"/>
        <v>0</v>
      </c>
      <c r="BX15" s="1"/>
      <c r="BY15" s="1"/>
      <c r="BZ15" s="1"/>
      <c r="CA15" s="1"/>
      <c r="CB15" s="1"/>
      <c r="CC15" s="1"/>
      <c r="CD15" s="1"/>
      <c r="CE15" s="1"/>
      <c r="CF15" s="1"/>
      <c r="CG15" s="1"/>
    </row>
    <row r="16" spans="1:85" ht="15.75" customHeight="1">
      <c r="A16" s="56"/>
      <c r="B16" s="426"/>
      <c r="C16" s="394" t="s">
        <v>137</v>
      </c>
      <c r="D16" s="44" t="s">
        <v>139</v>
      </c>
      <c r="E16" s="45">
        <v>500</v>
      </c>
      <c r="F16" s="46"/>
      <c r="G16" s="46">
        <f t="shared" si="18"/>
        <v>500</v>
      </c>
      <c r="H16" s="46"/>
      <c r="I16" s="47">
        <f t="shared" si="19"/>
        <v>0</v>
      </c>
      <c r="J16" s="47">
        <f t="shared" si="20"/>
        <v>0</v>
      </c>
      <c r="K16" s="54"/>
      <c r="L16" s="54"/>
      <c r="M16" s="54"/>
      <c r="N16" s="54"/>
      <c r="O16" s="51">
        <f t="shared" si="21"/>
        <v>0</v>
      </c>
      <c r="P16" s="51">
        <f t="shared" si="22"/>
        <v>0</v>
      </c>
      <c r="Q16" s="51">
        <f t="shared" si="23"/>
        <v>0</v>
      </c>
      <c r="R16" s="52">
        <f t="shared" si="24"/>
        <v>0</v>
      </c>
      <c r="S16" s="52">
        <f t="shared" si="25"/>
        <v>0</v>
      </c>
      <c r="T16" s="52">
        <f t="shared" si="26"/>
        <v>0</v>
      </c>
      <c r="U16" s="369">
        <f t="shared" si="27"/>
        <v>0</v>
      </c>
      <c r="V16" s="369">
        <f t="shared" si="28"/>
        <v>0</v>
      </c>
      <c r="W16" s="369">
        <f t="shared" si="29"/>
        <v>0</v>
      </c>
      <c r="X16" s="53">
        <f t="shared" si="1"/>
        <v>0</v>
      </c>
      <c r="Y16" s="53">
        <f t="shared" si="2"/>
        <v>0</v>
      </c>
      <c r="Z16" s="53">
        <f t="shared" si="3"/>
        <v>0</v>
      </c>
      <c r="AA16" s="54"/>
      <c r="AB16" s="54"/>
      <c r="AC16" s="54"/>
      <c r="AD16" s="54"/>
      <c r="AE16" s="55"/>
      <c r="AF16" s="55"/>
      <c r="AG16" s="55"/>
      <c r="AH16" s="55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>
        <f t="shared" si="33"/>
        <v>0</v>
      </c>
      <c r="BO16" s="58">
        <f t="shared" si="34"/>
        <v>0</v>
      </c>
      <c r="BP16" s="54">
        <f t="shared" si="35"/>
        <v>0</v>
      </c>
      <c r="BQ16" s="54">
        <f t="shared" si="9"/>
        <v>0</v>
      </c>
      <c r="BR16" s="54">
        <f t="shared" si="10"/>
        <v>0</v>
      </c>
      <c r="BS16" s="54">
        <f t="shared" si="11"/>
        <v>0</v>
      </c>
      <c r="BT16" s="54">
        <f t="shared" si="36"/>
        <v>0</v>
      </c>
      <c r="BU16" s="54">
        <f t="shared" si="37"/>
        <v>0</v>
      </c>
      <c r="BV16" s="54">
        <f t="shared" si="38"/>
        <v>0</v>
      </c>
      <c r="BW16" s="54">
        <f t="shared" si="15"/>
        <v>0</v>
      </c>
      <c r="BX16" s="1"/>
      <c r="BY16" s="1"/>
      <c r="BZ16" s="1"/>
      <c r="CA16" s="1"/>
      <c r="CB16" s="1"/>
      <c r="CC16" s="1"/>
      <c r="CD16" s="1"/>
      <c r="CE16" s="1"/>
      <c r="CF16" s="1"/>
      <c r="CG16" s="1"/>
    </row>
    <row r="17" spans="1:85" ht="15.75" customHeight="1">
      <c r="A17" s="56"/>
      <c r="B17" s="426" t="s">
        <v>140</v>
      </c>
      <c r="C17" s="394" t="s">
        <v>137</v>
      </c>
      <c r="D17" s="63" t="s">
        <v>141</v>
      </c>
      <c r="E17" s="45"/>
      <c r="F17" s="46"/>
      <c r="G17" s="46">
        <f t="shared" si="18"/>
        <v>0</v>
      </c>
      <c r="H17" s="46"/>
      <c r="I17" s="47">
        <f t="shared" si="19"/>
        <v>0</v>
      </c>
      <c r="J17" s="47">
        <f t="shared" si="20"/>
        <v>0</v>
      </c>
      <c r="K17" s="54"/>
      <c r="L17" s="54">
        <v>3779.5</v>
      </c>
      <c r="M17" s="48">
        <v>3779.5</v>
      </c>
      <c r="N17" s="54"/>
      <c r="O17" s="51">
        <f t="shared" si="21"/>
        <v>0</v>
      </c>
      <c r="P17" s="51">
        <f t="shared" si="22"/>
        <v>0</v>
      </c>
      <c r="Q17" s="51">
        <f t="shared" si="23"/>
        <v>0</v>
      </c>
      <c r="R17" s="52">
        <f t="shared" si="24"/>
        <v>0</v>
      </c>
      <c r="S17" s="52">
        <f t="shared" si="25"/>
        <v>0</v>
      </c>
      <c r="T17" s="52">
        <f t="shared" si="26"/>
        <v>0</v>
      </c>
      <c r="U17" s="369">
        <f t="shared" si="27"/>
        <v>0</v>
      </c>
      <c r="V17" s="369">
        <f t="shared" si="28"/>
        <v>0</v>
      </c>
      <c r="W17" s="369">
        <f t="shared" si="29"/>
        <v>0</v>
      </c>
      <c r="X17" s="53">
        <f t="shared" si="1"/>
        <v>0</v>
      </c>
      <c r="Y17" s="53">
        <f t="shared" si="2"/>
        <v>0</v>
      </c>
      <c r="Z17" s="53">
        <f t="shared" si="3"/>
        <v>0</v>
      </c>
      <c r="AA17" s="54"/>
      <c r="AB17" s="54"/>
      <c r="AC17" s="54"/>
      <c r="AD17" s="54"/>
      <c r="AE17" s="55"/>
      <c r="AF17" s="55"/>
      <c r="AG17" s="55"/>
      <c r="AH17" s="55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>
        <f t="shared" si="33"/>
        <v>0</v>
      </c>
      <c r="BO17" s="58">
        <f t="shared" si="34"/>
        <v>0</v>
      </c>
      <c r="BP17" s="54">
        <f t="shared" si="35"/>
        <v>0</v>
      </c>
      <c r="BQ17" s="54">
        <f t="shared" si="9"/>
        <v>0</v>
      </c>
      <c r="BR17" s="54">
        <f t="shared" si="10"/>
        <v>0</v>
      </c>
      <c r="BS17" s="54">
        <f t="shared" si="11"/>
        <v>0</v>
      </c>
      <c r="BT17" s="54">
        <f t="shared" si="36"/>
        <v>0</v>
      </c>
      <c r="BU17" s="54">
        <f t="shared" si="37"/>
        <v>0</v>
      </c>
      <c r="BV17" s="54">
        <f t="shared" si="38"/>
        <v>0</v>
      </c>
      <c r="BW17" s="54">
        <f t="shared" si="15"/>
        <v>0</v>
      </c>
      <c r="BX17" s="1"/>
      <c r="BY17" s="1"/>
      <c r="BZ17" s="1"/>
      <c r="CA17" s="1"/>
      <c r="CB17" s="1"/>
      <c r="CC17" s="1"/>
      <c r="CD17" s="1"/>
      <c r="CE17" s="1"/>
      <c r="CF17" s="1"/>
      <c r="CG17" s="1"/>
    </row>
    <row r="18" spans="1:85" ht="15.75" customHeight="1">
      <c r="A18" s="64"/>
      <c r="B18" s="428" t="s">
        <v>142</v>
      </c>
      <c r="C18" s="396" t="s">
        <v>143</v>
      </c>
      <c r="D18" s="65" t="s">
        <v>144</v>
      </c>
      <c r="E18" s="66">
        <v>500</v>
      </c>
      <c r="F18" s="67"/>
      <c r="G18" s="46">
        <f t="shared" si="18"/>
        <v>500</v>
      </c>
      <c r="H18" s="67"/>
      <c r="I18" s="47">
        <f t="shared" si="19"/>
        <v>0</v>
      </c>
      <c r="J18" s="47">
        <f t="shared" si="20"/>
        <v>0</v>
      </c>
      <c r="K18" s="68"/>
      <c r="L18" s="68">
        <v>390</v>
      </c>
      <c r="M18" s="68"/>
      <c r="N18" s="68"/>
      <c r="O18" s="69">
        <f t="shared" si="21"/>
        <v>0</v>
      </c>
      <c r="P18" s="69">
        <f t="shared" si="22"/>
        <v>390</v>
      </c>
      <c r="Q18" s="69">
        <f t="shared" si="23"/>
        <v>0</v>
      </c>
      <c r="R18" s="70">
        <f t="shared" si="24"/>
        <v>0</v>
      </c>
      <c r="S18" s="70">
        <f t="shared" si="25"/>
        <v>390</v>
      </c>
      <c r="T18" s="70">
        <f t="shared" si="26"/>
        <v>0</v>
      </c>
      <c r="U18" s="371">
        <f t="shared" si="27"/>
        <v>0</v>
      </c>
      <c r="V18" s="369">
        <f t="shared" si="28"/>
        <v>0</v>
      </c>
      <c r="W18" s="371">
        <f t="shared" si="29"/>
        <v>0</v>
      </c>
      <c r="X18" s="53">
        <f t="shared" si="1"/>
        <v>0</v>
      </c>
      <c r="Y18" s="53">
        <f t="shared" si="2"/>
        <v>1</v>
      </c>
      <c r="Z18" s="53">
        <f t="shared" si="3"/>
        <v>0</v>
      </c>
      <c r="AA18" s="68"/>
      <c r="AB18" s="68"/>
      <c r="AC18" s="68"/>
      <c r="AD18" s="68"/>
      <c r="AE18" s="71"/>
      <c r="AF18" s="71"/>
      <c r="AG18" s="71"/>
      <c r="AH18" s="71"/>
      <c r="AI18" s="68"/>
      <c r="AJ18" s="68"/>
      <c r="AK18" s="68"/>
      <c r="AL18" s="68"/>
      <c r="AM18" s="68"/>
      <c r="AN18" s="68"/>
      <c r="AO18" s="68"/>
      <c r="AP18" s="68"/>
      <c r="AQ18" s="72">
        <v>390</v>
      </c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54">
        <f t="shared" si="33"/>
        <v>0</v>
      </c>
      <c r="BO18" s="58">
        <f t="shared" si="34"/>
        <v>0</v>
      </c>
      <c r="BP18" s="54">
        <f t="shared" si="35"/>
        <v>0</v>
      </c>
      <c r="BQ18" s="54">
        <f t="shared" si="9"/>
        <v>0</v>
      </c>
      <c r="BR18" s="54">
        <f t="shared" si="10"/>
        <v>0</v>
      </c>
      <c r="BS18" s="54">
        <f t="shared" si="11"/>
        <v>0</v>
      </c>
      <c r="BT18" s="54">
        <f t="shared" si="36"/>
        <v>0</v>
      </c>
      <c r="BU18" s="54">
        <f t="shared" si="37"/>
        <v>0</v>
      </c>
      <c r="BV18" s="54">
        <f t="shared" si="38"/>
        <v>0</v>
      </c>
      <c r="BW18" s="54">
        <f t="shared" si="15"/>
        <v>0</v>
      </c>
      <c r="BX18" s="1"/>
      <c r="BY18" s="1"/>
      <c r="BZ18" s="1"/>
      <c r="CA18" s="1"/>
      <c r="CB18" s="1"/>
      <c r="CC18" s="1"/>
      <c r="CD18" s="1"/>
      <c r="CE18" s="1"/>
      <c r="CF18" s="1"/>
      <c r="CG18" s="1"/>
    </row>
    <row r="19" spans="1:85" ht="15.75" customHeight="1">
      <c r="A19" s="43" t="s">
        <v>145</v>
      </c>
      <c r="B19" s="426"/>
      <c r="C19" s="394" t="s">
        <v>146</v>
      </c>
      <c r="D19" s="73" t="s">
        <v>147</v>
      </c>
      <c r="E19" s="45">
        <v>20000</v>
      </c>
      <c r="F19" s="46"/>
      <c r="G19" s="46">
        <f t="shared" si="18"/>
        <v>20000</v>
      </c>
      <c r="H19" s="46"/>
      <c r="I19" s="47">
        <f t="shared" si="19"/>
        <v>5.9154999999999992E-2</v>
      </c>
      <c r="J19" s="47">
        <f t="shared" si="20"/>
        <v>5.9154999999999992E-2</v>
      </c>
      <c r="K19" s="48">
        <v>1183.0999999999999</v>
      </c>
      <c r="L19" s="54"/>
      <c r="M19" s="54"/>
      <c r="N19" s="54"/>
      <c r="O19" s="51">
        <f t="shared" si="21"/>
        <v>1183.0999999999999</v>
      </c>
      <c r="P19" s="51">
        <f t="shared" si="22"/>
        <v>0</v>
      </c>
      <c r="Q19" s="51">
        <f t="shared" si="23"/>
        <v>0</v>
      </c>
      <c r="R19" s="52">
        <f t="shared" si="24"/>
        <v>1183.0999999999999</v>
      </c>
      <c r="S19" s="52">
        <f t="shared" si="25"/>
        <v>0</v>
      </c>
      <c r="T19" s="52">
        <f t="shared" si="26"/>
        <v>0</v>
      </c>
      <c r="U19" s="368">
        <f t="shared" si="27"/>
        <v>0</v>
      </c>
      <c r="V19" s="369">
        <f t="shared" si="28"/>
        <v>0</v>
      </c>
      <c r="W19" s="369">
        <f t="shared" si="29"/>
        <v>0</v>
      </c>
      <c r="X19" s="53">
        <f t="shared" si="1"/>
        <v>1</v>
      </c>
      <c r="Y19" s="53">
        <f t="shared" si="2"/>
        <v>0</v>
      </c>
      <c r="Z19" s="53">
        <f t="shared" si="3"/>
        <v>0</v>
      </c>
      <c r="AA19" s="54"/>
      <c r="AB19" s="54"/>
      <c r="AC19" s="54"/>
      <c r="AD19" s="54"/>
      <c r="AE19" s="55"/>
      <c r="AF19" s="55"/>
      <c r="AG19" s="55"/>
      <c r="AH19" s="55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48">
        <v>1183.0999999999999</v>
      </c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>
        <f t="shared" si="33"/>
        <v>1183.0999999999999</v>
      </c>
      <c r="BO19" s="58">
        <f t="shared" si="34"/>
        <v>0</v>
      </c>
      <c r="BP19" s="54">
        <f t="shared" si="35"/>
        <v>1183.0999999999999</v>
      </c>
      <c r="BQ19" s="54">
        <f t="shared" si="9"/>
        <v>0</v>
      </c>
      <c r="BR19" s="54">
        <f t="shared" si="10"/>
        <v>0</v>
      </c>
      <c r="BS19" s="54">
        <f t="shared" si="11"/>
        <v>0</v>
      </c>
      <c r="BT19" s="54">
        <f t="shared" si="36"/>
        <v>0</v>
      </c>
      <c r="BU19" s="54">
        <f t="shared" si="37"/>
        <v>1183.0999999999999</v>
      </c>
      <c r="BV19" s="54">
        <f t="shared" si="38"/>
        <v>0</v>
      </c>
      <c r="BW19" s="54">
        <f t="shared" si="15"/>
        <v>1183.0999999999999</v>
      </c>
      <c r="BX19" s="1"/>
      <c r="BY19" s="1"/>
      <c r="BZ19" s="1"/>
      <c r="CA19" s="1"/>
      <c r="CB19" s="1"/>
      <c r="CC19" s="1"/>
      <c r="CD19" s="1"/>
      <c r="CE19" s="1"/>
      <c r="CF19" s="1"/>
      <c r="CG19" s="1"/>
    </row>
    <row r="20" spans="1:85" ht="15.75" customHeight="1">
      <c r="A20" s="43" t="s">
        <v>148</v>
      </c>
      <c r="B20" s="426" t="s">
        <v>149</v>
      </c>
      <c r="C20" s="394" t="s">
        <v>146</v>
      </c>
      <c r="D20" s="73" t="s">
        <v>150</v>
      </c>
      <c r="E20" s="45"/>
      <c r="F20" s="46"/>
      <c r="G20" s="46">
        <f t="shared" si="18"/>
        <v>0</v>
      </c>
      <c r="H20" s="46"/>
      <c r="I20" s="47">
        <f t="shared" si="19"/>
        <v>0</v>
      </c>
      <c r="J20" s="47">
        <f t="shared" si="20"/>
        <v>0</v>
      </c>
      <c r="K20" s="48">
        <v>1011.28</v>
      </c>
      <c r="L20" s="54">
        <v>8432.75</v>
      </c>
      <c r="M20" s="48">
        <v>8432.75</v>
      </c>
      <c r="N20" s="54"/>
      <c r="O20" s="51">
        <f t="shared" si="21"/>
        <v>1011.28</v>
      </c>
      <c r="P20" s="51">
        <f t="shared" si="22"/>
        <v>0</v>
      </c>
      <c r="Q20" s="51">
        <f t="shared" si="23"/>
        <v>0</v>
      </c>
      <c r="R20" s="52">
        <f t="shared" si="24"/>
        <v>1011.28</v>
      </c>
      <c r="S20" s="52">
        <f t="shared" si="25"/>
        <v>0</v>
      </c>
      <c r="T20" s="52">
        <f t="shared" si="26"/>
        <v>0</v>
      </c>
      <c r="U20" s="368">
        <f t="shared" si="27"/>
        <v>0</v>
      </c>
      <c r="V20" s="369">
        <f t="shared" si="28"/>
        <v>0</v>
      </c>
      <c r="W20" s="369">
        <f t="shared" si="29"/>
        <v>0</v>
      </c>
      <c r="X20" s="53">
        <f t="shared" si="1"/>
        <v>1</v>
      </c>
      <c r="Y20" s="53">
        <f t="shared" si="2"/>
        <v>0</v>
      </c>
      <c r="Z20" s="53">
        <f t="shared" si="3"/>
        <v>0</v>
      </c>
      <c r="AA20" s="54"/>
      <c r="AB20" s="54"/>
      <c r="AC20" s="54"/>
      <c r="AD20" s="54"/>
      <c r="AE20" s="55"/>
      <c r="AF20" s="55"/>
      <c r="AG20" s="55"/>
      <c r="AH20" s="55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48">
        <v>1011.28</v>
      </c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>
        <f t="shared" si="33"/>
        <v>1011.28</v>
      </c>
      <c r="BO20" s="58">
        <f t="shared" si="34"/>
        <v>0</v>
      </c>
      <c r="BP20" s="54">
        <f t="shared" si="35"/>
        <v>1011.28</v>
      </c>
      <c r="BQ20" s="54">
        <f t="shared" si="9"/>
        <v>0</v>
      </c>
      <c r="BR20" s="54">
        <f t="shared" si="10"/>
        <v>0</v>
      </c>
      <c r="BS20" s="54">
        <f t="shared" si="11"/>
        <v>0</v>
      </c>
      <c r="BT20" s="54">
        <f t="shared" si="36"/>
        <v>0</v>
      </c>
      <c r="BU20" s="54">
        <f t="shared" si="37"/>
        <v>1011.28</v>
      </c>
      <c r="BV20" s="54">
        <f t="shared" si="38"/>
        <v>0</v>
      </c>
      <c r="BW20" s="54">
        <f t="shared" si="15"/>
        <v>1011.28</v>
      </c>
      <c r="BX20" s="1"/>
      <c r="BY20" s="1"/>
      <c r="BZ20" s="1"/>
      <c r="CA20" s="1"/>
      <c r="CB20" s="1"/>
      <c r="CC20" s="1"/>
      <c r="CD20" s="1"/>
      <c r="CE20" s="1"/>
      <c r="CF20" s="1"/>
      <c r="CG20" s="1"/>
    </row>
    <row r="21" spans="1:85" ht="15.75" customHeight="1">
      <c r="A21" s="43" t="s">
        <v>151</v>
      </c>
      <c r="B21" s="426" t="s">
        <v>152</v>
      </c>
      <c r="C21" s="394" t="s">
        <v>146</v>
      </c>
      <c r="D21" s="73" t="s">
        <v>153</v>
      </c>
      <c r="E21" s="45"/>
      <c r="F21" s="46"/>
      <c r="G21" s="46">
        <f t="shared" si="18"/>
        <v>0</v>
      </c>
      <c r="H21" s="46"/>
      <c r="I21" s="47">
        <f t="shared" si="19"/>
        <v>0</v>
      </c>
      <c r="J21" s="47">
        <f t="shared" si="20"/>
        <v>0</v>
      </c>
      <c r="K21" s="48">
        <v>2209.77</v>
      </c>
      <c r="L21" s="54">
        <v>13770</v>
      </c>
      <c r="M21" s="48">
        <v>13770</v>
      </c>
      <c r="N21" s="54"/>
      <c r="O21" s="51">
        <f t="shared" si="21"/>
        <v>2209.77</v>
      </c>
      <c r="P21" s="51">
        <f t="shared" si="22"/>
        <v>0</v>
      </c>
      <c r="Q21" s="51">
        <f t="shared" si="23"/>
        <v>0</v>
      </c>
      <c r="R21" s="52">
        <f t="shared" si="24"/>
        <v>2209.77</v>
      </c>
      <c r="S21" s="52">
        <f t="shared" si="25"/>
        <v>0</v>
      </c>
      <c r="T21" s="52">
        <f t="shared" si="26"/>
        <v>0</v>
      </c>
      <c r="U21" s="369">
        <f t="shared" si="27"/>
        <v>0</v>
      </c>
      <c r="V21" s="369">
        <f t="shared" si="28"/>
        <v>0</v>
      </c>
      <c r="W21" s="369">
        <f t="shared" si="29"/>
        <v>0</v>
      </c>
      <c r="X21" s="53">
        <f t="shared" si="1"/>
        <v>1</v>
      </c>
      <c r="Y21" s="53">
        <f t="shared" si="2"/>
        <v>0</v>
      </c>
      <c r="Z21" s="53">
        <f t="shared" si="3"/>
        <v>0</v>
      </c>
      <c r="AA21" s="54"/>
      <c r="AB21" s="54"/>
      <c r="AC21" s="54"/>
      <c r="AD21" s="54"/>
      <c r="AE21" s="55"/>
      <c r="AF21" s="55"/>
      <c r="AG21" s="55"/>
      <c r="AH21" s="55"/>
      <c r="AI21" s="54"/>
      <c r="AJ21" s="48">
        <v>2209.77</v>
      </c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>
        <f t="shared" si="33"/>
        <v>2209.77</v>
      </c>
      <c r="BO21" s="58">
        <f t="shared" si="34"/>
        <v>0</v>
      </c>
      <c r="BP21" s="54">
        <f t="shared" si="35"/>
        <v>2209.77</v>
      </c>
      <c r="BQ21" s="54">
        <f t="shared" si="9"/>
        <v>0</v>
      </c>
      <c r="BR21" s="54">
        <f t="shared" si="10"/>
        <v>0</v>
      </c>
      <c r="BS21" s="54">
        <f t="shared" si="11"/>
        <v>0</v>
      </c>
      <c r="BT21" s="54">
        <f t="shared" si="36"/>
        <v>0</v>
      </c>
      <c r="BU21" s="54">
        <f t="shared" si="37"/>
        <v>2209.77</v>
      </c>
      <c r="BV21" s="54">
        <f t="shared" si="38"/>
        <v>0</v>
      </c>
      <c r="BW21" s="54">
        <f t="shared" si="15"/>
        <v>2209.77</v>
      </c>
      <c r="BX21" s="1"/>
      <c r="BY21" s="1"/>
      <c r="BZ21" s="1"/>
      <c r="CA21" s="1"/>
      <c r="CB21" s="1"/>
      <c r="CC21" s="1"/>
      <c r="CD21" s="1"/>
      <c r="CE21" s="1"/>
      <c r="CF21" s="1"/>
      <c r="CG21" s="1"/>
    </row>
    <row r="22" spans="1:85" ht="15.75" customHeight="1">
      <c r="A22" s="43" t="s">
        <v>154</v>
      </c>
      <c r="B22" s="426" t="s">
        <v>140</v>
      </c>
      <c r="C22" s="394" t="s">
        <v>146</v>
      </c>
      <c r="D22" s="73" t="s">
        <v>155</v>
      </c>
      <c r="E22" s="45"/>
      <c r="F22" s="46"/>
      <c r="G22" s="46">
        <f t="shared" si="18"/>
        <v>0</v>
      </c>
      <c r="H22" s="46"/>
      <c r="I22" s="47">
        <f t="shared" si="19"/>
        <v>0</v>
      </c>
      <c r="J22" s="47">
        <f t="shared" si="20"/>
        <v>0</v>
      </c>
      <c r="K22" s="48">
        <v>1383.26</v>
      </c>
      <c r="L22" s="54">
        <v>11526.2</v>
      </c>
      <c r="M22" s="48">
        <v>11526.2</v>
      </c>
      <c r="N22" s="54"/>
      <c r="O22" s="51">
        <f t="shared" si="21"/>
        <v>1383.26</v>
      </c>
      <c r="P22" s="51">
        <f t="shared" si="22"/>
        <v>0</v>
      </c>
      <c r="Q22" s="51">
        <f t="shared" si="23"/>
        <v>0</v>
      </c>
      <c r="R22" s="52">
        <f t="shared" si="24"/>
        <v>1383.26</v>
      </c>
      <c r="S22" s="52">
        <f t="shared" si="25"/>
        <v>0</v>
      </c>
      <c r="T22" s="52">
        <f t="shared" si="26"/>
        <v>0</v>
      </c>
      <c r="U22" s="369">
        <f t="shared" si="27"/>
        <v>0</v>
      </c>
      <c r="V22" s="369">
        <f t="shared" si="28"/>
        <v>0</v>
      </c>
      <c r="W22" s="369">
        <f t="shared" si="29"/>
        <v>0</v>
      </c>
      <c r="X22" s="53">
        <f t="shared" si="1"/>
        <v>1</v>
      </c>
      <c r="Y22" s="53">
        <f t="shared" si="2"/>
        <v>0</v>
      </c>
      <c r="Z22" s="53">
        <f t="shared" si="3"/>
        <v>0</v>
      </c>
      <c r="AA22" s="54"/>
      <c r="AB22" s="54"/>
      <c r="AC22" s="54"/>
      <c r="AD22" s="54"/>
      <c r="AE22" s="55"/>
      <c r="AF22" s="55"/>
      <c r="AG22" s="55"/>
      <c r="AH22" s="55"/>
      <c r="AI22" s="54"/>
      <c r="AJ22" s="54"/>
      <c r="AK22" s="54"/>
      <c r="AL22" s="54"/>
      <c r="AM22" s="54"/>
      <c r="AN22" s="54"/>
      <c r="AO22" s="54"/>
      <c r="AP22" s="48">
        <v>1383.26</v>
      </c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>
        <f t="shared" si="33"/>
        <v>1383.26</v>
      </c>
      <c r="BO22" s="58">
        <f t="shared" si="34"/>
        <v>0</v>
      </c>
      <c r="BP22" s="54">
        <f t="shared" si="35"/>
        <v>1383.26</v>
      </c>
      <c r="BQ22" s="54">
        <f t="shared" si="9"/>
        <v>0</v>
      </c>
      <c r="BR22" s="54">
        <f t="shared" si="10"/>
        <v>0</v>
      </c>
      <c r="BS22" s="54">
        <f t="shared" si="11"/>
        <v>0</v>
      </c>
      <c r="BT22" s="54">
        <f t="shared" si="36"/>
        <v>0</v>
      </c>
      <c r="BU22" s="54">
        <f t="shared" si="37"/>
        <v>1383.26</v>
      </c>
      <c r="BV22" s="54">
        <f t="shared" si="38"/>
        <v>0</v>
      </c>
      <c r="BW22" s="54">
        <f t="shared" si="15"/>
        <v>1383.26</v>
      </c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 ht="15.75" customHeight="1">
      <c r="A23" s="56"/>
      <c r="B23" s="426" t="s">
        <v>156</v>
      </c>
      <c r="C23" s="394" t="s">
        <v>146</v>
      </c>
      <c r="D23" s="44" t="s">
        <v>157</v>
      </c>
      <c r="E23" s="45"/>
      <c r="F23" s="46"/>
      <c r="G23" s="46">
        <f t="shared" si="18"/>
        <v>0</v>
      </c>
      <c r="H23" s="46"/>
      <c r="I23" s="47">
        <f t="shared" si="19"/>
        <v>0</v>
      </c>
      <c r="J23" s="47">
        <f t="shared" si="20"/>
        <v>0</v>
      </c>
      <c r="K23" s="54"/>
      <c r="L23" s="54">
        <v>238</v>
      </c>
      <c r="M23" s="48">
        <v>238</v>
      </c>
      <c r="N23" s="54"/>
      <c r="O23" s="51">
        <f t="shared" si="21"/>
        <v>0</v>
      </c>
      <c r="P23" s="51">
        <f t="shared" si="22"/>
        <v>0</v>
      </c>
      <c r="Q23" s="51">
        <f t="shared" si="23"/>
        <v>0</v>
      </c>
      <c r="R23" s="52">
        <f t="shared" si="24"/>
        <v>0</v>
      </c>
      <c r="S23" s="52">
        <f t="shared" si="25"/>
        <v>0</v>
      </c>
      <c r="T23" s="52">
        <f t="shared" si="26"/>
        <v>0</v>
      </c>
      <c r="U23" s="369">
        <f t="shared" si="27"/>
        <v>0</v>
      </c>
      <c r="V23" s="369">
        <f t="shared" si="28"/>
        <v>0</v>
      </c>
      <c r="W23" s="369">
        <f t="shared" si="29"/>
        <v>0</v>
      </c>
      <c r="X23" s="53">
        <f t="shared" si="1"/>
        <v>0</v>
      </c>
      <c r="Y23" s="53">
        <f t="shared" si="2"/>
        <v>0</v>
      </c>
      <c r="Z23" s="53">
        <f t="shared" si="3"/>
        <v>0</v>
      </c>
      <c r="AA23" s="54"/>
      <c r="AB23" s="54"/>
      <c r="AC23" s="54"/>
      <c r="AD23" s="54"/>
      <c r="AE23" s="55"/>
      <c r="AF23" s="55"/>
      <c r="AG23" s="55"/>
      <c r="AH23" s="55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>
        <f t="shared" si="33"/>
        <v>0</v>
      </c>
      <c r="BO23" s="58">
        <f t="shared" si="34"/>
        <v>0</v>
      </c>
      <c r="BP23" s="54">
        <f t="shared" si="35"/>
        <v>0</v>
      </c>
      <c r="BQ23" s="54">
        <f t="shared" si="9"/>
        <v>0</v>
      </c>
      <c r="BR23" s="54">
        <f t="shared" si="10"/>
        <v>0</v>
      </c>
      <c r="BS23" s="54">
        <f t="shared" si="11"/>
        <v>0</v>
      </c>
      <c r="BT23" s="54">
        <f t="shared" si="36"/>
        <v>0</v>
      </c>
      <c r="BU23" s="54">
        <f t="shared" si="37"/>
        <v>0</v>
      </c>
      <c r="BV23" s="54">
        <f t="shared" si="38"/>
        <v>0</v>
      </c>
      <c r="BW23" s="54">
        <f t="shared" si="15"/>
        <v>0</v>
      </c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 ht="15.75" customHeight="1">
      <c r="A24" s="56"/>
      <c r="B24" s="426" t="s">
        <v>158</v>
      </c>
      <c r="C24" s="394" t="s">
        <v>146</v>
      </c>
      <c r="D24" s="44" t="s">
        <v>159</v>
      </c>
      <c r="E24" s="45"/>
      <c r="F24" s="46"/>
      <c r="G24" s="46">
        <f t="shared" si="18"/>
        <v>0</v>
      </c>
      <c r="H24" s="46"/>
      <c r="I24" s="47">
        <f t="shared" si="19"/>
        <v>0</v>
      </c>
      <c r="J24" s="47">
        <f t="shared" si="20"/>
        <v>0</v>
      </c>
      <c r="K24" s="54"/>
      <c r="L24" s="54">
        <v>105</v>
      </c>
      <c r="M24" s="48">
        <v>105</v>
      </c>
      <c r="N24" s="54"/>
      <c r="O24" s="51">
        <f t="shared" si="21"/>
        <v>0</v>
      </c>
      <c r="P24" s="51">
        <f t="shared" si="22"/>
        <v>0</v>
      </c>
      <c r="Q24" s="51">
        <f t="shared" si="23"/>
        <v>0</v>
      </c>
      <c r="R24" s="52">
        <f t="shared" si="24"/>
        <v>0</v>
      </c>
      <c r="S24" s="52">
        <f t="shared" si="25"/>
        <v>0</v>
      </c>
      <c r="T24" s="52">
        <f t="shared" si="26"/>
        <v>0</v>
      </c>
      <c r="U24" s="369">
        <f t="shared" si="27"/>
        <v>0</v>
      </c>
      <c r="V24" s="369">
        <f t="shared" si="28"/>
        <v>0</v>
      </c>
      <c r="W24" s="369">
        <f t="shared" si="29"/>
        <v>0</v>
      </c>
      <c r="X24" s="53">
        <f t="shared" si="1"/>
        <v>0</v>
      </c>
      <c r="Y24" s="53">
        <f t="shared" si="2"/>
        <v>0</v>
      </c>
      <c r="Z24" s="53">
        <f t="shared" si="3"/>
        <v>0</v>
      </c>
      <c r="AA24" s="54"/>
      <c r="AB24" s="54"/>
      <c r="AC24" s="54"/>
      <c r="AD24" s="54"/>
      <c r="AE24" s="55"/>
      <c r="AF24" s="55"/>
      <c r="AG24" s="55"/>
      <c r="AH24" s="55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>
        <f t="shared" si="33"/>
        <v>0</v>
      </c>
      <c r="BO24" s="58">
        <f t="shared" si="34"/>
        <v>0</v>
      </c>
      <c r="BP24" s="54">
        <f t="shared" si="35"/>
        <v>0</v>
      </c>
      <c r="BQ24" s="54">
        <f t="shared" si="9"/>
        <v>0</v>
      </c>
      <c r="BR24" s="54">
        <f t="shared" si="10"/>
        <v>0</v>
      </c>
      <c r="BS24" s="54">
        <f t="shared" si="11"/>
        <v>0</v>
      </c>
      <c r="BT24" s="54">
        <f t="shared" si="36"/>
        <v>0</v>
      </c>
      <c r="BU24" s="54">
        <f t="shared" si="37"/>
        <v>0</v>
      </c>
      <c r="BV24" s="54">
        <f t="shared" si="38"/>
        <v>0</v>
      </c>
      <c r="BW24" s="54">
        <f t="shared" si="15"/>
        <v>0</v>
      </c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 ht="15.75" customHeight="1">
      <c r="A25" s="56"/>
      <c r="B25" s="426" t="s">
        <v>160</v>
      </c>
      <c r="C25" s="394" t="s">
        <v>146</v>
      </c>
      <c r="D25" s="44" t="s">
        <v>161</v>
      </c>
      <c r="E25" s="45"/>
      <c r="F25" s="46"/>
      <c r="G25" s="46">
        <f t="shared" si="18"/>
        <v>0</v>
      </c>
      <c r="H25" s="46"/>
      <c r="I25" s="47">
        <f t="shared" si="19"/>
        <v>0</v>
      </c>
      <c r="J25" s="47">
        <f t="shared" si="20"/>
        <v>0</v>
      </c>
      <c r="K25" s="54"/>
      <c r="L25" s="54">
        <v>2298</v>
      </c>
      <c r="M25" s="48">
        <v>2298</v>
      </c>
      <c r="N25" s="54"/>
      <c r="O25" s="51">
        <f t="shared" si="21"/>
        <v>0</v>
      </c>
      <c r="P25" s="51">
        <f t="shared" si="22"/>
        <v>0</v>
      </c>
      <c r="Q25" s="51">
        <f t="shared" si="23"/>
        <v>0</v>
      </c>
      <c r="R25" s="52">
        <f t="shared" si="24"/>
        <v>0</v>
      </c>
      <c r="S25" s="52">
        <f t="shared" si="25"/>
        <v>0</v>
      </c>
      <c r="T25" s="52">
        <f t="shared" si="26"/>
        <v>0</v>
      </c>
      <c r="U25" s="369">
        <f t="shared" si="27"/>
        <v>0</v>
      </c>
      <c r="V25" s="369">
        <f t="shared" si="28"/>
        <v>0</v>
      </c>
      <c r="W25" s="369">
        <f t="shared" si="29"/>
        <v>0</v>
      </c>
      <c r="X25" s="53">
        <f t="shared" si="1"/>
        <v>0</v>
      </c>
      <c r="Y25" s="53">
        <f t="shared" si="2"/>
        <v>0</v>
      </c>
      <c r="Z25" s="53">
        <f t="shared" si="3"/>
        <v>0</v>
      </c>
      <c r="AA25" s="54"/>
      <c r="AB25" s="54"/>
      <c r="AC25" s="54"/>
      <c r="AD25" s="54"/>
      <c r="AE25" s="55"/>
      <c r="AF25" s="55"/>
      <c r="AG25" s="55"/>
      <c r="AH25" s="55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>
        <f t="shared" si="33"/>
        <v>0</v>
      </c>
      <c r="BO25" s="58">
        <f t="shared" si="34"/>
        <v>0</v>
      </c>
      <c r="BP25" s="54">
        <f t="shared" si="35"/>
        <v>0</v>
      </c>
      <c r="BQ25" s="54">
        <f t="shared" si="9"/>
        <v>0</v>
      </c>
      <c r="BR25" s="54">
        <f t="shared" si="10"/>
        <v>0</v>
      </c>
      <c r="BS25" s="54">
        <f t="shared" si="11"/>
        <v>0</v>
      </c>
      <c r="BT25" s="54">
        <f t="shared" si="36"/>
        <v>0</v>
      </c>
      <c r="BU25" s="54">
        <f t="shared" si="37"/>
        <v>0</v>
      </c>
      <c r="BV25" s="54">
        <f t="shared" si="38"/>
        <v>0</v>
      </c>
      <c r="BW25" s="54">
        <f t="shared" si="15"/>
        <v>0</v>
      </c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5" ht="15.75" customHeight="1">
      <c r="A26" s="56"/>
      <c r="B26" s="426" t="s">
        <v>162</v>
      </c>
      <c r="C26" s="394" t="s">
        <v>146</v>
      </c>
      <c r="D26" s="44" t="s">
        <v>163</v>
      </c>
      <c r="E26" s="45"/>
      <c r="F26" s="46"/>
      <c r="G26" s="46">
        <f t="shared" si="18"/>
        <v>0</v>
      </c>
      <c r="H26" s="46"/>
      <c r="I26" s="47">
        <f t="shared" si="19"/>
        <v>0</v>
      </c>
      <c r="J26" s="47">
        <f t="shared" si="20"/>
        <v>0</v>
      </c>
      <c r="K26" s="54"/>
      <c r="L26" s="54">
        <v>5000</v>
      </c>
      <c r="M26" s="48">
        <v>5000</v>
      </c>
      <c r="N26" s="54"/>
      <c r="O26" s="51">
        <f t="shared" si="21"/>
        <v>0</v>
      </c>
      <c r="P26" s="51">
        <f t="shared" si="22"/>
        <v>0</v>
      </c>
      <c r="Q26" s="51">
        <f t="shared" si="23"/>
        <v>0</v>
      </c>
      <c r="R26" s="52">
        <f t="shared" si="24"/>
        <v>0</v>
      </c>
      <c r="S26" s="52">
        <f t="shared" si="25"/>
        <v>0</v>
      </c>
      <c r="T26" s="52">
        <f t="shared" si="26"/>
        <v>0</v>
      </c>
      <c r="U26" s="369">
        <f t="shared" si="27"/>
        <v>0</v>
      </c>
      <c r="V26" s="369">
        <f t="shared" si="28"/>
        <v>0</v>
      </c>
      <c r="W26" s="369">
        <f t="shared" si="29"/>
        <v>0</v>
      </c>
      <c r="X26" s="53">
        <f t="shared" si="1"/>
        <v>0</v>
      </c>
      <c r="Y26" s="53">
        <f t="shared" si="2"/>
        <v>0</v>
      </c>
      <c r="Z26" s="53">
        <f t="shared" si="3"/>
        <v>0</v>
      </c>
      <c r="AA26" s="54"/>
      <c r="AB26" s="54"/>
      <c r="AC26" s="54"/>
      <c r="AD26" s="54"/>
      <c r="AE26" s="55"/>
      <c r="AF26" s="55"/>
      <c r="AG26" s="55"/>
      <c r="AH26" s="55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>
        <f t="shared" si="33"/>
        <v>0</v>
      </c>
      <c r="BO26" s="58">
        <f t="shared" si="34"/>
        <v>0</v>
      </c>
      <c r="BP26" s="54">
        <f t="shared" si="35"/>
        <v>0</v>
      </c>
      <c r="BQ26" s="54">
        <f t="shared" si="9"/>
        <v>0</v>
      </c>
      <c r="BR26" s="54">
        <f t="shared" si="10"/>
        <v>0</v>
      </c>
      <c r="BS26" s="54">
        <f t="shared" si="11"/>
        <v>0</v>
      </c>
      <c r="BT26" s="54">
        <f t="shared" si="36"/>
        <v>0</v>
      </c>
      <c r="BU26" s="54">
        <f t="shared" si="37"/>
        <v>0</v>
      </c>
      <c r="BV26" s="54">
        <f t="shared" si="38"/>
        <v>0</v>
      </c>
      <c r="BW26" s="54">
        <f t="shared" si="15"/>
        <v>0</v>
      </c>
      <c r="BX26" s="1"/>
      <c r="BY26" s="1"/>
      <c r="BZ26" s="1"/>
      <c r="CA26" s="1"/>
      <c r="CB26" s="1"/>
      <c r="CC26" s="1"/>
      <c r="CD26" s="1"/>
      <c r="CE26" s="1"/>
      <c r="CF26" s="1"/>
      <c r="CG26" s="1"/>
    </row>
    <row r="27" spans="1:85" ht="15.75" customHeight="1">
      <c r="A27" s="56"/>
      <c r="B27" s="426" t="s">
        <v>164</v>
      </c>
      <c r="C27" s="394" t="s">
        <v>146</v>
      </c>
      <c r="D27" s="44" t="s">
        <v>157</v>
      </c>
      <c r="E27" s="45"/>
      <c r="F27" s="46"/>
      <c r="G27" s="46">
        <f t="shared" si="18"/>
        <v>0</v>
      </c>
      <c r="H27" s="46"/>
      <c r="I27" s="47">
        <f t="shared" si="19"/>
        <v>0</v>
      </c>
      <c r="J27" s="47">
        <f t="shared" si="20"/>
        <v>0</v>
      </c>
      <c r="K27" s="54"/>
      <c r="L27" s="54">
        <v>1150</v>
      </c>
      <c r="M27" s="48">
        <v>1150</v>
      </c>
      <c r="N27" s="54"/>
      <c r="O27" s="51">
        <f t="shared" si="21"/>
        <v>0</v>
      </c>
      <c r="P27" s="51">
        <f t="shared" si="22"/>
        <v>0</v>
      </c>
      <c r="Q27" s="51">
        <f t="shared" si="23"/>
        <v>0</v>
      </c>
      <c r="R27" s="52">
        <f t="shared" si="24"/>
        <v>0</v>
      </c>
      <c r="S27" s="52">
        <f t="shared" si="25"/>
        <v>0</v>
      </c>
      <c r="T27" s="52">
        <f t="shared" si="26"/>
        <v>0</v>
      </c>
      <c r="U27" s="369">
        <f t="shared" si="27"/>
        <v>0</v>
      </c>
      <c r="V27" s="369">
        <f t="shared" si="28"/>
        <v>0</v>
      </c>
      <c r="W27" s="369">
        <f t="shared" si="29"/>
        <v>0</v>
      </c>
      <c r="X27" s="53">
        <f t="shared" si="1"/>
        <v>0</v>
      </c>
      <c r="Y27" s="53">
        <f t="shared" si="2"/>
        <v>0</v>
      </c>
      <c r="Z27" s="53">
        <f t="shared" si="3"/>
        <v>0</v>
      </c>
      <c r="AA27" s="54"/>
      <c r="AB27" s="54"/>
      <c r="AC27" s="54"/>
      <c r="AD27" s="54"/>
      <c r="AE27" s="55"/>
      <c r="AF27" s="55"/>
      <c r="AG27" s="55"/>
      <c r="AH27" s="55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>
        <f t="shared" si="33"/>
        <v>0</v>
      </c>
      <c r="BO27" s="58">
        <f t="shared" si="34"/>
        <v>0</v>
      </c>
      <c r="BP27" s="54">
        <f t="shared" si="35"/>
        <v>0</v>
      </c>
      <c r="BQ27" s="54">
        <f t="shared" si="9"/>
        <v>0</v>
      </c>
      <c r="BR27" s="54">
        <f t="shared" si="10"/>
        <v>0</v>
      </c>
      <c r="BS27" s="54">
        <f t="shared" si="11"/>
        <v>0</v>
      </c>
      <c r="BT27" s="54">
        <f t="shared" si="36"/>
        <v>0</v>
      </c>
      <c r="BU27" s="54">
        <f t="shared" si="37"/>
        <v>0</v>
      </c>
      <c r="BV27" s="54">
        <f t="shared" si="38"/>
        <v>0</v>
      </c>
      <c r="BW27" s="54">
        <f t="shared" si="15"/>
        <v>0</v>
      </c>
      <c r="BX27" s="1"/>
      <c r="BY27" s="1"/>
      <c r="BZ27" s="1"/>
      <c r="CA27" s="1"/>
      <c r="CB27" s="1"/>
      <c r="CC27" s="1"/>
      <c r="CD27" s="1"/>
      <c r="CE27" s="1"/>
      <c r="CF27" s="1"/>
      <c r="CG27" s="1"/>
    </row>
    <row r="28" spans="1:85" ht="15.75" customHeight="1">
      <c r="A28" s="56"/>
      <c r="B28" s="426" t="s">
        <v>165</v>
      </c>
      <c r="C28" s="394" t="s">
        <v>166</v>
      </c>
      <c r="D28" s="73" t="s">
        <v>167</v>
      </c>
      <c r="E28" s="45">
        <v>5000</v>
      </c>
      <c r="F28" s="46"/>
      <c r="G28" s="46">
        <f t="shared" si="18"/>
        <v>5000</v>
      </c>
      <c r="H28" s="46"/>
      <c r="I28" s="47">
        <f t="shared" si="19"/>
        <v>0</v>
      </c>
      <c r="J28" s="47">
        <f t="shared" si="20"/>
        <v>0</v>
      </c>
      <c r="K28" s="54"/>
      <c r="L28" s="54">
        <v>239.6</v>
      </c>
      <c r="M28" s="48">
        <v>239.6</v>
      </c>
      <c r="N28" s="54"/>
      <c r="O28" s="51">
        <f t="shared" si="21"/>
        <v>0</v>
      </c>
      <c r="P28" s="51">
        <f t="shared" si="22"/>
        <v>0</v>
      </c>
      <c r="Q28" s="51">
        <f t="shared" si="23"/>
        <v>0</v>
      </c>
      <c r="R28" s="52">
        <f t="shared" si="24"/>
        <v>0</v>
      </c>
      <c r="S28" s="52">
        <f t="shared" si="25"/>
        <v>0</v>
      </c>
      <c r="T28" s="52">
        <f t="shared" si="26"/>
        <v>0</v>
      </c>
      <c r="U28" s="369">
        <f t="shared" si="27"/>
        <v>0</v>
      </c>
      <c r="V28" s="369">
        <f t="shared" si="28"/>
        <v>0</v>
      </c>
      <c r="W28" s="369">
        <f t="shared" si="29"/>
        <v>0</v>
      </c>
      <c r="X28" s="53">
        <f t="shared" si="1"/>
        <v>0</v>
      </c>
      <c r="Y28" s="53">
        <f t="shared" si="2"/>
        <v>0</v>
      </c>
      <c r="Z28" s="53">
        <f t="shared" si="3"/>
        <v>0</v>
      </c>
      <c r="AA28" s="54"/>
      <c r="AB28" s="54"/>
      <c r="AC28" s="54"/>
      <c r="AD28" s="54"/>
      <c r="AE28" s="55"/>
      <c r="AF28" s="55"/>
      <c r="AG28" s="55"/>
      <c r="AH28" s="55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>
        <f t="shared" si="33"/>
        <v>0</v>
      </c>
      <c r="BO28" s="58">
        <f t="shared" si="34"/>
        <v>0</v>
      </c>
      <c r="BP28" s="54">
        <f t="shared" si="35"/>
        <v>0</v>
      </c>
      <c r="BQ28" s="54">
        <f t="shared" si="9"/>
        <v>0</v>
      </c>
      <c r="BR28" s="54">
        <f t="shared" si="10"/>
        <v>0</v>
      </c>
      <c r="BS28" s="54">
        <f t="shared" si="11"/>
        <v>0</v>
      </c>
      <c r="BT28" s="54">
        <f t="shared" si="36"/>
        <v>0</v>
      </c>
      <c r="BU28" s="54">
        <f t="shared" si="37"/>
        <v>0</v>
      </c>
      <c r="BV28" s="54">
        <f t="shared" si="38"/>
        <v>0</v>
      </c>
      <c r="BW28" s="54">
        <f t="shared" si="15"/>
        <v>0</v>
      </c>
      <c r="BX28" s="1"/>
      <c r="BY28" s="1"/>
      <c r="BZ28" s="1"/>
      <c r="CA28" s="1"/>
      <c r="CB28" s="1"/>
      <c r="CC28" s="1"/>
      <c r="CD28" s="1"/>
      <c r="CE28" s="1"/>
      <c r="CF28" s="1"/>
      <c r="CG28" s="1"/>
    </row>
    <row r="29" spans="1:85" ht="15.75" customHeight="1">
      <c r="A29" s="43" t="s">
        <v>168</v>
      </c>
      <c r="B29" s="426" t="s">
        <v>149</v>
      </c>
      <c r="C29" s="394" t="s">
        <v>169</v>
      </c>
      <c r="D29" s="73" t="s">
        <v>170</v>
      </c>
      <c r="E29" s="75">
        <v>60000</v>
      </c>
      <c r="F29" s="46"/>
      <c r="G29" s="46">
        <f t="shared" si="18"/>
        <v>60000</v>
      </c>
      <c r="H29" s="46"/>
      <c r="I29" s="47">
        <f t="shared" si="19"/>
        <v>2.1588333333333331E-2</v>
      </c>
      <c r="J29" s="47">
        <f t="shared" si="20"/>
        <v>2.1588333333333331E-2</v>
      </c>
      <c r="K29" s="48">
        <v>1295.3</v>
      </c>
      <c r="L29" s="54">
        <v>3549.08</v>
      </c>
      <c r="M29" s="48">
        <v>3549.08</v>
      </c>
      <c r="N29" s="54"/>
      <c r="O29" s="51">
        <f t="shared" si="21"/>
        <v>1295.3</v>
      </c>
      <c r="P29" s="51">
        <f t="shared" si="22"/>
        <v>0</v>
      </c>
      <c r="Q29" s="51">
        <f t="shared" si="23"/>
        <v>0</v>
      </c>
      <c r="R29" s="52">
        <f t="shared" si="24"/>
        <v>1295.3</v>
      </c>
      <c r="S29" s="52">
        <f t="shared" si="25"/>
        <v>0</v>
      </c>
      <c r="T29" s="52">
        <f t="shared" si="26"/>
        <v>0</v>
      </c>
      <c r="U29" s="369">
        <f t="shared" si="27"/>
        <v>0</v>
      </c>
      <c r="V29" s="369">
        <f t="shared" si="28"/>
        <v>0</v>
      </c>
      <c r="W29" s="369">
        <f t="shared" si="29"/>
        <v>0</v>
      </c>
      <c r="X29" s="53">
        <f t="shared" si="1"/>
        <v>1</v>
      </c>
      <c r="Y29" s="53">
        <f t="shared" si="2"/>
        <v>0</v>
      </c>
      <c r="Z29" s="53">
        <f t="shared" si="3"/>
        <v>0</v>
      </c>
      <c r="AA29" s="54"/>
      <c r="AB29" s="54"/>
      <c r="AC29" s="54"/>
      <c r="AD29" s="54"/>
      <c r="AE29" s="55"/>
      <c r="AF29" s="55"/>
      <c r="AG29" s="55"/>
      <c r="AH29" s="55"/>
      <c r="AI29" s="54"/>
      <c r="AJ29" s="48">
        <v>1295.3</v>
      </c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>
        <f t="shared" si="33"/>
        <v>1295.3</v>
      </c>
      <c r="BO29" s="58">
        <f t="shared" si="34"/>
        <v>0</v>
      </c>
      <c r="BP29" s="54">
        <f t="shared" si="35"/>
        <v>1295.3</v>
      </c>
      <c r="BQ29" s="54">
        <f t="shared" si="9"/>
        <v>0</v>
      </c>
      <c r="BR29" s="54">
        <f t="shared" si="10"/>
        <v>0</v>
      </c>
      <c r="BS29" s="54">
        <f t="shared" si="11"/>
        <v>0</v>
      </c>
      <c r="BT29" s="54">
        <f t="shared" si="36"/>
        <v>0</v>
      </c>
      <c r="BU29" s="54">
        <f t="shared" si="37"/>
        <v>1295.3</v>
      </c>
      <c r="BV29" s="54">
        <f t="shared" si="38"/>
        <v>0</v>
      </c>
      <c r="BW29" s="54">
        <f t="shared" si="15"/>
        <v>1295.3</v>
      </c>
      <c r="BX29" s="1"/>
      <c r="BY29" s="1"/>
      <c r="BZ29" s="1"/>
      <c r="CA29" s="1"/>
      <c r="CB29" s="1"/>
      <c r="CC29" s="1"/>
      <c r="CD29" s="1"/>
      <c r="CE29" s="1"/>
      <c r="CF29" s="1"/>
      <c r="CG29" s="1"/>
    </row>
    <row r="30" spans="1:85" ht="15.75" customHeight="1">
      <c r="A30" s="43" t="s">
        <v>171</v>
      </c>
      <c r="B30" s="426"/>
      <c r="C30" s="394" t="s">
        <v>169</v>
      </c>
      <c r="D30" s="73" t="s">
        <v>172</v>
      </c>
      <c r="E30" s="45"/>
      <c r="F30" s="46"/>
      <c r="G30" s="46">
        <f t="shared" si="18"/>
        <v>0</v>
      </c>
      <c r="H30" s="46"/>
      <c r="I30" s="47">
        <f t="shared" si="19"/>
        <v>0</v>
      </c>
      <c r="J30" s="47">
        <f t="shared" si="20"/>
        <v>0</v>
      </c>
      <c r="K30" s="48">
        <v>1810.4</v>
      </c>
      <c r="L30" s="54"/>
      <c r="M30" s="54"/>
      <c r="N30" s="54"/>
      <c r="O30" s="51">
        <f t="shared" si="21"/>
        <v>1810.4</v>
      </c>
      <c r="P30" s="51">
        <f t="shared" si="22"/>
        <v>0</v>
      </c>
      <c r="Q30" s="51">
        <f t="shared" si="23"/>
        <v>0</v>
      </c>
      <c r="R30" s="52">
        <f t="shared" si="24"/>
        <v>1810.4</v>
      </c>
      <c r="S30" s="52">
        <f t="shared" si="25"/>
        <v>0</v>
      </c>
      <c r="T30" s="52">
        <f t="shared" si="26"/>
        <v>0</v>
      </c>
      <c r="U30" s="369">
        <f t="shared" si="27"/>
        <v>0</v>
      </c>
      <c r="V30" s="369">
        <f t="shared" si="28"/>
        <v>0</v>
      </c>
      <c r="W30" s="369">
        <f t="shared" si="29"/>
        <v>0</v>
      </c>
      <c r="X30" s="53">
        <f t="shared" si="1"/>
        <v>1</v>
      </c>
      <c r="Y30" s="53">
        <f t="shared" si="2"/>
        <v>0</v>
      </c>
      <c r="Z30" s="53">
        <f t="shared" si="3"/>
        <v>0</v>
      </c>
      <c r="AA30" s="54"/>
      <c r="AB30" s="54"/>
      <c r="AC30" s="54"/>
      <c r="AD30" s="54"/>
      <c r="AE30" s="55"/>
      <c r="AF30" s="55"/>
      <c r="AG30" s="76">
        <v>1810.4</v>
      </c>
      <c r="AH30" s="55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>
        <f t="shared" si="33"/>
        <v>1810.4</v>
      </c>
      <c r="BO30" s="58">
        <f t="shared" si="34"/>
        <v>0</v>
      </c>
      <c r="BP30" s="54">
        <f t="shared" si="35"/>
        <v>1810.4</v>
      </c>
      <c r="BQ30" s="54">
        <f t="shared" si="9"/>
        <v>0</v>
      </c>
      <c r="BR30" s="54">
        <f t="shared" si="10"/>
        <v>0</v>
      </c>
      <c r="BS30" s="54">
        <f t="shared" si="11"/>
        <v>0</v>
      </c>
      <c r="BT30" s="54">
        <f t="shared" si="36"/>
        <v>0</v>
      </c>
      <c r="BU30" s="54">
        <f t="shared" si="37"/>
        <v>1810.4</v>
      </c>
      <c r="BV30" s="54">
        <f t="shared" si="38"/>
        <v>0</v>
      </c>
      <c r="BW30" s="54">
        <f t="shared" si="15"/>
        <v>1810.4</v>
      </c>
      <c r="BX30" s="1"/>
      <c r="BY30" s="1"/>
      <c r="BZ30" s="1"/>
      <c r="CA30" s="1"/>
      <c r="CB30" s="1"/>
      <c r="CC30" s="1"/>
      <c r="CD30" s="1"/>
      <c r="CE30" s="1"/>
      <c r="CF30" s="1"/>
      <c r="CG30" s="1"/>
    </row>
    <row r="31" spans="1:85" ht="15.75" customHeight="1">
      <c r="A31" s="43" t="s">
        <v>173</v>
      </c>
      <c r="B31" s="426"/>
      <c r="C31" s="394" t="s">
        <v>169</v>
      </c>
      <c r="D31" s="73" t="s">
        <v>174</v>
      </c>
      <c r="E31" s="45"/>
      <c r="F31" s="46"/>
      <c r="G31" s="46">
        <f t="shared" si="18"/>
        <v>0</v>
      </c>
      <c r="H31" s="46"/>
      <c r="I31" s="47">
        <f t="shared" si="19"/>
        <v>0</v>
      </c>
      <c r="J31" s="47">
        <f t="shared" si="20"/>
        <v>0</v>
      </c>
      <c r="K31" s="48">
        <v>3899.7</v>
      </c>
      <c r="L31" s="54"/>
      <c r="M31" s="54"/>
      <c r="N31" s="54"/>
      <c r="O31" s="51">
        <f t="shared" si="21"/>
        <v>3899.7</v>
      </c>
      <c r="P31" s="51">
        <f t="shared" si="22"/>
        <v>0</v>
      </c>
      <c r="Q31" s="51">
        <f t="shared" si="23"/>
        <v>0</v>
      </c>
      <c r="R31" s="52">
        <f t="shared" si="24"/>
        <v>3899.7</v>
      </c>
      <c r="S31" s="52">
        <f t="shared" si="25"/>
        <v>0</v>
      </c>
      <c r="T31" s="52">
        <f t="shared" si="26"/>
        <v>0</v>
      </c>
      <c r="U31" s="369">
        <f t="shared" si="27"/>
        <v>0</v>
      </c>
      <c r="V31" s="369">
        <f t="shared" si="28"/>
        <v>0</v>
      </c>
      <c r="W31" s="369">
        <f t="shared" si="29"/>
        <v>0</v>
      </c>
      <c r="X31" s="53">
        <f t="shared" si="1"/>
        <v>1</v>
      </c>
      <c r="Y31" s="53">
        <f t="shared" si="2"/>
        <v>0</v>
      </c>
      <c r="Z31" s="53">
        <f t="shared" si="3"/>
        <v>0</v>
      </c>
      <c r="AA31" s="54"/>
      <c r="AB31" s="54"/>
      <c r="AC31" s="54"/>
      <c r="AD31" s="54"/>
      <c r="AE31" s="55"/>
      <c r="AF31" s="55"/>
      <c r="AG31" s="55"/>
      <c r="AH31" s="55"/>
      <c r="AI31" s="54"/>
      <c r="AJ31" s="54"/>
      <c r="AK31" s="54"/>
      <c r="AL31" s="54"/>
      <c r="AM31" s="54"/>
      <c r="AN31" s="54"/>
      <c r="AO31" s="54"/>
      <c r="AP31" s="54">
        <f>3889.7+10</f>
        <v>3899.7</v>
      </c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>
        <f t="shared" si="33"/>
        <v>3899.7</v>
      </c>
      <c r="BO31" s="58">
        <f t="shared" si="34"/>
        <v>0</v>
      </c>
      <c r="BP31" s="54">
        <f t="shared" si="35"/>
        <v>3899.7</v>
      </c>
      <c r="BQ31" s="54">
        <f t="shared" si="9"/>
        <v>0</v>
      </c>
      <c r="BR31" s="54">
        <f t="shared" si="10"/>
        <v>0</v>
      </c>
      <c r="BS31" s="54">
        <f t="shared" si="11"/>
        <v>0</v>
      </c>
      <c r="BT31" s="54">
        <f t="shared" si="36"/>
        <v>0</v>
      </c>
      <c r="BU31" s="54">
        <f t="shared" si="37"/>
        <v>3899.7</v>
      </c>
      <c r="BV31" s="54">
        <f t="shared" si="38"/>
        <v>0</v>
      </c>
      <c r="BW31" s="54">
        <f t="shared" si="15"/>
        <v>3899.7</v>
      </c>
      <c r="BX31" s="1"/>
      <c r="BY31" s="1"/>
      <c r="BZ31" s="1"/>
      <c r="CA31" s="1"/>
      <c r="CB31" s="1"/>
      <c r="CC31" s="1"/>
      <c r="CD31" s="1"/>
      <c r="CE31" s="1"/>
      <c r="CF31" s="1"/>
      <c r="CG31" s="1"/>
    </row>
    <row r="32" spans="1:85" ht="15.75" customHeight="1">
      <c r="A32" s="43" t="s">
        <v>175</v>
      </c>
      <c r="B32" s="426"/>
      <c r="C32" s="394" t="s">
        <v>169</v>
      </c>
      <c r="D32" s="73" t="s">
        <v>176</v>
      </c>
      <c r="E32" s="45"/>
      <c r="F32" s="46"/>
      <c r="G32" s="46">
        <f t="shared" si="18"/>
        <v>0</v>
      </c>
      <c r="H32" s="46"/>
      <c r="I32" s="47">
        <f t="shared" si="19"/>
        <v>0</v>
      </c>
      <c r="J32" s="47">
        <f t="shared" si="20"/>
        <v>0</v>
      </c>
      <c r="K32" s="48">
        <v>1108.5</v>
      </c>
      <c r="L32" s="54"/>
      <c r="M32" s="54"/>
      <c r="N32" s="54"/>
      <c r="O32" s="51">
        <f t="shared" si="21"/>
        <v>1108.5</v>
      </c>
      <c r="P32" s="51">
        <f t="shared" si="22"/>
        <v>0</v>
      </c>
      <c r="Q32" s="51">
        <f t="shared" si="23"/>
        <v>0</v>
      </c>
      <c r="R32" s="52">
        <f t="shared" si="24"/>
        <v>1108.5</v>
      </c>
      <c r="S32" s="52">
        <f t="shared" si="25"/>
        <v>0</v>
      </c>
      <c r="T32" s="52">
        <f t="shared" si="26"/>
        <v>0</v>
      </c>
      <c r="U32" s="369">
        <f t="shared" si="27"/>
        <v>0</v>
      </c>
      <c r="V32" s="369">
        <f t="shared" si="28"/>
        <v>0</v>
      </c>
      <c r="W32" s="369">
        <f t="shared" si="29"/>
        <v>0</v>
      </c>
      <c r="X32" s="53">
        <f t="shared" si="1"/>
        <v>1</v>
      </c>
      <c r="Y32" s="53">
        <f t="shared" si="2"/>
        <v>0</v>
      </c>
      <c r="Z32" s="53">
        <f t="shared" si="3"/>
        <v>0</v>
      </c>
      <c r="AA32" s="54"/>
      <c r="AB32" s="54"/>
      <c r="AC32" s="54"/>
      <c r="AD32" s="54"/>
      <c r="AE32" s="55"/>
      <c r="AF32" s="55"/>
      <c r="AG32" s="55"/>
      <c r="AH32" s="55"/>
      <c r="AI32" s="54"/>
      <c r="AJ32" s="54"/>
      <c r="AK32" s="54"/>
      <c r="AL32" s="54"/>
      <c r="AM32" s="54"/>
      <c r="AN32" s="54"/>
      <c r="AO32" s="54"/>
      <c r="AP32" s="48">
        <v>1108.5</v>
      </c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>
        <f t="shared" si="33"/>
        <v>1108.5</v>
      </c>
      <c r="BO32" s="58">
        <f t="shared" si="34"/>
        <v>0</v>
      </c>
      <c r="BP32" s="54">
        <f t="shared" si="35"/>
        <v>1108.5</v>
      </c>
      <c r="BQ32" s="54">
        <f t="shared" si="9"/>
        <v>0</v>
      </c>
      <c r="BR32" s="54">
        <f t="shared" si="10"/>
        <v>0</v>
      </c>
      <c r="BS32" s="54">
        <f t="shared" si="11"/>
        <v>0</v>
      </c>
      <c r="BT32" s="54">
        <f t="shared" si="36"/>
        <v>0</v>
      </c>
      <c r="BU32" s="54">
        <f t="shared" si="37"/>
        <v>1108.5</v>
      </c>
      <c r="BV32" s="54">
        <f t="shared" si="38"/>
        <v>0</v>
      </c>
      <c r="BW32" s="54">
        <f t="shared" si="15"/>
        <v>1108.5</v>
      </c>
      <c r="BX32" s="1"/>
      <c r="BY32" s="1"/>
      <c r="BZ32" s="1"/>
      <c r="CA32" s="1"/>
      <c r="CB32" s="1"/>
      <c r="CC32" s="1"/>
      <c r="CD32" s="1"/>
      <c r="CE32" s="1"/>
      <c r="CF32" s="1"/>
      <c r="CG32" s="1"/>
    </row>
    <row r="33" spans="1:85" ht="15.75" customHeight="1">
      <c r="A33" s="43" t="s">
        <v>177</v>
      </c>
      <c r="B33" s="426"/>
      <c r="C33" s="394" t="s">
        <v>169</v>
      </c>
      <c r="D33" s="73" t="s">
        <v>178</v>
      </c>
      <c r="E33" s="45"/>
      <c r="F33" s="46"/>
      <c r="G33" s="46">
        <f t="shared" si="18"/>
        <v>0</v>
      </c>
      <c r="H33" s="46"/>
      <c r="I33" s="47">
        <f t="shared" si="19"/>
        <v>0</v>
      </c>
      <c r="J33" s="47">
        <f t="shared" si="20"/>
        <v>0</v>
      </c>
      <c r="K33" s="48">
        <v>699.8</v>
      </c>
      <c r="L33" s="54"/>
      <c r="M33" s="54"/>
      <c r="N33" s="54"/>
      <c r="O33" s="51">
        <f t="shared" si="21"/>
        <v>699.8</v>
      </c>
      <c r="P33" s="51">
        <f t="shared" si="22"/>
        <v>0</v>
      </c>
      <c r="Q33" s="51">
        <f t="shared" si="23"/>
        <v>0</v>
      </c>
      <c r="R33" s="52">
        <f t="shared" si="24"/>
        <v>699.8</v>
      </c>
      <c r="S33" s="52">
        <f t="shared" si="25"/>
        <v>0</v>
      </c>
      <c r="T33" s="52">
        <f t="shared" si="26"/>
        <v>0</v>
      </c>
      <c r="U33" s="369">
        <f t="shared" si="27"/>
        <v>0</v>
      </c>
      <c r="V33" s="369">
        <f t="shared" si="28"/>
        <v>0</v>
      </c>
      <c r="W33" s="369">
        <f t="shared" si="29"/>
        <v>0</v>
      </c>
      <c r="X33" s="53">
        <f t="shared" si="1"/>
        <v>1</v>
      </c>
      <c r="Y33" s="53">
        <f t="shared" si="2"/>
        <v>0</v>
      </c>
      <c r="Z33" s="53">
        <f t="shared" si="3"/>
        <v>0</v>
      </c>
      <c r="AA33" s="54"/>
      <c r="AB33" s="54"/>
      <c r="AC33" s="54"/>
      <c r="AD33" s="54"/>
      <c r="AE33" s="55"/>
      <c r="AF33" s="55"/>
      <c r="AG33" s="55"/>
      <c r="AH33" s="55"/>
      <c r="AI33" s="54"/>
      <c r="AJ33" s="48">
        <v>699.8</v>
      </c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>
        <f t="shared" si="33"/>
        <v>699.8</v>
      </c>
      <c r="BO33" s="58">
        <f t="shared" si="34"/>
        <v>0</v>
      </c>
      <c r="BP33" s="54">
        <f t="shared" si="35"/>
        <v>699.8</v>
      </c>
      <c r="BQ33" s="54">
        <f t="shared" si="9"/>
        <v>0</v>
      </c>
      <c r="BR33" s="54">
        <f t="shared" si="10"/>
        <v>0</v>
      </c>
      <c r="BS33" s="54">
        <f t="shared" si="11"/>
        <v>0</v>
      </c>
      <c r="BT33" s="54">
        <f t="shared" si="36"/>
        <v>0</v>
      </c>
      <c r="BU33" s="54">
        <f t="shared" si="37"/>
        <v>699.8</v>
      </c>
      <c r="BV33" s="54">
        <f t="shared" si="38"/>
        <v>0</v>
      </c>
      <c r="BW33" s="54">
        <f t="shared" si="15"/>
        <v>699.8</v>
      </c>
      <c r="BX33" s="1"/>
      <c r="BY33" s="1"/>
      <c r="BZ33" s="1"/>
      <c r="CA33" s="1"/>
      <c r="CB33" s="1"/>
      <c r="CC33" s="1"/>
      <c r="CD33" s="1"/>
      <c r="CE33" s="1"/>
      <c r="CF33" s="1"/>
      <c r="CG33" s="1"/>
    </row>
    <row r="34" spans="1:85" ht="15.75" customHeight="1">
      <c r="A34" s="43" t="s">
        <v>179</v>
      </c>
      <c r="B34" s="426"/>
      <c r="C34" s="394" t="s">
        <v>169</v>
      </c>
      <c r="D34" s="73" t="s">
        <v>180</v>
      </c>
      <c r="E34" s="45"/>
      <c r="F34" s="46"/>
      <c r="G34" s="46">
        <f t="shared" si="18"/>
        <v>0</v>
      </c>
      <c r="H34" s="46"/>
      <c r="I34" s="47">
        <f t="shared" si="19"/>
        <v>0</v>
      </c>
      <c r="J34" s="47">
        <f t="shared" si="20"/>
        <v>0</v>
      </c>
      <c r="K34" s="48">
        <v>1843.26</v>
      </c>
      <c r="L34" s="54"/>
      <c r="M34" s="54"/>
      <c r="N34" s="54"/>
      <c r="O34" s="51">
        <f t="shared" si="21"/>
        <v>1843.26</v>
      </c>
      <c r="P34" s="51">
        <f t="shared" si="22"/>
        <v>0</v>
      </c>
      <c r="Q34" s="51">
        <f t="shared" si="23"/>
        <v>0</v>
      </c>
      <c r="R34" s="52">
        <f t="shared" si="24"/>
        <v>1843.26</v>
      </c>
      <c r="S34" s="52">
        <f t="shared" si="25"/>
        <v>0</v>
      </c>
      <c r="T34" s="52">
        <f t="shared" si="26"/>
        <v>0</v>
      </c>
      <c r="U34" s="369">
        <f t="shared" si="27"/>
        <v>0</v>
      </c>
      <c r="V34" s="369">
        <f t="shared" si="28"/>
        <v>0</v>
      </c>
      <c r="W34" s="369">
        <f t="shared" si="29"/>
        <v>0</v>
      </c>
      <c r="X34" s="53">
        <f t="shared" si="1"/>
        <v>1</v>
      </c>
      <c r="Y34" s="53">
        <f t="shared" si="2"/>
        <v>0</v>
      </c>
      <c r="Z34" s="53">
        <f t="shared" si="3"/>
        <v>0</v>
      </c>
      <c r="AA34" s="54"/>
      <c r="AB34" s="54"/>
      <c r="AC34" s="54"/>
      <c r="AD34" s="54"/>
      <c r="AE34" s="55"/>
      <c r="AF34" s="55"/>
      <c r="AG34" s="55"/>
      <c r="AH34" s="55"/>
      <c r="AI34" s="54"/>
      <c r="AJ34" s="54"/>
      <c r="AK34" s="54"/>
      <c r="AL34" s="54"/>
      <c r="AM34" s="54"/>
      <c r="AN34" s="54"/>
      <c r="AO34" s="54"/>
      <c r="AP34" s="48">
        <v>1843.26</v>
      </c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>
        <f t="shared" si="33"/>
        <v>1843.26</v>
      </c>
      <c r="BO34" s="58">
        <f t="shared" si="34"/>
        <v>0</v>
      </c>
      <c r="BP34" s="54">
        <f t="shared" si="35"/>
        <v>1843.26</v>
      </c>
      <c r="BQ34" s="54">
        <f t="shared" si="9"/>
        <v>0</v>
      </c>
      <c r="BR34" s="54">
        <f t="shared" si="10"/>
        <v>0</v>
      </c>
      <c r="BS34" s="54">
        <f t="shared" si="11"/>
        <v>0</v>
      </c>
      <c r="BT34" s="54">
        <f t="shared" si="36"/>
        <v>0</v>
      </c>
      <c r="BU34" s="54">
        <f t="shared" si="37"/>
        <v>1843.26</v>
      </c>
      <c r="BV34" s="54">
        <f t="shared" si="38"/>
        <v>0</v>
      </c>
      <c r="BW34" s="54">
        <f t="shared" si="15"/>
        <v>1843.26</v>
      </c>
      <c r="BX34" s="1"/>
      <c r="BY34" s="1"/>
      <c r="BZ34" s="1"/>
      <c r="CA34" s="1"/>
      <c r="CB34" s="1"/>
      <c r="CC34" s="1"/>
      <c r="CD34" s="1"/>
      <c r="CE34" s="1"/>
      <c r="CF34" s="1"/>
      <c r="CG34" s="1"/>
    </row>
    <row r="35" spans="1:85" ht="15.75" customHeight="1">
      <c r="A35" s="43" t="s">
        <v>181</v>
      </c>
      <c r="B35" s="426"/>
      <c r="C35" s="394" t="s">
        <v>169</v>
      </c>
      <c r="D35" s="73" t="s">
        <v>182</v>
      </c>
      <c r="E35" s="45"/>
      <c r="F35" s="46"/>
      <c r="G35" s="46">
        <f t="shared" si="18"/>
        <v>0</v>
      </c>
      <c r="H35" s="46"/>
      <c r="I35" s="47">
        <f t="shared" si="19"/>
        <v>0</v>
      </c>
      <c r="J35" s="47">
        <f t="shared" si="20"/>
        <v>0</v>
      </c>
      <c r="K35" s="48">
        <v>6909</v>
      </c>
      <c r="L35" s="54"/>
      <c r="M35" s="54"/>
      <c r="N35" s="54"/>
      <c r="O35" s="51">
        <f t="shared" si="21"/>
        <v>6909</v>
      </c>
      <c r="P35" s="51">
        <f t="shared" si="22"/>
        <v>0</v>
      </c>
      <c r="Q35" s="51">
        <f t="shared" si="23"/>
        <v>0</v>
      </c>
      <c r="R35" s="52">
        <f t="shared" si="24"/>
        <v>6909</v>
      </c>
      <c r="S35" s="52">
        <f t="shared" si="25"/>
        <v>0</v>
      </c>
      <c r="T35" s="52">
        <f t="shared" si="26"/>
        <v>0</v>
      </c>
      <c r="U35" s="369">
        <f t="shared" si="27"/>
        <v>0</v>
      </c>
      <c r="V35" s="369">
        <f t="shared" si="28"/>
        <v>0</v>
      </c>
      <c r="W35" s="369">
        <f t="shared" si="29"/>
        <v>0</v>
      </c>
      <c r="X35" s="53">
        <f t="shared" si="1"/>
        <v>1</v>
      </c>
      <c r="Y35" s="53">
        <f t="shared" si="2"/>
        <v>0</v>
      </c>
      <c r="Z35" s="53">
        <f t="shared" si="3"/>
        <v>0</v>
      </c>
      <c r="AA35" s="54"/>
      <c r="AB35" s="54"/>
      <c r="AC35" s="54"/>
      <c r="AD35" s="54"/>
      <c r="AE35" s="55"/>
      <c r="AF35" s="55"/>
      <c r="AG35" s="76">
        <v>4410</v>
      </c>
      <c r="AH35" s="55"/>
      <c r="AI35" s="54"/>
      <c r="AJ35" s="48">
        <v>2499</v>
      </c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>
        <f t="shared" si="33"/>
        <v>6909</v>
      </c>
      <c r="BO35" s="58">
        <f t="shared" si="34"/>
        <v>0</v>
      </c>
      <c r="BP35" s="54">
        <f t="shared" si="35"/>
        <v>6909</v>
      </c>
      <c r="BQ35" s="54">
        <f t="shared" si="9"/>
        <v>0</v>
      </c>
      <c r="BR35" s="54">
        <f t="shared" si="10"/>
        <v>0</v>
      </c>
      <c r="BS35" s="54">
        <f t="shared" si="11"/>
        <v>0</v>
      </c>
      <c r="BT35" s="54">
        <f t="shared" si="36"/>
        <v>0</v>
      </c>
      <c r="BU35" s="54">
        <f t="shared" si="37"/>
        <v>6909</v>
      </c>
      <c r="BV35" s="54">
        <f t="shared" si="38"/>
        <v>0</v>
      </c>
      <c r="BW35" s="54">
        <f t="shared" si="15"/>
        <v>6909</v>
      </c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 ht="15.75" customHeight="1">
      <c r="A36" s="43" t="s">
        <v>183</v>
      </c>
      <c r="B36" s="426"/>
      <c r="C36" s="394" t="s">
        <v>169</v>
      </c>
      <c r="D36" s="73" t="s">
        <v>184</v>
      </c>
      <c r="E36" s="45"/>
      <c r="F36" s="46"/>
      <c r="G36" s="46">
        <f t="shared" si="18"/>
        <v>0</v>
      </c>
      <c r="H36" s="46"/>
      <c r="I36" s="47">
        <f t="shared" si="19"/>
        <v>0</v>
      </c>
      <c r="J36" s="47">
        <f t="shared" si="20"/>
        <v>0</v>
      </c>
      <c r="K36" s="48">
        <v>1483.2</v>
      </c>
      <c r="L36" s="54"/>
      <c r="M36" s="54"/>
      <c r="N36" s="54"/>
      <c r="O36" s="51">
        <f t="shared" si="21"/>
        <v>1483.2</v>
      </c>
      <c r="P36" s="51">
        <f t="shared" si="22"/>
        <v>0</v>
      </c>
      <c r="Q36" s="51">
        <f t="shared" si="23"/>
        <v>0</v>
      </c>
      <c r="R36" s="52">
        <f t="shared" si="24"/>
        <v>1483.2</v>
      </c>
      <c r="S36" s="52">
        <f t="shared" si="25"/>
        <v>0</v>
      </c>
      <c r="T36" s="52">
        <f t="shared" si="26"/>
        <v>0</v>
      </c>
      <c r="U36" s="369">
        <f t="shared" si="27"/>
        <v>0</v>
      </c>
      <c r="V36" s="369">
        <f t="shared" si="28"/>
        <v>0</v>
      </c>
      <c r="W36" s="369">
        <f t="shared" si="29"/>
        <v>0</v>
      </c>
      <c r="X36" s="53">
        <f t="shared" si="1"/>
        <v>1</v>
      </c>
      <c r="Y36" s="53">
        <f t="shared" si="2"/>
        <v>0</v>
      </c>
      <c r="Z36" s="53">
        <f t="shared" si="3"/>
        <v>0</v>
      </c>
      <c r="AA36" s="54"/>
      <c r="AB36" s="54"/>
      <c r="AC36" s="54"/>
      <c r="AD36" s="54"/>
      <c r="AE36" s="55"/>
      <c r="AF36" s="55"/>
      <c r="AG36" s="76">
        <v>1483.2</v>
      </c>
      <c r="AH36" s="55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>
        <f t="shared" si="33"/>
        <v>1483.2</v>
      </c>
      <c r="BO36" s="58">
        <f t="shared" si="34"/>
        <v>0</v>
      </c>
      <c r="BP36" s="54">
        <f t="shared" si="35"/>
        <v>1483.2</v>
      </c>
      <c r="BQ36" s="54">
        <f t="shared" si="9"/>
        <v>0</v>
      </c>
      <c r="BR36" s="54">
        <f t="shared" si="10"/>
        <v>0</v>
      </c>
      <c r="BS36" s="54">
        <f t="shared" si="11"/>
        <v>0</v>
      </c>
      <c r="BT36" s="54">
        <f t="shared" si="36"/>
        <v>0</v>
      </c>
      <c r="BU36" s="54">
        <f t="shared" si="37"/>
        <v>1483.2</v>
      </c>
      <c r="BV36" s="54">
        <f t="shared" si="38"/>
        <v>0</v>
      </c>
      <c r="BW36" s="54">
        <f t="shared" si="15"/>
        <v>1483.2</v>
      </c>
      <c r="BX36" s="1"/>
      <c r="BY36" s="1"/>
      <c r="BZ36" s="1"/>
      <c r="CA36" s="1"/>
      <c r="CB36" s="1"/>
      <c r="CC36" s="1"/>
      <c r="CD36" s="1"/>
      <c r="CE36" s="1"/>
      <c r="CF36" s="1"/>
      <c r="CG36" s="1"/>
    </row>
    <row r="37" spans="1:85" ht="15.75" customHeight="1">
      <c r="A37" s="43" t="s">
        <v>185</v>
      </c>
      <c r="B37" s="426"/>
      <c r="C37" s="394" t="s">
        <v>169</v>
      </c>
      <c r="D37" s="73" t="s">
        <v>186</v>
      </c>
      <c r="E37" s="45"/>
      <c r="F37" s="46"/>
      <c r="G37" s="46">
        <f t="shared" si="18"/>
        <v>0</v>
      </c>
      <c r="H37" s="46"/>
      <c r="I37" s="47">
        <f t="shared" si="19"/>
        <v>0</v>
      </c>
      <c r="J37" s="47">
        <f t="shared" si="20"/>
        <v>0</v>
      </c>
      <c r="K37" s="48">
        <v>841.74</v>
      </c>
      <c r="L37" s="54"/>
      <c r="M37" s="54"/>
      <c r="N37" s="54"/>
      <c r="O37" s="51">
        <f t="shared" si="21"/>
        <v>841.74</v>
      </c>
      <c r="P37" s="51">
        <f t="shared" si="22"/>
        <v>0</v>
      </c>
      <c r="Q37" s="51">
        <f t="shared" si="23"/>
        <v>0</v>
      </c>
      <c r="R37" s="52">
        <f t="shared" si="24"/>
        <v>841.74</v>
      </c>
      <c r="S37" s="52">
        <f t="shared" si="25"/>
        <v>0</v>
      </c>
      <c r="T37" s="52">
        <f t="shared" si="26"/>
        <v>0</v>
      </c>
      <c r="U37" s="369">
        <f t="shared" si="27"/>
        <v>0</v>
      </c>
      <c r="V37" s="369">
        <f t="shared" si="28"/>
        <v>0</v>
      </c>
      <c r="W37" s="369">
        <f t="shared" si="29"/>
        <v>0</v>
      </c>
      <c r="X37" s="53">
        <f t="shared" si="1"/>
        <v>1</v>
      </c>
      <c r="Y37" s="53">
        <f t="shared" si="2"/>
        <v>0</v>
      </c>
      <c r="Z37" s="53">
        <f t="shared" si="3"/>
        <v>0</v>
      </c>
      <c r="AA37" s="54"/>
      <c r="AB37" s="54"/>
      <c r="AC37" s="54"/>
      <c r="AD37" s="54"/>
      <c r="AE37" s="55"/>
      <c r="AF37" s="55"/>
      <c r="AG37" s="55"/>
      <c r="AH37" s="55"/>
      <c r="AI37" s="54"/>
      <c r="AJ37" s="48">
        <v>841.74</v>
      </c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>
        <f t="shared" si="33"/>
        <v>841.74</v>
      </c>
      <c r="BO37" s="58">
        <f t="shared" si="34"/>
        <v>0</v>
      </c>
      <c r="BP37" s="54">
        <f t="shared" si="35"/>
        <v>841.74</v>
      </c>
      <c r="BQ37" s="54">
        <f t="shared" si="9"/>
        <v>0</v>
      </c>
      <c r="BR37" s="54">
        <f t="shared" si="10"/>
        <v>0</v>
      </c>
      <c r="BS37" s="54">
        <f t="shared" si="11"/>
        <v>0</v>
      </c>
      <c r="BT37" s="54">
        <f t="shared" si="36"/>
        <v>0</v>
      </c>
      <c r="BU37" s="54">
        <f t="shared" si="37"/>
        <v>841.74</v>
      </c>
      <c r="BV37" s="54">
        <f t="shared" si="38"/>
        <v>0</v>
      </c>
      <c r="BW37" s="54">
        <f t="shared" si="15"/>
        <v>841.74</v>
      </c>
      <c r="BX37" s="1"/>
      <c r="BY37" s="1"/>
      <c r="BZ37" s="1"/>
      <c r="CA37" s="1"/>
      <c r="CB37" s="1"/>
      <c r="CC37" s="1"/>
      <c r="CD37" s="1"/>
      <c r="CE37" s="1"/>
      <c r="CF37" s="1"/>
      <c r="CG37" s="1"/>
    </row>
    <row r="38" spans="1:85" ht="15.75" customHeight="1">
      <c r="A38" s="43" t="s">
        <v>187</v>
      </c>
      <c r="B38" s="426"/>
      <c r="C38" s="394" t="s">
        <v>169</v>
      </c>
      <c r="D38" s="73" t="s">
        <v>188</v>
      </c>
      <c r="E38" s="45"/>
      <c r="F38" s="46"/>
      <c r="G38" s="46">
        <f t="shared" si="18"/>
        <v>0</v>
      </c>
      <c r="H38" s="46"/>
      <c r="I38" s="47">
        <f t="shared" si="19"/>
        <v>0</v>
      </c>
      <c r="J38" s="47">
        <f t="shared" si="20"/>
        <v>0</v>
      </c>
      <c r="K38" s="48">
        <v>132.25</v>
      </c>
      <c r="L38" s="54"/>
      <c r="M38" s="54"/>
      <c r="N38" s="54"/>
      <c r="O38" s="51">
        <f t="shared" si="21"/>
        <v>132.25</v>
      </c>
      <c r="P38" s="51">
        <f t="shared" si="22"/>
        <v>0</v>
      </c>
      <c r="Q38" s="51">
        <f t="shared" si="23"/>
        <v>0</v>
      </c>
      <c r="R38" s="52">
        <f t="shared" si="24"/>
        <v>132.25</v>
      </c>
      <c r="S38" s="52">
        <f t="shared" si="25"/>
        <v>0</v>
      </c>
      <c r="T38" s="52">
        <f t="shared" si="26"/>
        <v>0</v>
      </c>
      <c r="U38" s="369">
        <f t="shared" si="27"/>
        <v>0</v>
      </c>
      <c r="V38" s="369">
        <f t="shared" si="28"/>
        <v>0</v>
      </c>
      <c r="W38" s="369">
        <f t="shared" si="29"/>
        <v>0</v>
      </c>
      <c r="X38" s="53">
        <f t="shared" si="1"/>
        <v>1</v>
      </c>
      <c r="Y38" s="53">
        <f t="shared" si="2"/>
        <v>0</v>
      </c>
      <c r="Z38" s="53">
        <f t="shared" si="3"/>
        <v>0</v>
      </c>
      <c r="AA38" s="54"/>
      <c r="AB38" s="54"/>
      <c r="AC38" s="54"/>
      <c r="AD38" s="54"/>
      <c r="AE38" s="55"/>
      <c r="AF38" s="55"/>
      <c r="AG38" s="55"/>
      <c r="AH38" s="55"/>
      <c r="AI38" s="54"/>
      <c r="AJ38" s="48">
        <v>132.25</v>
      </c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>
        <f t="shared" si="33"/>
        <v>132.25</v>
      </c>
      <c r="BO38" s="58">
        <f t="shared" si="34"/>
        <v>0</v>
      </c>
      <c r="BP38" s="54">
        <f t="shared" si="35"/>
        <v>132.25</v>
      </c>
      <c r="BQ38" s="54">
        <f t="shared" si="9"/>
        <v>0</v>
      </c>
      <c r="BR38" s="54">
        <f t="shared" si="10"/>
        <v>0</v>
      </c>
      <c r="BS38" s="54">
        <f t="shared" si="11"/>
        <v>0</v>
      </c>
      <c r="BT38" s="54">
        <f t="shared" si="36"/>
        <v>0</v>
      </c>
      <c r="BU38" s="54">
        <f t="shared" si="37"/>
        <v>132.25</v>
      </c>
      <c r="BV38" s="54">
        <f t="shared" si="38"/>
        <v>0</v>
      </c>
      <c r="BW38" s="54">
        <f t="shared" si="15"/>
        <v>132.25</v>
      </c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 ht="15.75" customHeight="1">
      <c r="A39" s="43" t="s">
        <v>189</v>
      </c>
      <c r="B39" s="426"/>
      <c r="C39" s="394" t="s">
        <v>169</v>
      </c>
      <c r="D39" s="73" t="s">
        <v>190</v>
      </c>
      <c r="E39" s="45"/>
      <c r="F39" s="46"/>
      <c r="G39" s="46">
        <f t="shared" si="18"/>
        <v>0</v>
      </c>
      <c r="H39" s="46"/>
      <c r="I39" s="47">
        <f t="shared" si="19"/>
        <v>0</v>
      </c>
      <c r="J39" s="47">
        <f t="shared" si="20"/>
        <v>0</v>
      </c>
      <c r="K39" s="48">
        <v>6884.45</v>
      </c>
      <c r="L39" s="54"/>
      <c r="M39" s="54"/>
      <c r="N39" s="54"/>
      <c r="O39" s="51">
        <f t="shared" si="21"/>
        <v>6884.45</v>
      </c>
      <c r="P39" s="51">
        <f t="shared" si="22"/>
        <v>0</v>
      </c>
      <c r="Q39" s="51">
        <f t="shared" si="23"/>
        <v>0</v>
      </c>
      <c r="R39" s="52">
        <f t="shared" si="24"/>
        <v>6884.45</v>
      </c>
      <c r="S39" s="52">
        <f t="shared" si="25"/>
        <v>0</v>
      </c>
      <c r="T39" s="52">
        <f t="shared" si="26"/>
        <v>0</v>
      </c>
      <c r="U39" s="369">
        <f t="shared" si="27"/>
        <v>0</v>
      </c>
      <c r="V39" s="369">
        <f t="shared" si="28"/>
        <v>0</v>
      </c>
      <c r="W39" s="369">
        <f t="shared" si="29"/>
        <v>0</v>
      </c>
      <c r="X39" s="53">
        <f t="shared" si="1"/>
        <v>1</v>
      </c>
      <c r="Y39" s="53">
        <f t="shared" si="2"/>
        <v>0</v>
      </c>
      <c r="Z39" s="53">
        <f t="shared" si="3"/>
        <v>0</v>
      </c>
      <c r="AA39" s="54"/>
      <c r="AB39" s="54"/>
      <c r="AC39" s="54"/>
      <c r="AD39" s="54"/>
      <c r="AE39" s="55"/>
      <c r="AF39" s="55"/>
      <c r="AG39" s="55"/>
      <c r="AH39" s="55"/>
      <c r="AI39" s="54"/>
      <c r="AJ39" s="54"/>
      <c r="AK39" s="54"/>
      <c r="AL39" s="54"/>
      <c r="AM39" s="48">
        <v>6884.45</v>
      </c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>
        <f t="shared" si="33"/>
        <v>6884.45</v>
      </c>
      <c r="BO39" s="58">
        <f t="shared" si="34"/>
        <v>0</v>
      </c>
      <c r="BP39" s="54">
        <f t="shared" si="35"/>
        <v>6884.45</v>
      </c>
      <c r="BQ39" s="54">
        <f t="shared" si="9"/>
        <v>0</v>
      </c>
      <c r="BR39" s="54">
        <f t="shared" si="10"/>
        <v>0</v>
      </c>
      <c r="BS39" s="54">
        <f t="shared" si="11"/>
        <v>0</v>
      </c>
      <c r="BT39" s="54">
        <f t="shared" si="36"/>
        <v>0</v>
      </c>
      <c r="BU39" s="54">
        <f t="shared" si="37"/>
        <v>6884.45</v>
      </c>
      <c r="BV39" s="54">
        <f t="shared" si="38"/>
        <v>0</v>
      </c>
      <c r="BW39" s="54">
        <f t="shared" si="15"/>
        <v>6884.45</v>
      </c>
      <c r="BX39" s="1"/>
      <c r="BY39" s="1"/>
      <c r="BZ39" s="1"/>
      <c r="CA39" s="1"/>
      <c r="CB39" s="1"/>
      <c r="CC39" s="1"/>
      <c r="CD39" s="1"/>
      <c r="CE39" s="1"/>
      <c r="CF39" s="1"/>
      <c r="CG39" s="1"/>
    </row>
    <row r="40" spans="1:85" ht="15.75" customHeight="1">
      <c r="A40" s="43" t="s">
        <v>191</v>
      </c>
      <c r="B40" s="426"/>
      <c r="C40" s="394" t="s">
        <v>169</v>
      </c>
      <c r="D40" s="73" t="s">
        <v>192</v>
      </c>
      <c r="E40" s="45"/>
      <c r="F40" s="46"/>
      <c r="G40" s="46">
        <f t="shared" si="18"/>
        <v>0</v>
      </c>
      <c r="H40" s="46"/>
      <c r="I40" s="47">
        <f t="shared" si="19"/>
        <v>0</v>
      </c>
      <c r="J40" s="47">
        <f t="shared" si="20"/>
        <v>0</v>
      </c>
      <c r="K40" s="48">
        <v>494.64</v>
      </c>
      <c r="L40" s="54"/>
      <c r="M40" s="54"/>
      <c r="N40" s="54"/>
      <c r="O40" s="51">
        <f t="shared" si="21"/>
        <v>494.64</v>
      </c>
      <c r="P40" s="51">
        <f t="shared" si="22"/>
        <v>0</v>
      </c>
      <c r="Q40" s="51">
        <f t="shared" si="23"/>
        <v>0</v>
      </c>
      <c r="R40" s="52">
        <f t="shared" si="24"/>
        <v>494.64</v>
      </c>
      <c r="S40" s="52">
        <f t="shared" si="25"/>
        <v>0</v>
      </c>
      <c r="T40" s="52">
        <f t="shared" si="26"/>
        <v>0</v>
      </c>
      <c r="U40" s="369">
        <f t="shared" si="27"/>
        <v>0</v>
      </c>
      <c r="V40" s="369">
        <f t="shared" si="28"/>
        <v>0</v>
      </c>
      <c r="W40" s="369">
        <f t="shared" si="29"/>
        <v>0</v>
      </c>
      <c r="X40" s="53">
        <f t="shared" si="1"/>
        <v>1</v>
      </c>
      <c r="Y40" s="53">
        <f t="shared" si="2"/>
        <v>0</v>
      </c>
      <c r="Z40" s="53">
        <f t="shared" si="3"/>
        <v>0</v>
      </c>
      <c r="AA40" s="54"/>
      <c r="AB40" s="54"/>
      <c r="AC40" s="54"/>
      <c r="AD40" s="54"/>
      <c r="AE40" s="55"/>
      <c r="AF40" s="55"/>
      <c r="AG40" s="76">
        <v>494.64</v>
      </c>
      <c r="AH40" s="55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>
        <f t="shared" si="33"/>
        <v>494.64</v>
      </c>
      <c r="BO40" s="58">
        <f t="shared" si="34"/>
        <v>0</v>
      </c>
      <c r="BP40" s="54">
        <f t="shared" si="35"/>
        <v>494.64</v>
      </c>
      <c r="BQ40" s="54">
        <f t="shared" si="9"/>
        <v>0</v>
      </c>
      <c r="BR40" s="54">
        <f t="shared" si="10"/>
        <v>0</v>
      </c>
      <c r="BS40" s="54">
        <f t="shared" si="11"/>
        <v>0</v>
      </c>
      <c r="BT40" s="54">
        <f t="shared" si="36"/>
        <v>0</v>
      </c>
      <c r="BU40" s="54">
        <f t="shared" si="37"/>
        <v>494.64</v>
      </c>
      <c r="BV40" s="54">
        <f t="shared" si="38"/>
        <v>0</v>
      </c>
      <c r="BW40" s="54">
        <f t="shared" si="15"/>
        <v>494.64</v>
      </c>
      <c r="BX40" s="1"/>
      <c r="BY40" s="1"/>
      <c r="BZ40" s="1"/>
      <c r="CA40" s="1"/>
      <c r="CB40" s="1"/>
      <c r="CC40" s="1"/>
      <c r="CD40" s="1"/>
      <c r="CE40" s="1"/>
      <c r="CF40" s="1"/>
      <c r="CG40" s="1"/>
    </row>
    <row r="41" spans="1:85" ht="15.75" customHeight="1">
      <c r="A41" s="43" t="s">
        <v>193</v>
      </c>
      <c r="B41" s="426"/>
      <c r="C41" s="394" t="s">
        <v>169</v>
      </c>
      <c r="D41" s="73" t="s">
        <v>194</v>
      </c>
      <c r="E41" s="45"/>
      <c r="F41" s="46"/>
      <c r="G41" s="46"/>
      <c r="H41" s="46"/>
      <c r="I41" s="47"/>
      <c r="J41" s="47"/>
      <c r="K41" s="48">
        <v>40000</v>
      </c>
      <c r="L41" s="54"/>
      <c r="M41" s="54"/>
      <c r="N41" s="54"/>
      <c r="O41" s="51">
        <f t="shared" ref="O41:O72" si="39">AA41+AD41+AG41+AJ41+AM41+AP41+AS41+AV41+AY41+BB41+BE41+BH41</f>
        <v>29185.34</v>
      </c>
      <c r="P41" s="51">
        <f t="shared" ref="P41:P72" si="40">AB41+AE41+AH41+AK41+AN41+AQ41+AT41+AW41+AZ41+BC41+BF41+BI41</f>
        <v>0</v>
      </c>
      <c r="Q41" s="51">
        <f t="shared" ref="Q41:Q72" si="41">AC41+AF41+AI41+AL41+AO41+AR41+AU41+AX41+BA41+BD41+BG41+BJ41</f>
        <v>0</v>
      </c>
      <c r="R41" s="52">
        <f t="shared" ref="R41:R72" si="42">IF(BK41=0,SUM(AA41+AD41+AG41+AJ41+AM41+AP41+AS41+AV41+AY41+BB41+BE41+BH41),BK41)</f>
        <v>29185.34</v>
      </c>
      <c r="S41" s="52">
        <f t="shared" ref="S41:S72" si="43">IF(BL41=0,SUM(AB41+AE41+AH41+AK41+AN41+AQ41+AT41+AW41+AZ41+BC41+BF41+BI41),BL41)</f>
        <v>0</v>
      </c>
      <c r="T41" s="52">
        <f t="shared" ref="T41:T72" si="44">IF(BM41=0,SUM(AC41+AF41+AI41+AL41+AO41+AR41+AU41+AX41+BA41+BD41+BG41+BJ41),BM41)</f>
        <v>0</v>
      </c>
      <c r="U41" s="369">
        <f t="shared" si="27"/>
        <v>10814.66</v>
      </c>
      <c r="V41" s="369">
        <f t="shared" si="28"/>
        <v>0</v>
      </c>
      <c r="W41" s="369">
        <f t="shared" si="29"/>
        <v>0</v>
      </c>
      <c r="X41" s="53">
        <f t="shared" si="1"/>
        <v>0.72963350000000005</v>
      </c>
      <c r="Y41" s="53">
        <f t="shared" si="2"/>
        <v>0</v>
      </c>
      <c r="Z41" s="53">
        <f t="shared" si="3"/>
        <v>0</v>
      </c>
      <c r="AA41" s="54"/>
      <c r="AB41" s="54"/>
      <c r="AC41" s="54"/>
      <c r="AD41" s="54"/>
      <c r="AE41" s="55"/>
      <c r="AF41" s="55"/>
      <c r="AG41" s="76"/>
      <c r="AH41" s="55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48">
        <v>8584.65</v>
      </c>
      <c r="AT41" s="54"/>
      <c r="AU41" s="54"/>
      <c r="AV41" s="54">
        <f>587.93+4258.75+2476.5+1847.28</f>
        <v>9170.4600000000009</v>
      </c>
      <c r="AW41" s="54"/>
      <c r="AX41" s="54"/>
      <c r="AY41" s="54">
        <f>1717.7+1078.42+4375.36+4258.75-1717.7+1717.7-1078.42+1078.42</f>
        <v>11430.23</v>
      </c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>
        <f t="shared" si="33"/>
        <v>29185.34</v>
      </c>
      <c r="BO41" s="58">
        <f t="shared" si="34"/>
        <v>0</v>
      </c>
      <c r="BP41" s="54">
        <f t="shared" si="35"/>
        <v>29185.34</v>
      </c>
      <c r="BQ41" s="54">
        <f t="shared" si="9"/>
        <v>10814.66</v>
      </c>
      <c r="BR41" s="54">
        <f t="shared" si="10"/>
        <v>0</v>
      </c>
      <c r="BS41" s="54">
        <f t="shared" si="11"/>
        <v>10814.66</v>
      </c>
      <c r="BT41" s="54">
        <f t="shared" si="36"/>
        <v>0</v>
      </c>
      <c r="BU41" s="54">
        <f t="shared" si="37"/>
        <v>29185.34</v>
      </c>
      <c r="BV41" s="54">
        <f t="shared" si="38"/>
        <v>10814.66</v>
      </c>
      <c r="BW41" s="54">
        <f t="shared" si="15"/>
        <v>29185.34</v>
      </c>
      <c r="BX41" s="1"/>
      <c r="BY41" s="1"/>
      <c r="BZ41" s="1"/>
      <c r="CA41" s="1"/>
      <c r="CB41" s="1"/>
      <c r="CC41" s="1"/>
      <c r="CD41" s="1"/>
      <c r="CE41" s="1"/>
      <c r="CF41" s="1"/>
      <c r="CG41" s="1"/>
    </row>
    <row r="42" spans="1:85" ht="15.75" customHeight="1">
      <c r="A42" s="43" t="s">
        <v>195</v>
      </c>
      <c r="B42" s="426"/>
      <c r="C42" s="394" t="s">
        <v>169</v>
      </c>
      <c r="D42" s="73" t="s">
        <v>196</v>
      </c>
      <c r="E42" s="45"/>
      <c r="F42" s="46"/>
      <c r="G42" s="46">
        <f t="shared" ref="G42:G48" si="45">E42-F42</f>
        <v>0</v>
      </c>
      <c r="H42" s="46"/>
      <c r="I42" s="47">
        <f t="shared" ref="I42:I48" si="46">IF(G42&gt;0,K42/G42,0)</f>
        <v>0</v>
      </c>
      <c r="J42" s="47">
        <f t="shared" ref="J42:J48" si="47">IF(G42&gt;0,O42/G42,0)</f>
        <v>0</v>
      </c>
      <c r="K42" s="48">
        <f>17110-17110</f>
        <v>0</v>
      </c>
      <c r="L42" s="54"/>
      <c r="M42" s="54"/>
      <c r="N42" s="54"/>
      <c r="O42" s="51">
        <f t="shared" si="39"/>
        <v>0</v>
      </c>
      <c r="P42" s="51">
        <f t="shared" si="40"/>
        <v>0</v>
      </c>
      <c r="Q42" s="51">
        <f t="shared" si="41"/>
        <v>0</v>
      </c>
      <c r="R42" s="52">
        <f t="shared" si="42"/>
        <v>0</v>
      </c>
      <c r="S42" s="52">
        <f t="shared" si="43"/>
        <v>0</v>
      </c>
      <c r="T42" s="52">
        <f t="shared" si="44"/>
        <v>0</v>
      </c>
      <c r="U42" s="369">
        <f t="shared" si="27"/>
        <v>0</v>
      </c>
      <c r="V42" s="369">
        <f t="shared" si="28"/>
        <v>0</v>
      </c>
      <c r="W42" s="369">
        <f t="shared" si="29"/>
        <v>0</v>
      </c>
      <c r="X42" s="53">
        <f t="shared" si="1"/>
        <v>0</v>
      </c>
      <c r="Y42" s="53">
        <f t="shared" si="2"/>
        <v>0</v>
      </c>
      <c r="Z42" s="53">
        <f t="shared" si="3"/>
        <v>0</v>
      </c>
      <c r="AA42" s="54"/>
      <c r="AB42" s="54"/>
      <c r="AC42" s="54"/>
      <c r="AD42" s="54"/>
      <c r="AE42" s="55"/>
      <c r="AF42" s="55"/>
      <c r="AG42" s="55"/>
      <c r="AH42" s="55"/>
      <c r="AI42" s="54"/>
      <c r="AJ42" s="54"/>
      <c r="AK42" s="54"/>
      <c r="AL42" s="54"/>
      <c r="AM42" s="54">
        <f>17110-17110</f>
        <v>0</v>
      </c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>
        <f t="shared" si="33"/>
        <v>0</v>
      </c>
      <c r="BO42" s="58">
        <f t="shared" si="34"/>
        <v>0</v>
      </c>
      <c r="BP42" s="54">
        <f t="shared" si="35"/>
        <v>0</v>
      </c>
      <c r="BQ42" s="54">
        <f t="shared" si="9"/>
        <v>0</v>
      </c>
      <c r="BR42" s="54">
        <f t="shared" si="10"/>
        <v>0</v>
      </c>
      <c r="BS42" s="54">
        <f t="shared" si="11"/>
        <v>0</v>
      </c>
      <c r="BT42" s="54">
        <f t="shared" si="36"/>
        <v>0</v>
      </c>
      <c r="BU42" s="54">
        <f t="shared" si="37"/>
        <v>0</v>
      </c>
      <c r="BV42" s="54">
        <f t="shared" si="38"/>
        <v>0</v>
      </c>
      <c r="BW42" s="54">
        <f t="shared" si="15"/>
        <v>0</v>
      </c>
      <c r="BX42" s="1"/>
      <c r="BY42" s="1"/>
      <c r="BZ42" s="1"/>
      <c r="CA42" s="1"/>
      <c r="CB42" s="1"/>
      <c r="CC42" s="1"/>
      <c r="CD42" s="1"/>
      <c r="CE42" s="1"/>
      <c r="CF42" s="1"/>
      <c r="CG42" s="1"/>
    </row>
    <row r="43" spans="1:85" ht="15.75" customHeight="1">
      <c r="A43" s="43" t="s">
        <v>197</v>
      </c>
      <c r="B43" s="426"/>
      <c r="C43" s="394" t="s">
        <v>169</v>
      </c>
      <c r="D43" s="73" t="s">
        <v>198</v>
      </c>
      <c r="E43" s="45"/>
      <c r="F43" s="46"/>
      <c r="G43" s="46">
        <f t="shared" si="45"/>
        <v>0</v>
      </c>
      <c r="H43" s="46"/>
      <c r="I43" s="47">
        <f t="shared" si="46"/>
        <v>0</v>
      </c>
      <c r="J43" s="47">
        <f t="shared" si="47"/>
        <v>0</v>
      </c>
      <c r="K43" s="48">
        <v>7100</v>
      </c>
      <c r="L43" s="54"/>
      <c r="M43" s="54"/>
      <c r="N43" s="54"/>
      <c r="O43" s="51">
        <f t="shared" si="39"/>
        <v>7100</v>
      </c>
      <c r="P43" s="51">
        <f t="shared" si="40"/>
        <v>0</v>
      </c>
      <c r="Q43" s="51">
        <f t="shared" si="41"/>
        <v>0</v>
      </c>
      <c r="R43" s="52">
        <f t="shared" si="42"/>
        <v>7100</v>
      </c>
      <c r="S43" s="52">
        <f t="shared" si="43"/>
        <v>0</v>
      </c>
      <c r="T43" s="52">
        <f t="shared" si="44"/>
        <v>0</v>
      </c>
      <c r="U43" s="368">
        <f t="shared" si="27"/>
        <v>0</v>
      </c>
      <c r="V43" s="369">
        <f t="shared" si="28"/>
        <v>0</v>
      </c>
      <c r="W43" s="369">
        <f t="shared" si="29"/>
        <v>0</v>
      </c>
      <c r="X43" s="53">
        <f t="shared" si="1"/>
        <v>1</v>
      </c>
      <c r="Y43" s="53">
        <f t="shared" si="2"/>
        <v>0</v>
      </c>
      <c r="Z43" s="53">
        <f t="shared" si="3"/>
        <v>0</v>
      </c>
      <c r="AA43" s="54"/>
      <c r="AB43" s="54"/>
      <c r="AC43" s="54"/>
      <c r="AD43" s="54"/>
      <c r="AE43" s="55"/>
      <c r="AF43" s="55"/>
      <c r="AG43" s="55"/>
      <c r="AH43" s="55"/>
      <c r="AI43" s="54"/>
      <c r="AJ43" s="54"/>
      <c r="AK43" s="54"/>
      <c r="AL43" s="54"/>
      <c r="AM43" s="48"/>
      <c r="AN43" s="54"/>
      <c r="AO43" s="54"/>
      <c r="AP43" s="54"/>
      <c r="AQ43" s="54"/>
      <c r="AR43" s="54"/>
      <c r="AS43" s="54"/>
      <c r="AT43" s="54"/>
      <c r="AU43" s="54"/>
      <c r="AV43" s="48">
        <v>7100</v>
      </c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>
        <f t="shared" si="33"/>
        <v>7100</v>
      </c>
      <c r="BO43" s="58">
        <f t="shared" si="34"/>
        <v>0</v>
      </c>
      <c r="BP43" s="54">
        <f t="shared" si="35"/>
        <v>7100</v>
      </c>
      <c r="BQ43" s="54">
        <f t="shared" si="9"/>
        <v>0</v>
      </c>
      <c r="BR43" s="54">
        <f t="shared" si="10"/>
        <v>0</v>
      </c>
      <c r="BS43" s="54">
        <f t="shared" si="11"/>
        <v>0</v>
      </c>
      <c r="BT43" s="54">
        <f t="shared" si="36"/>
        <v>0</v>
      </c>
      <c r="BU43" s="54">
        <f t="shared" si="37"/>
        <v>7100</v>
      </c>
      <c r="BV43" s="54">
        <f t="shared" si="38"/>
        <v>0</v>
      </c>
      <c r="BW43" s="54">
        <f t="shared" si="15"/>
        <v>7100</v>
      </c>
      <c r="BX43" s="1"/>
      <c r="BY43" s="1"/>
      <c r="BZ43" s="1"/>
      <c r="CA43" s="1"/>
      <c r="CB43" s="1"/>
      <c r="CC43" s="1"/>
      <c r="CD43" s="1"/>
      <c r="CE43" s="1"/>
      <c r="CF43" s="1"/>
      <c r="CG43" s="1"/>
    </row>
    <row r="44" spans="1:85" ht="15.75" customHeight="1">
      <c r="A44" s="43" t="s">
        <v>199</v>
      </c>
      <c r="B44" s="426"/>
      <c r="C44" s="394" t="s">
        <v>169</v>
      </c>
      <c r="D44" s="73" t="s">
        <v>198</v>
      </c>
      <c r="E44" s="45"/>
      <c r="F44" s="46"/>
      <c r="G44" s="46">
        <f t="shared" si="45"/>
        <v>0</v>
      </c>
      <c r="H44" s="46"/>
      <c r="I44" s="47">
        <f t="shared" si="46"/>
        <v>0</v>
      </c>
      <c r="J44" s="47">
        <f t="shared" si="47"/>
        <v>0</v>
      </c>
      <c r="K44" s="48">
        <v>4758</v>
      </c>
      <c r="L44" s="54"/>
      <c r="M44" s="54"/>
      <c r="N44" s="54"/>
      <c r="O44" s="51">
        <f t="shared" si="39"/>
        <v>4758</v>
      </c>
      <c r="P44" s="51">
        <f t="shared" si="40"/>
        <v>0</v>
      </c>
      <c r="Q44" s="51">
        <f t="shared" si="41"/>
        <v>0</v>
      </c>
      <c r="R44" s="52">
        <f t="shared" si="42"/>
        <v>4758</v>
      </c>
      <c r="S44" s="52">
        <f t="shared" si="43"/>
        <v>0</v>
      </c>
      <c r="T44" s="52">
        <f t="shared" si="44"/>
        <v>0</v>
      </c>
      <c r="U44" s="368">
        <f t="shared" si="27"/>
        <v>0</v>
      </c>
      <c r="V44" s="369">
        <f t="shared" si="28"/>
        <v>0</v>
      </c>
      <c r="W44" s="369">
        <f t="shared" si="29"/>
        <v>0</v>
      </c>
      <c r="X44" s="53">
        <f t="shared" si="1"/>
        <v>1</v>
      </c>
      <c r="Y44" s="53">
        <f t="shared" si="2"/>
        <v>0</v>
      </c>
      <c r="Z44" s="53">
        <f t="shared" si="3"/>
        <v>0</v>
      </c>
      <c r="AA44" s="54"/>
      <c r="AB44" s="54"/>
      <c r="AC44" s="54"/>
      <c r="AD44" s="54"/>
      <c r="AE44" s="55"/>
      <c r="AF44" s="55"/>
      <c r="AG44" s="55"/>
      <c r="AH44" s="55"/>
      <c r="AI44" s="54"/>
      <c r="AJ44" s="54"/>
      <c r="AK44" s="54"/>
      <c r="AL44" s="54"/>
      <c r="AM44" s="48"/>
      <c r="AN44" s="54"/>
      <c r="AO44" s="54"/>
      <c r="AP44" s="54"/>
      <c r="AQ44" s="54"/>
      <c r="AR44" s="54"/>
      <c r="AS44" s="48">
        <v>4758</v>
      </c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>
        <f t="shared" si="33"/>
        <v>4758</v>
      </c>
      <c r="BO44" s="58">
        <f t="shared" si="34"/>
        <v>0</v>
      </c>
      <c r="BP44" s="54">
        <f t="shared" si="35"/>
        <v>4758</v>
      </c>
      <c r="BQ44" s="54">
        <f t="shared" si="9"/>
        <v>0</v>
      </c>
      <c r="BR44" s="54">
        <f t="shared" si="10"/>
        <v>0</v>
      </c>
      <c r="BS44" s="54">
        <f t="shared" si="11"/>
        <v>0</v>
      </c>
      <c r="BT44" s="54">
        <f t="shared" si="36"/>
        <v>0</v>
      </c>
      <c r="BU44" s="54">
        <f t="shared" si="37"/>
        <v>4758</v>
      </c>
      <c r="BV44" s="54">
        <f t="shared" si="38"/>
        <v>0</v>
      </c>
      <c r="BW44" s="54">
        <f t="shared" si="15"/>
        <v>4758</v>
      </c>
      <c r="BX44" s="1"/>
      <c r="BY44" s="1"/>
      <c r="BZ44" s="1"/>
      <c r="CA44" s="1"/>
      <c r="CB44" s="1"/>
      <c r="CC44" s="1"/>
      <c r="CD44" s="1"/>
      <c r="CE44" s="1"/>
      <c r="CF44" s="1"/>
      <c r="CG44" s="1"/>
    </row>
    <row r="45" spans="1:85" ht="15.75" customHeight="1">
      <c r="A45" s="43" t="s">
        <v>200</v>
      </c>
      <c r="B45" s="426"/>
      <c r="C45" s="394" t="s">
        <v>169</v>
      </c>
      <c r="D45" s="73" t="s">
        <v>201</v>
      </c>
      <c r="E45" s="45"/>
      <c r="F45" s="46"/>
      <c r="G45" s="46">
        <f t="shared" si="45"/>
        <v>0</v>
      </c>
      <c r="H45" s="46"/>
      <c r="I45" s="47">
        <f t="shared" si="46"/>
        <v>0</v>
      </c>
      <c r="J45" s="47">
        <f t="shared" si="47"/>
        <v>0</v>
      </c>
      <c r="K45" s="48">
        <v>1156</v>
      </c>
      <c r="L45" s="54"/>
      <c r="M45" s="54"/>
      <c r="N45" s="54"/>
      <c r="O45" s="51">
        <f t="shared" si="39"/>
        <v>1156</v>
      </c>
      <c r="P45" s="51">
        <f t="shared" si="40"/>
        <v>0</v>
      </c>
      <c r="Q45" s="51">
        <f t="shared" si="41"/>
        <v>0</v>
      </c>
      <c r="R45" s="52">
        <f t="shared" si="42"/>
        <v>1156</v>
      </c>
      <c r="S45" s="52">
        <f t="shared" si="43"/>
        <v>0</v>
      </c>
      <c r="T45" s="52">
        <f t="shared" si="44"/>
        <v>0</v>
      </c>
      <c r="U45" s="368">
        <f t="shared" si="27"/>
        <v>0</v>
      </c>
      <c r="V45" s="369">
        <f t="shared" si="28"/>
        <v>0</v>
      </c>
      <c r="W45" s="369">
        <f t="shared" si="29"/>
        <v>0</v>
      </c>
      <c r="X45" s="53">
        <f t="shared" si="1"/>
        <v>1</v>
      </c>
      <c r="Y45" s="53">
        <f t="shared" si="2"/>
        <v>0</v>
      </c>
      <c r="Z45" s="53">
        <f t="shared" si="3"/>
        <v>0</v>
      </c>
      <c r="AA45" s="54"/>
      <c r="AB45" s="54"/>
      <c r="AC45" s="54"/>
      <c r="AD45" s="54"/>
      <c r="AE45" s="55"/>
      <c r="AF45" s="55"/>
      <c r="AG45" s="55"/>
      <c r="AH45" s="55"/>
      <c r="AI45" s="54"/>
      <c r="AJ45" s="54"/>
      <c r="AK45" s="54"/>
      <c r="AL45" s="54"/>
      <c r="AM45" s="48"/>
      <c r="AN45" s="54"/>
      <c r="AO45" s="54"/>
      <c r="AP45" s="54"/>
      <c r="AQ45" s="54"/>
      <c r="AR45" s="54"/>
      <c r="AS45" s="54"/>
      <c r="AT45" s="54"/>
      <c r="AU45" s="54"/>
      <c r="AV45" s="48">
        <v>1156</v>
      </c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>
        <f t="shared" si="33"/>
        <v>1156</v>
      </c>
      <c r="BO45" s="58">
        <f t="shared" si="34"/>
        <v>0</v>
      </c>
      <c r="BP45" s="54">
        <f t="shared" si="35"/>
        <v>1156</v>
      </c>
      <c r="BQ45" s="54">
        <f t="shared" si="9"/>
        <v>0</v>
      </c>
      <c r="BR45" s="54">
        <f t="shared" si="10"/>
        <v>0</v>
      </c>
      <c r="BS45" s="54">
        <f t="shared" si="11"/>
        <v>0</v>
      </c>
      <c r="BT45" s="54">
        <f t="shared" si="36"/>
        <v>0</v>
      </c>
      <c r="BU45" s="54">
        <f t="shared" si="37"/>
        <v>1156</v>
      </c>
      <c r="BV45" s="54">
        <f t="shared" si="38"/>
        <v>0</v>
      </c>
      <c r="BW45" s="54">
        <f t="shared" si="15"/>
        <v>1156</v>
      </c>
      <c r="BX45" s="1"/>
      <c r="BY45" s="1"/>
      <c r="BZ45" s="1"/>
      <c r="CA45" s="1"/>
      <c r="CB45" s="1"/>
      <c r="CC45" s="1"/>
      <c r="CD45" s="1"/>
      <c r="CE45" s="1"/>
      <c r="CF45" s="1"/>
      <c r="CG45" s="1"/>
    </row>
    <row r="46" spans="1:85" ht="15.75" customHeight="1">
      <c r="A46" s="43" t="s">
        <v>202</v>
      </c>
      <c r="B46" s="426"/>
      <c r="C46" s="394" t="s">
        <v>169</v>
      </c>
      <c r="D46" s="73" t="s">
        <v>201</v>
      </c>
      <c r="E46" s="45"/>
      <c r="F46" s="46"/>
      <c r="G46" s="46">
        <f t="shared" si="45"/>
        <v>0</v>
      </c>
      <c r="H46" s="46"/>
      <c r="I46" s="47">
        <f t="shared" si="46"/>
        <v>0</v>
      </c>
      <c r="J46" s="47">
        <f t="shared" si="47"/>
        <v>0</v>
      </c>
      <c r="K46" s="48">
        <v>2220</v>
      </c>
      <c r="L46" s="54"/>
      <c r="M46" s="54"/>
      <c r="N46" s="54"/>
      <c r="O46" s="51">
        <f t="shared" si="39"/>
        <v>2220</v>
      </c>
      <c r="P46" s="51">
        <f t="shared" si="40"/>
        <v>0</v>
      </c>
      <c r="Q46" s="51">
        <f t="shared" si="41"/>
        <v>0</v>
      </c>
      <c r="R46" s="52">
        <f t="shared" si="42"/>
        <v>2220</v>
      </c>
      <c r="S46" s="52">
        <f t="shared" si="43"/>
        <v>0</v>
      </c>
      <c r="T46" s="52">
        <f t="shared" si="44"/>
        <v>0</v>
      </c>
      <c r="U46" s="368">
        <f t="shared" si="27"/>
        <v>0</v>
      </c>
      <c r="V46" s="369">
        <f t="shared" si="28"/>
        <v>0</v>
      </c>
      <c r="W46" s="369">
        <f t="shared" si="29"/>
        <v>0</v>
      </c>
      <c r="X46" s="53">
        <f t="shared" si="1"/>
        <v>1</v>
      </c>
      <c r="Y46" s="53">
        <f t="shared" si="2"/>
        <v>0</v>
      </c>
      <c r="Z46" s="53">
        <f t="shared" si="3"/>
        <v>0</v>
      </c>
      <c r="AA46" s="54"/>
      <c r="AB46" s="54"/>
      <c r="AC46" s="54"/>
      <c r="AD46" s="54"/>
      <c r="AE46" s="55"/>
      <c r="AF46" s="55"/>
      <c r="AG46" s="55"/>
      <c r="AH46" s="55"/>
      <c r="AI46" s="54"/>
      <c r="AJ46" s="54"/>
      <c r="AK46" s="54"/>
      <c r="AL46" s="54"/>
      <c r="AM46" s="48"/>
      <c r="AN46" s="54"/>
      <c r="AO46" s="54"/>
      <c r="AP46" s="54"/>
      <c r="AQ46" s="54"/>
      <c r="AR46" s="54"/>
      <c r="AS46" s="54"/>
      <c r="AT46" s="54"/>
      <c r="AU46" s="54"/>
      <c r="AV46" s="48">
        <v>2220</v>
      </c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>
        <f t="shared" si="33"/>
        <v>2220</v>
      </c>
      <c r="BO46" s="58">
        <f t="shared" si="34"/>
        <v>0</v>
      </c>
      <c r="BP46" s="54">
        <f t="shared" si="35"/>
        <v>2220</v>
      </c>
      <c r="BQ46" s="54">
        <f t="shared" si="9"/>
        <v>0</v>
      </c>
      <c r="BR46" s="54">
        <f t="shared" si="10"/>
        <v>0</v>
      </c>
      <c r="BS46" s="54">
        <f t="shared" si="11"/>
        <v>0</v>
      </c>
      <c r="BT46" s="54">
        <f t="shared" si="36"/>
        <v>0</v>
      </c>
      <c r="BU46" s="54">
        <f t="shared" si="37"/>
        <v>2220</v>
      </c>
      <c r="BV46" s="54">
        <f t="shared" si="38"/>
        <v>0</v>
      </c>
      <c r="BW46" s="54">
        <f t="shared" si="15"/>
        <v>2220</v>
      </c>
      <c r="BX46" s="1"/>
      <c r="BY46" s="1"/>
      <c r="BZ46" s="1"/>
      <c r="CA46" s="1"/>
      <c r="CB46" s="1"/>
      <c r="CC46" s="1"/>
      <c r="CD46" s="1"/>
      <c r="CE46" s="1"/>
      <c r="CF46" s="1"/>
      <c r="CG46" s="1"/>
    </row>
    <row r="47" spans="1:85" ht="15.75" customHeight="1">
      <c r="A47" s="43" t="s">
        <v>203</v>
      </c>
      <c r="B47" s="426"/>
      <c r="C47" s="394" t="s">
        <v>169</v>
      </c>
      <c r="D47" s="73" t="s">
        <v>201</v>
      </c>
      <c r="E47" s="45"/>
      <c r="F47" s="46"/>
      <c r="G47" s="46">
        <f t="shared" si="45"/>
        <v>0</v>
      </c>
      <c r="H47" s="46"/>
      <c r="I47" s="47">
        <f t="shared" si="46"/>
        <v>0</v>
      </c>
      <c r="J47" s="47">
        <f t="shared" si="47"/>
        <v>0</v>
      </c>
      <c r="K47" s="48">
        <v>11665.6</v>
      </c>
      <c r="L47" s="54"/>
      <c r="M47" s="54"/>
      <c r="N47" s="54"/>
      <c r="O47" s="51">
        <f t="shared" si="39"/>
        <v>5832.8</v>
      </c>
      <c r="P47" s="51">
        <f t="shared" si="40"/>
        <v>0</v>
      </c>
      <c r="Q47" s="51">
        <f t="shared" si="41"/>
        <v>0</v>
      </c>
      <c r="R47" s="52">
        <f t="shared" si="42"/>
        <v>5832.8</v>
      </c>
      <c r="S47" s="52">
        <f t="shared" si="43"/>
        <v>0</v>
      </c>
      <c r="T47" s="52">
        <f t="shared" si="44"/>
        <v>0</v>
      </c>
      <c r="U47" s="368">
        <f t="shared" si="27"/>
        <v>5832.8</v>
      </c>
      <c r="V47" s="369">
        <f t="shared" si="28"/>
        <v>0</v>
      </c>
      <c r="W47" s="369">
        <f t="shared" si="29"/>
        <v>0</v>
      </c>
      <c r="X47" s="53">
        <f t="shared" si="1"/>
        <v>0.5</v>
      </c>
      <c r="Y47" s="53">
        <f t="shared" si="2"/>
        <v>0</v>
      </c>
      <c r="Z47" s="53">
        <f t="shared" si="3"/>
        <v>0</v>
      </c>
      <c r="AA47" s="54"/>
      <c r="AB47" s="54"/>
      <c r="AC47" s="54"/>
      <c r="AD47" s="54"/>
      <c r="AE47" s="55"/>
      <c r="AF47" s="55"/>
      <c r="AG47" s="55"/>
      <c r="AH47" s="55"/>
      <c r="AI47" s="54"/>
      <c r="AJ47" s="54"/>
      <c r="AK47" s="54"/>
      <c r="AL47" s="54"/>
      <c r="AM47" s="48"/>
      <c r="AN47" s="54"/>
      <c r="AO47" s="54"/>
      <c r="AP47" s="54"/>
      <c r="AQ47" s="54"/>
      <c r="AR47" s="54"/>
      <c r="AS47" s="48">
        <v>5832.8</v>
      </c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>
        <f t="shared" si="33"/>
        <v>5832.8</v>
      </c>
      <c r="BO47" s="58">
        <f t="shared" si="34"/>
        <v>0</v>
      </c>
      <c r="BP47" s="54">
        <f t="shared" si="35"/>
        <v>5832.8</v>
      </c>
      <c r="BQ47" s="54">
        <f t="shared" si="9"/>
        <v>5832.8</v>
      </c>
      <c r="BR47" s="54">
        <f t="shared" si="10"/>
        <v>0</v>
      </c>
      <c r="BS47" s="54">
        <f t="shared" si="11"/>
        <v>5832.8</v>
      </c>
      <c r="BT47" s="54">
        <f t="shared" si="36"/>
        <v>0</v>
      </c>
      <c r="BU47" s="54">
        <f t="shared" si="37"/>
        <v>5832.8</v>
      </c>
      <c r="BV47" s="54">
        <f t="shared" si="38"/>
        <v>5832.8</v>
      </c>
      <c r="BW47" s="54">
        <f t="shared" si="15"/>
        <v>5832.8</v>
      </c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spans="1:85" ht="15.75" customHeight="1">
      <c r="A48" s="43" t="s">
        <v>204</v>
      </c>
      <c r="B48" s="426"/>
      <c r="C48" s="394" t="s">
        <v>169</v>
      </c>
      <c r="D48" s="73" t="s">
        <v>201</v>
      </c>
      <c r="E48" s="45"/>
      <c r="F48" s="46"/>
      <c r="G48" s="46">
        <f t="shared" si="45"/>
        <v>0</v>
      </c>
      <c r="H48" s="46"/>
      <c r="I48" s="47">
        <f t="shared" si="46"/>
        <v>0</v>
      </c>
      <c r="J48" s="47">
        <f t="shared" si="47"/>
        <v>0</v>
      </c>
      <c r="K48" s="48">
        <v>2205</v>
      </c>
      <c r="L48" s="54"/>
      <c r="M48" s="54"/>
      <c r="N48" s="54"/>
      <c r="O48" s="51">
        <f t="shared" si="39"/>
        <v>2205</v>
      </c>
      <c r="P48" s="51">
        <f t="shared" si="40"/>
        <v>0</v>
      </c>
      <c r="Q48" s="51">
        <f t="shared" si="41"/>
        <v>0</v>
      </c>
      <c r="R48" s="52">
        <f t="shared" si="42"/>
        <v>2205</v>
      </c>
      <c r="S48" s="52">
        <f t="shared" si="43"/>
        <v>0</v>
      </c>
      <c r="T48" s="52">
        <f t="shared" si="44"/>
        <v>0</v>
      </c>
      <c r="U48" s="368">
        <f t="shared" si="27"/>
        <v>0</v>
      </c>
      <c r="V48" s="369">
        <f t="shared" si="28"/>
        <v>0</v>
      </c>
      <c r="W48" s="369">
        <f t="shared" si="29"/>
        <v>0</v>
      </c>
      <c r="X48" s="53">
        <f t="shared" si="1"/>
        <v>1</v>
      </c>
      <c r="Y48" s="53">
        <f t="shared" si="2"/>
        <v>0</v>
      </c>
      <c r="Z48" s="53">
        <f t="shared" si="3"/>
        <v>0</v>
      </c>
      <c r="AA48" s="54"/>
      <c r="AB48" s="54"/>
      <c r="AC48" s="54"/>
      <c r="AD48" s="54"/>
      <c r="AE48" s="55"/>
      <c r="AF48" s="55"/>
      <c r="AG48" s="55"/>
      <c r="AH48" s="55"/>
      <c r="AI48" s="54"/>
      <c r="AJ48" s="54"/>
      <c r="AK48" s="54"/>
      <c r="AL48" s="54"/>
      <c r="AM48" s="48"/>
      <c r="AN48" s="54"/>
      <c r="AO48" s="54"/>
      <c r="AP48" s="54"/>
      <c r="AQ48" s="54"/>
      <c r="AR48" s="54"/>
      <c r="AS48" s="54"/>
      <c r="AT48" s="54"/>
      <c r="AU48" s="54"/>
      <c r="AV48" s="48">
        <v>2205</v>
      </c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>
        <f t="shared" si="33"/>
        <v>2205</v>
      </c>
      <c r="BO48" s="58">
        <f t="shared" si="34"/>
        <v>0</v>
      </c>
      <c r="BP48" s="54">
        <f t="shared" si="35"/>
        <v>2205</v>
      </c>
      <c r="BQ48" s="54">
        <f t="shared" si="9"/>
        <v>0</v>
      </c>
      <c r="BR48" s="54">
        <f t="shared" si="10"/>
        <v>0</v>
      </c>
      <c r="BS48" s="54">
        <f t="shared" si="11"/>
        <v>0</v>
      </c>
      <c r="BT48" s="54">
        <f t="shared" si="36"/>
        <v>0</v>
      </c>
      <c r="BU48" s="54">
        <f t="shared" si="37"/>
        <v>2205</v>
      </c>
      <c r="BV48" s="54">
        <f t="shared" si="38"/>
        <v>0</v>
      </c>
      <c r="BW48" s="54">
        <f t="shared" si="15"/>
        <v>2205</v>
      </c>
      <c r="BX48" s="1"/>
      <c r="BY48" s="1"/>
      <c r="BZ48" s="1"/>
      <c r="CA48" s="1"/>
      <c r="CB48" s="1"/>
      <c r="CC48" s="1"/>
      <c r="CD48" s="1"/>
      <c r="CE48" s="1"/>
      <c r="CF48" s="1"/>
      <c r="CG48" s="1"/>
    </row>
    <row r="49" spans="1:85" ht="15.75" customHeight="1">
      <c r="A49" s="43" t="s">
        <v>205</v>
      </c>
      <c r="B49" s="426"/>
      <c r="C49" s="394" t="s">
        <v>169</v>
      </c>
      <c r="D49" s="73" t="s">
        <v>201</v>
      </c>
      <c r="E49" s="45"/>
      <c r="F49" s="46"/>
      <c r="G49" s="46"/>
      <c r="H49" s="46"/>
      <c r="I49" s="47"/>
      <c r="J49" s="47"/>
      <c r="K49" s="48">
        <v>2205</v>
      </c>
      <c r="L49" s="54"/>
      <c r="M49" s="54"/>
      <c r="N49" s="54"/>
      <c r="O49" s="51">
        <f t="shared" si="39"/>
        <v>2205</v>
      </c>
      <c r="P49" s="51">
        <f t="shared" si="40"/>
        <v>0</v>
      </c>
      <c r="Q49" s="51">
        <f t="shared" si="41"/>
        <v>0</v>
      </c>
      <c r="R49" s="52">
        <f t="shared" si="42"/>
        <v>2205</v>
      </c>
      <c r="S49" s="52">
        <f t="shared" si="43"/>
        <v>0</v>
      </c>
      <c r="T49" s="52">
        <f t="shared" si="44"/>
        <v>0</v>
      </c>
      <c r="U49" s="368">
        <f t="shared" si="27"/>
        <v>0</v>
      </c>
      <c r="V49" s="369">
        <f t="shared" si="28"/>
        <v>0</v>
      </c>
      <c r="W49" s="369">
        <f t="shared" si="29"/>
        <v>0</v>
      </c>
      <c r="X49" s="53">
        <f t="shared" si="1"/>
        <v>1</v>
      </c>
      <c r="Y49" s="53">
        <f t="shared" si="2"/>
        <v>0</v>
      </c>
      <c r="Z49" s="53">
        <f t="shared" si="3"/>
        <v>0</v>
      </c>
      <c r="AA49" s="54"/>
      <c r="AB49" s="54"/>
      <c r="AC49" s="54"/>
      <c r="AD49" s="54"/>
      <c r="AE49" s="55"/>
      <c r="AF49" s="55"/>
      <c r="AG49" s="55"/>
      <c r="AH49" s="55"/>
      <c r="AI49" s="54"/>
      <c r="AJ49" s="54"/>
      <c r="AK49" s="54"/>
      <c r="AL49" s="54"/>
      <c r="AM49" s="48"/>
      <c r="AN49" s="54"/>
      <c r="AO49" s="54"/>
      <c r="AP49" s="54"/>
      <c r="AQ49" s="54"/>
      <c r="AR49" s="54"/>
      <c r="AS49" s="54"/>
      <c r="AT49" s="54"/>
      <c r="AU49" s="54"/>
      <c r="AV49" s="48">
        <v>2205</v>
      </c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>
        <f t="shared" si="33"/>
        <v>2205</v>
      </c>
      <c r="BO49" s="58">
        <f t="shared" si="34"/>
        <v>0</v>
      </c>
      <c r="BP49" s="54">
        <f t="shared" si="35"/>
        <v>2205</v>
      </c>
      <c r="BQ49" s="54">
        <f t="shared" si="9"/>
        <v>0</v>
      </c>
      <c r="BR49" s="54">
        <f t="shared" si="10"/>
        <v>0</v>
      </c>
      <c r="BS49" s="54">
        <f t="shared" si="11"/>
        <v>0</v>
      </c>
      <c r="BT49" s="54">
        <f t="shared" si="36"/>
        <v>0</v>
      </c>
      <c r="BU49" s="54">
        <f t="shared" si="37"/>
        <v>2205</v>
      </c>
      <c r="BV49" s="54">
        <f t="shared" si="38"/>
        <v>0</v>
      </c>
      <c r="BW49" s="54">
        <f t="shared" si="15"/>
        <v>2205</v>
      </c>
      <c r="BX49" s="1"/>
      <c r="BY49" s="1"/>
      <c r="BZ49" s="1"/>
      <c r="CA49" s="1"/>
      <c r="CB49" s="1"/>
      <c r="CC49" s="1"/>
      <c r="CD49" s="1"/>
      <c r="CE49" s="1"/>
      <c r="CF49" s="1"/>
      <c r="CG49" s="1"/>
    </row>
    <row r="50" spans="1:85" ht="15.75" customHeight="1">
      <c r="A50" s="43" t="s">
        <v>206</v>
      </c>
      <c r="B50" s="426"/>
      <c r="C50" s="394" t="s">
        <v>169</v>
      </c>
      <c r="D50" s="73" t="s">
        <v>207</v>
      </c>
      <c r="E50" s="45"/>
      <c r="F50" s="46"/>
      <c r="G50" s="46"/>
      <c r="H50" s="46"/>
      <c r="I50" s="47"/>
      <c r="J50" s="47"/>
      <c r="K50" s="48">
        <v>20000</v>
      </c>
      <c r="L50" s="54"/>
      <c r="M50" s="54"/>
      <c r="N50" s="54"/>
      <c r="O50" s="51">
        <f t="shared" si="39"/>
        <v>0</v>
      </c>
      <c r="P50" s="51">
        <f t="shared" si="40"/>
        <v>0</v>
      </c>
      <c r="Q50" s="51">
        <f t="shared" si="41"/>
        <v>0</v>
      </c>
      <c r="R50" s="52">
        <f t="shared" si="42"/>
        <v>0</v>
      </c>
      <c r="S50" s="52">
        <f t="shared" si="43"/>
        <v>0</v>
      </c>
      <c r="T50" s="52">
        <f t="shared" si="44"/>
        <v>0</v>
      </c>
      <c r="U50" s="368">
        <f t="shared" si="27"/>
        <v>20000</v>
      </c>
      <c r="V50" s="369">
        <f t="shared" si="28"/>
        <v>0</v>
      </c>
      <c r="W50" s="369">
        <f t="shared" si="29"/>
        <v>0</v>
      </c>
      <c r="X50" s="53">
        <f t="shared" si="1"/>
        <v>0</v>
      </c>
      <c r="Y50" s="53">
        <f t="shared" si="2"/>
        <v>0</v>
      </c>
      <c r="Z50" s="53">
        <f t="shared" si="3"/>
        <v>0</v>
      </c>
      <c r="AA50" s="54"/>
      <c r="AB50" s="54"/>
      <c r="AC50" s="54"/>
      <c r="AD50" s="54"/>
      <c r="AE50" s="55"/>
      <c r="AF50" s="55"/>
      <c r="AG50" s="55"/>
      <c r="AH50" s="55"/>
      <c r="AI50" s="54"/>
      <c r="AJ50" s="54"/>
      <c r="AK50" s="54"/>
      <c r="AL50" s="54"/>
      <c r="AM50" s="48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>
        <f t="shared" si="33"/>
        <v>0</v>
      </c>
      <c r="BO50" s="58">
        <f t="shared" si="34"/>
        <v>0</v>
      </c>
      <c r="BP50" s="54">
        <f t="shared" si="35"/>
        <v>0</v>
      </c>
      <c r="BQ50" s="54">
        <f t="shared" si="9"/>
        <v>20000</v>
      </c>
      <c r="BR50" s="54">
        <f t="shared" si="10"/>
        <v>0</v>
      </c>
      <c r="BS50" s="54">
        <f t="shared" si="11"/>
        <v>20000</v>
      </c>
      <c r="BT50" s="54">
        <f t="shared" si="36"/>
        <v>0</v>
      </c>
      <c r="BU50" s="54">
        <f t="shared" si="37"/>
        <v>0</v>
      </c>
      <c r="BV50" s="54">
        <f t="shared" si="38"/>
        <v>20000</v>
      </c>
      <c r="BW50" s="54">
        <f t="shared" si="15"/>
        <v>0</v>
      </c>
      <c r="BX50" s="1"/>
      <c r="BY50" s="1"/>
      <c r="BZ50" s="1"/>
      <c r="CA50" s="1"/>
      <c r="CB50" s="1"/>
      <c r="CC50" s="1"/>
      <c r="CD50" s="1"/>
      <c r="CE50" s="1"/>
      <c r="CF50" s="1"/>
      <c r="CG50" s="1"/>
    </row>
    <row r="51" spans="1:85" ht="15.75" customHeight="1">
      <c r="A51" s="43" t="s">
        <v>208</v>
      </c>
      <c r="B51" s="426"/>
      <c r="C51" s="394" t="s">
        <v>209</v>
      </c>
      <c r="D51" s="73" t="s">
        <v>196</v>
      </c>
      <c r="E51" s="45"/>
      <c r="F51" s="46"/>
      <c r="G51" s="46">
        <f>E51-F51</f>
        <v>0</v>
      </c>
      <c r="H51" s="46"/>
      <c r="I51" s="47">
        <f>IF(G51&gt;0,K51/G51,0)</f>
        <v>0</v>
      </c>
      <c r="J51" s="47">
        <f>IF(G51&gt;0,O51/G51,0)</f>
        <v>0</v>
      </c>
      <c r="K51" s="48">
        <v>17110</v>
      </c>
      <c r="L51" s="54"/>
      <c r="M51" s="54"/>
      <c r="N51" s="54"/>
      <c r="O51" s="51">
        <f t="shared" si="39"/>
        <v>17110</v>
      </c>
      <c r="P51" s="51">
        <f t="shared" si="40"/>
        <v>0</v>
      </c>
      <c r="Q51" s="51">
        <f t="shared" si="41"/>
        <v>0</v>
      </c>
      <c r="R51" s="52">
        <f t="shared" si="42"/>
        <v>17110</v>
      </c>
      <c r="S51" s="52">
        <f t="shared" si="43"/>
        <v>0</v>
      </c>
      <c r="T51" s="52">
        <f t="shared" si="44"/>
        <v>0</v>
      </c>
      <c r="U51" s="369">
        <f t="shared" si="27"/>
        <v>0</v>
      </c>
      <c r="V51" s="369">
        <f t="shared" si="28"/>
        <v>0</v>
      </c>
      <c r="W51" s="369">
        <f t="shared" si="29"/>
        <v>0</v>
      </c>
      <c r="X51" s="53">
        <f t="shared" si="1"/>
        <v>1</v>
      </c>
      <c r="Y51" s="53">
        <f t="shared" si="2"/>
        <v>0</v>
      </c>
      <c r="Z51" s="53">
        <f t="shared" si="3"/>
        <v>0</v>
      </c>
      <c r="AA51" s="54"/>
      <c r="AB51" s="54"/>
      <c r="AC51" s="54"/>
      <c r="AD51" s="54"/>
      <c r="AE51" s="55"/>
      <c r="AF51" s="55"/>
      <c r="AG51" s="55"/>
      <c r="AH51" s="55"/>
      <c r="AI51" s="54"/>
      <c r="AJ51" s="54"/>
      <c r="AK51" s="54"/>
      <c r="AL51" s="54"/>
      <c r="AM51" s="48">
        <v>17110</v>
      </c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>
        <f t="shared" si="33"/>
        <v>17110</v>
      </c>
      <c r="BO51" s="58">
        <f t="shared" si="34"/>
        <v>0</v>
      </c>
      <c r="BP51" s="54">
        <f t="shared" si="35"/>
        <v>17110</v>
      </c>
      <c r="BQ51" s="54">
        <f t="shared" si="9"/>
        <v>0</v>
      </c>
      <c r="BR51" s="54">
        <f t="shared" si="10"/>
        <v>0</v>
      </c>
      <c r="BS51" s="54">
        <f t="shared" si="11"/>
        <v>0</v>
      </c>
      <c r="BT51" s="54">
        <f t="shared" si="36"/>
        <v>0</v>
      </c>
      <c r="BU51" s="54">
        <f t="shared" si="37"/>
        <v>17110</v>
      </c>
      <c r="BV51" s="54">
        <f t="shared" si="38"/>
        <v>0</v>
      </c>
      <c r="BW51" s="54">
        <f t="shared" si="15"/>
        <v>17110</v>
      </c>
      <c r="BX51" s="1"/>
      <c r="BY51" s="1"/>
      <c r="BZ51" s="1"/>
      <c r="CA51" s="1"/>
      <c r="CB51" s="1"/>
      <c r="CC51" s="1"/>
      <c r="CD51" s="1"/>
      <c r="CE51" s="1"/>
      <c r="CF51" s="1"/>
      <c r="CG51" s="1"/>
    </row>
    <row r="52" spans="1:85" ht="15.75" customHeight="1">
      <c r="A52" s="43"/>
      <c r="B52" s="426"/>
      <c r="C52" s="394" t="s">
        <v>210</v>
      </c>
      <c r="D52" s="44" t="s">
        <v>211</v>
      </c>
      <c r="E52" s="45">
        <v>5000</v>
      </c>
      <c r="F52" s="46"/>
      <c r="G52" s="46">
        <f>E52-F52</f>
        <v>5000</v>
      </c>
      <c r="H52" s="46"/>
      <c r="I52" s="47">
        <f>IF(G52&gt;0,K52/G52,0)</f>
        <v>0</v>
      </c>
      <c r="J52" s="47">
        <f>IF(G52&gt;0,O52/G52,0)</f>
        <v>0</v>
      </c>
      <c r="K52" s="54"/>
      <c r="L52" s="54"/>
      <c r="M52" s="54"/>
      <c r="N52" s="54"/>
      <c r="O52" s="51">
        <f t="shared" si="39"/>
        <v>0</v>
      </c>
      <c r="P52" s="51">
        <f t="shared" si="40"/>
        <v>0</v>
      </c>
      <c r="Q52" s="51">
        <f t="shared" si="41"/>
        <v>0</v>
      </c>
      <c r="R52" s="52">
        <f t="shared" si="42"/>
        <v>0</v>
      </c>
      <c r="S52" s="52">
        <f t="shared" si="43"/>
        <v>0</v>
      </c>
      <c r="T52" s="52">
        <f t="shared" si="44"/>
        <v>0</v>
      </c>
      <c r="U52" s="369">
        <f t="shared" si="27"/>
        <v>0</v>
      </c>
      <c r="V52" s="369">
        <f t="shared" si="28"/>
        <v>0</v>
      </c>
      <c r="W52" s="369">
        <f t="shared" si="29"/>
        <v>0</v>
      </c>
      <c r="X52" s="53">
        <f t="shared" si="1"/>
        <v>0</v>
      </c>
      <c r="Y52" s="53">
        <f t="shared" si="2"/>
        <v>0</v>
      </c>
      <c r="Z52" s="53">
        <f t="shared" si="3"/>
        <v>0</v>
      </c>
      <c r="AA52" s="54"/>
      <c r="AB52" s="54"/>
      <c r="AC52" s="54"/>
      <c r="AD52" s="54"/>
      <c r="AE52" s="55"/>
      <c r="AF52" s="55"/>
      <c r="AG52" s="55"/>
      <c r="AH52" s="55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>
        <f t="shared" si="33"/>
        <v>0</v>
      </c>
      <c r="BO52" s="58">
        <f t="shared" si="34"/>
        <v>0</v>
      </c>
      <c r="BP52" s="54">
        <f t="shared" si="35"/>
        <v>0</v>
      </c>
      <c r="BQ52" s="54">
        <f t="shared" si="9"/>
        <v>0</v>
      </c>
      <c r="BR52" s="54">
        <f t="shared" si="10"/>
        <v>0</v>
      </c>
      <c r="BS52" s="54">
        <f t="shared" si="11"/>
        <v>0</v>
      </c>
      <c r="BT52" s="54">
        <f t="shared" si="36"/>
        <v>0</v>
      </c>
      <c r="BU52" s="54">
        <f t="shared" si="37"/>
        <v>0</v>
      </c>
      <c r="BV52" s="54">
        <f t="shared" si="38"/>
        <v>0</v>
      </c>
      <c r="BW52" s="54">
        <f t="shared" si="15"/>
        <v>0</v>
      </c>
      <c r="BX52" s="1"/>
      <c r="BY52" s="1"/>
      <c r="BZ52" s="1"/>
      <c r="CA52" s="1"/>
      <c r="CB52" s="1"/>
      <c r="CC52" s="1"/>
      <c r="CD52" s="1"/>
      <c r="CE52" s="1"/>
      <c r="CF52" s="1"/>
      <c r="CG52" s="1"/>
    </row>
    <row r="53" spans="1:85" ht="15.75" customHeight="1">
      <c r="A53" s="43" t="s">
        <v>212</v>
      </c>
      <c r="B53" s="426"/>
      <c r="C53" s="394" t="s">
        <v>209</v>
      </c>
      <c r="D53" s="73" t="s">
        <v>213</v>
      </c>
      <c r="E53" s="45">
        <v>60000</v>
      </c>
      <c r="F53" s="46">
        <v>0</v>
      </c>
      <c r="G53" s="46">
        <f>E53-F53</f>
        <v>60000</v>
      </c>
      <c r="H53" s="46"/>
      <c r="I53" s="47">
        <f>IF(G53&gt;0,K53/G53,0)</f>
        <v>0.41666666666666669</v>
      </c>
      <c r="J53" s="47">
        <f>IF(G53&gt;0,O53/G53,0)</f>
        <v>0.35657783333333332</v>
      </c>
      <c r="K53" s="48">
        <v>25000</v>
      </c>
      <c r="L53" s="54"/>
      <c r="M53" s="54"/>
      <c r="N53" s="54"/>
      <c r="O53" s="51">
        <f t="shared" si="39"/>
        <v>21394.67</v>
      </c>
      <c r="P53" s="51">
        <f t="shared" si="40"/>
        <v>0</v>
      </c>
      <c r="Q53" s="51">
        <f t="shared" si="41"/>
        <v>0</v>
      </c>
      <c r="R53" s="52">
        <f t="shared" si="42"/>
        <v>21394.67</v>
      </c>
      <c r="S53" s="52">
        <f t="shared" si="43"/>
        <v>0</v>
      </c>
      <c r="T53" s="52">
        <f t="shared" si="44"/>
        <v>0</v>
      </c>
      <c r="U53" s="369">
        <f t="shared" si="27"/>
        <v>3605.3300000000017</v>
      </c>
      <c r="V53" s="369">
        <f t="shared" si="28"/>
        <v>0</v>
      </c>
      <c r="W53" s="369">
        <f t="shared" si="29"/>
        <v>0</v>
      </c>
      <c r="X53" s="53">
        <f t="shared" si="1"/>
        <v>0.85578679999999996</v>
      </c>
      <c r="Y53" s="53">
        <f t="shared" si="2"/>
        <v>0</v>
      </c>
      <c r="Z53" s="53">
        <f t="shared" si="3"/>
        <v>0</v>
      </c>
      <c r="AA53" s="54"/>
      <c r="AB53" s="54"/>
      <c r="AC53" s="54"/>
      <c r="AD53" s="54"/>
      <c r="AE53" s="55"/>
      <c r="AF53" s="55"/>
      <c r="AG53" s="55"/>
      <c r="AH53" s="55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>
        <f>20523.64</f>
        <v>20523.64</v>
      </c>
      <c r="AW53" s="54"/>
      <c r="AX53" s="54"/>
      <c r="AY53" s="54">
        <f>871.03</f>
        <v>871.03</v>
      </c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>
        <f t="shared" si="33"/>
        <v>21394.67</v>
      </c>
      <c r="BO53" s="58">
        <f t="shared" si="34"/>
        <v>0</v>
      </c>
      <c r="BP53" s="54">
        <f t="shared" si="35"/>
        <v>21394.67</v>
      </c>
      <c r="BQ53" s="54">
        <f t="shared" si="9"/>
        <v>3605.3300000000017</v>
      </c>
      <c r="BR53" s="54">
        <f t="shared" si="10"/>
        <v>0</v>
      </c>
      <c r="BS53" s="54">
        <f t="shared" si="11"/>
        <v>3605.3300000000017</v>
      </c>
      <c r="BT53" s="54">
        <f t="shared" si="36"/>
        <v>0</v>
      </c>
      <c r="BU53" s="54">
        <f t="shared" si="37"/>
        <v>21394.67</v>
      </c>
      <c r="BV53" s="54">
        <f t="shared" si="38"/>
        <v>3605.3300000000017</v>
      </c>
      <c r="BW53" s="54">
        <f t="shared" si="15"/>
        <v>21394.67</v>
      </c>
      <c r="BX53" s="1"/>
      <c r="BY53" s="1"/>
      <c r="BZ53" s="1"/>
      <c r="CA53" s="1"/>
      <c r="CB53" s="1"/>
      <c r="CC53" s="1"/>
      <c r="CD53" s="1"/>
      <c r="CE53" s="1"/>
      <c r="CF53" s="1"/>
      <c r="CG53" s="1"/>
    </row>
    <row r="54" spans="1:85" ht="15.75" customHeight="1">
      <c r="A54" s="56"/>
      <c r="B54" s="426"/>
      <c r="C54" s="394"/>
      <c r="D54" s="44"/>
      <c r="E54" s="45"/>
      <c r="F54" s="46"/>
      <c r="G54" s="46"/>
      <c r="H54" s="46"/>
      <c r="I54" s="47"/>
      <c r="J54" s="47"/>
      <c r="K54" s="54"/>
      <c r="L54" s="54"/>
      <c r="M54" s="48"/>
      <c r="N54" s="54"/>
      <c r="O54" s="51">
        <f t="shared" si="39"/>
        <v>0</v>
      </c>
      <c r="P54" s="51">
        <f t="shared" si="40"/>
        <v>0</v>
      </c>
      <c r="Q54" s="51">
        <f t="shared" si="41"/>
        <v>0</v>
      </c>
      <c r="R54" s="52">
        <f t="shared" si="42"/>
        <v>0</v>
      </c>
      <c r="S54" s="52">
        <f t="shared" si="43"/>
        <v>0</v>
      </c>
      <c r="T54" s="52">
        <f t="shared" si="44"/>
        <v>0</v>
      </c>
      <c r="U54" s="369">
        <f t="shared" si="27"/>
        <v>0</v>
      </c>
      <c r="V54" s="369">
        <f t="shared" si="28"/>
        <v>0</v>
      </c>
      <c r="W54" s="369">
        <f t="shared" si="29"/>
        <v>0</v>
      </c>
      <c r="X54" s="53">
        <f t="shared" si="1"/>
        <v>0</v>
      </c>
      <c r="Y54" s="53">
        <f t="shared" si="2"/>
        <v>0</v>
      </c>
      <c r="Z54" s="53">
        <f t="shared" si="3"/>
        <v>0</v>
      </c>
      <c r="AA54" s="54"/>
      <c r="AB54" s="54"/>
      <c r="AC54" s="54"/>
      <c r="AD54" s="54"/>
      <c r="AE54" s="55"/>
      <c r="AF54" s="55"/>
      <c r="AG54" s="55"/>
      <c r="AH54" s="55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>
        <f t="shared" si="33"/>
        <v>0</v>
      </c>
      <c r="BO54" s="58">
        <f t="shared" si="34"/>
        <v>0</v>
      </c>
      <c r="BP54" s="54">
        <f t="shared" si="35"/>
        <v>0</v>
      </c>
      <c r="BQ54" s="54">
        <f t="shared" si="9"/>
        <v>0</v>
      </c>
      <c r="BR54" s="54">
        <f t="shared" si="10"/>
        <v>0</v>
      </c>
      <c r="BS54" s="54">
        <f t="shared" si="11"/>
        <v>0</v>
      </c>
      <c r="BT54" s="54">
        <f t="shared" si="36"/>
        <v>0</v>
      </c>
      <c r="BU54" s="54">
        <f t="shared" si="37"/>
        <v>0</v>
      </c>
      <c r="BV54" s="54">
        <f t="shared" si="38"/>
        <v>0</v>
      </c>
      <c r="BW54" s="54">
        <f t="shared" si="15"/>
        <v>0</v>
      </c>
      <c r="BX54" s="1"/>
      <c r="BY54" s="1"/>
      <c r="BZ54" s="1"/>
      <c r="CA54" s="1"/>
      <c r="CB54" s="1"/>
      <c r="CC54" s="1"/>
      <c r="CD54" s="1"/>
      <c r="CE54" s="1"/>
      <c r="CF54" s="1"/>
      <c r="CG54" s="1"/>
    </row>
    <row r="55" spans="1:85" ht="15.75" customHeight="1">
      <c r="A55" s="56"/>
      <c r="B55" s="426" t="s">
        <v>214</v>
      </c>
      <c r="C55" s="394" t="s">
        <v>215</v>
      </c>
      <c r="D55" s="44" t="s">
        <v>216</v>
      </c>
      <c r="E55" s="45">
        <v>1000</v>
      </c>
      <c r="F55" s="46"/>
      <c r="G55" s="46">
        <f t="shared" ref="G55:G67" si="48">E55-F55</f>
        <v>1000</v>
      </c>
      <c r="H55" s="46"/>
      <c r="I55" s="47">
        <f t="shared" ref="I55:I67" si="49">IF(G55&gt;0,K55/G55,0)</f>
        <v>0</v>
      </c>
      <c r="J55" s="47">
        <f t="shared" ref="J55:J67" si="50">IF(G55&gt;0,O55/G55,0)</f>
        <v>0</v>
      </c>
      <c r="K55" s="54"/>
      <c r="L55" s="54">
        <v>48.5</v>
      </c>
      <c r="M55" s="48">
        <v>48.5</v>
      </c>
      <c r="N55" s="54"/>
      <c r="O55" s="51">
        <f t="shared" si="39"/>
        <v>0</v>
      </c>
      <c r="P55" s="51">
        <f t="shared" si="40"/>
        <v>0</v>
      </c>
      <c r="Q55" s="51">
        <f t="shared" si="41"/>
        <v>0</v>
      </c>
      <c r="R55" s="52">
        <f t="shared" si="42"/>
        <v>0</v>
      </c>
      <c r="S55" s="52">
        <f t="shared" si="43"/>
        <v>0</v>
      </c>
      <c r="T55" s="52">
        <f t="shared" si="44"/>
        <v>0</v>
      </c>
      <c r="U55" s="369">
        <f t="shared" si="27"/>
        <v>0</v>
      </c>
      <c r="V55" s="369">
        <f t="shared" si="28"/>
        <v>0</v>
      </c>
      <c r="W55" s="369">
        <f t="shared" si="29"/>
        <v>0</v>
      </c>
      <c r="X55" s="53">
        <f t="shared" si="1"/>
        <v>0</v>
      </c>
      <c r="Y55" s="53">
        <f t="shared" si="2"/>
        <v>0</v>
      </c>
      <c r="Z55" s="53">
        <f t="shared" si="3"/>
        <v>0</v>
      </c>
      <c r="AA55" s="54"/>
      <c r="AB55" s="54"/>
      <c r="AC55" s="54"/>
      <c r="AD55" s="54"/>
      <c r="AE55" s="55"/>
      <c r="AF55" s="55"/>
      <c r="AG55" s="55"/>
      <c r="AH55" s="55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>
        <f t="shared" si="33"/>
        <v>0</v>
      </c>
      <c r="BO55" s="58">
        <f t="shared" si="34"/>
        <v>0</v>
      </c>
      <c r="BP55" s="54">
        <f t="shared" si="35"/>
        <v>0</v>
      </c>
      <c r="BQ55" s="54">
        <f t="shared" si="9"/>
        <v>0</v>
      </c>
      <c r="BR55" s="54">
        <f t="shared" si="10"/>
        <v>0</v>
      </c>
      <c r="BS55" s="54">
        <f t="shared" si="11"/>
        <v>0</v>
      </c>
      <c r="BT55" s="54">
        <f t="shared" si="36"/>
        <v>0</v>
      </c>
      <c r="BU55" s="54">
        <f t="shared" si="37"/>
        <v>0</v>
      </c>
      <c r="BV55" s="54">
        <f t="shared" si="38"/>
        <v>0</v>
      </c>
      <c r="BW55" s="54">
        <f t="shared" si="15"/>
        <v>0</v>
      </c>
      <c r="BX55" s="1"/>
      <c r="BY55" s="1"/>
      <c r="BZ55" s="1"/>
      <c r="CA55" s="1"/>
      <c r="CB55" s="1"/>
      <c r="CC55" s="1"/>
      <c r="CD55" s="1"/>
      <c r="CE55" s="1"/>
      <c r="CF55" s="1"/>
      <c r="CG55" s="1"/>
    </row>
    <row r="56" spans="1:85" ht="15.75" customHeight="1">
      <c r="A56" s="56"/>
      <c r="B56" s="426" t="s">
        <v>165</v>
      </c>
      <c r="C56" s="394" t="s">
        <v>215</v>
      </c>
      <c r="D56" s="44" t="s">
        <v>217</v>
      </c>
      <c r="E56" s="45"/>
      <c r="F56" s="46"/>
      <c r="G56" s="46">
        <f t="shared" si="48"/>
        <v>0</v>
      </c>
      <c r="H56" s="46"/>
      <c r="I56" s="47">
        <f t="shared" si="49"/>
        <v>0</v>
      </c>
      <c r="J56" s="47">
        <f t="shared" si="50"/>
        <v>0</v>
      </c>
      <c r="K56" s="54"/>
      <c r="L56" s="54">
        <v>145</v>
      </c>
      <c r="M56" s="48">
        <v>145</v>
      </c>
      <c r="N56" s="54"/>
      <c r="O56" s="51">
        <f t="shared" si="39"/>
        <v>0</v>
      </c>
      <c r="P56" s="51">
        <f t="shared" si="40"/>
        <v>0</v>
      </c>
      <c r="Q56" s="51">
        <f t="shared" si="41"/>
        <v>0</v>
      </c>
      <c r="R56" s="52">
        <f t="shared" si="42"/>
        <v>0</v>
      </c>
      <c r="S56" s="52">
        <f t="shared" si="43"/>
        <v>0</v>
      </c>
      <c r="T56" s="52">
        <f t="shared" si="44"/>
        <v>0</v>
      </c>
      <c r="U56" s="369">
        <f t="shared" si="27"/>
        <v>0</v>
      </c>
      <c r="V56" s="369">
        <f t="shared" si="28"/>
        <v>0</v>
      </c>
      <c r="W56" s="369">
        <f t="shared" si="29"/>
        <v>0</v>
      </c>
      <c r="X56" s="53">
        <f t="shared" si="1"/>
        <v>0</v>
      </c>
      <c r="Y56" s="53">
        <f t="shared" si="2"/>
        <v>0</v>
      </c>
      <c r="Z56" s="53">
        <f t="shared" si="3"/>
        <v>0</v>
      </c>
      <c r="AA56" s="54"/>
      <c r="AB56" s="54"/>
      <c r="AC56" s="54"/>
      <c r="AD56" s="54"/>
      <c r="AE56" s="55"/>
      <c r="AF56" s="55"/>
      <c r="AG56" s="55"/>
      <c r="AH56" s="55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>
        <f t="shared" si="33"/>
        <v>0</v>
      </c>
      <c r="BO56" s="58">
        <f t="shared" si="34"/>
        <v>0</v>
      </c>
      <c r="BP56" s="54">
        <f t="shared" si="35"/>
        <v>0</v>
      </c>
      <c r="BQ56" s="54">
        <f t="shared" si="9"/>
        <v>0</v>
      </c>
      <c r="BR56" s="54">
        <f t="shared" si="10"/>
        <v>0</v>
      </c>
      <c r="BS56" s="54">
        <f t="shared" si="11"/>
        <v>0</v>
      </c>
      <c r="BT56" s="54">
        <f t="shared" si="36"/>
        <v>0</v>
      </c>
      <c r="BU56" s="54">
        <f t="shared" si="37"/>
        <v>0</v>
      </c>
      <c r="BV56" s="54">
        <f t="shared" si="38"/>
        <v>0</v>
      </c>
      <c r="BW56" s="54">
        <f t="shared" si="15"/>
        <v>0</v>
      </c>
      <c r="BX56" s="1"/>
      <c r="BY56" s="1"/>
      <c r="BZ56" s="1"/>
      <c r="CA56" s="1"/>
      <c r="CB56" s="1"/>
      <c r="CC56" s="1"/>
      <c r="CD56" s="1"/>
      <c r="CE56" s="1"/>
      <c r="CF56" s="1"/>
      <c r="CG56" s="1"/>
    </row>
    <row r="57" spans="1:85" ht="15.75" customHeight="1">
      <c r="A57" s="56"/>
      <c r="B57" s="426"/>
      <c r="C57" s="394" t="s">
        <v>218</v>
      </c>
      <c r="D57" s="44" t="s">
        <v>219</v>
      </c>
      <c r="E57" s="45">
        <v>25000</v>
      </c>
      <c r="F57" s="46"/>
      <c r="G57" s="46">
        <f t="shared" si="48"/>
        <v>25000</v>
      </c>
      <c r="H57" s="46"/>
      <c r="I57" s="47">
        <f t="shared" si="49"/>
        <v>0</v>
      </c>
      <c r="J57" s="47">
        <f t="shared" si="50"/>
        <v>0</v>
      </c>
      <c r="K57" s="54"/>
      <c r="L57" s="54"/>
      <c r="M57" s="54"/>
      <c r="N57" s="54"/>
      <c r="O57" s="51">
        <f t="shared" si="39"/>
        <v>0</v>
      </c>
      <c r="P57" s="51">
        <f t="shared" si="40"/>
        <v>0</v>
      </c>
      <c r="Q57" s="51">
        <f t="shared" si="41"/>
        <v>0</v>
      </c>
      <c r="R57" s="52">
        <f t="shared" si="42"/>
        <v>0</v>
      </c>
      <c r="S57" s="52">
        <f t="shared" si="43"/>
        <v>0</v>
      </c>
      <c r="T57" s="52">
        <f t="shared" si="44"/>
        <v>0</v>
      </c>
      <c r="U57" s="369">
        <f t="shared" si="27"/>
        <v>0</v>
      </c>
      <c r="V57" s="369">
        <f t="shared" si="28"/>
        <v>0</v>
      </c>
      <c r="W57" s="369">
        <f t="shared" si="29"/>
        <v>0</v>
      </c>
      <c r="X57" s="53">
        <f t="shared" si="1"/>
        <v>0</v>
      </c>
      <c r="Y57" s="53">
        <f t="shared" si="2"/>
        <v>0</v>
      </c>
      <c r="Z57" s="53">
        <f t="shared" si="3"/>
        <v>0</v>
      </c>
      <c r="AA57" s="54"/>
      <c r="AB57" s="54"/>
      <c r="AC57" s="54"/>
      <c r="AD57" s="54"/>
      <c r="AE57" s="55"/>
      <c r="AF57" s="55"/>
      <c r="AG57" s="55"/>
      <c r="AH57" s="55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>
        <f t="shared" si="33"/>
        <v>0</v>
      </c>
      <c r="BO57" s="58">
        <f t="shared" si="34"/>
        <v>0</v>
      </c>
      <c r="BP57" s="54">
        <f t="shared" si="35"/>
        <v>0</v>
      </c>
      <c r="BQ57" s="54">
        <f t="shared" si="9"/>
        <v>0</v>
      </c>
      <c r="BR57" s="54">
        <f t="shared" si="10"/>
        <v>0</v>
      </c>
      <c r="BS57" s="54">
        <f t="shared" si="11"/>
        <v>0</v>
      </c>
      <c r="BT57" s="54">
        <f t="shared" si="36"/>
        <v>0</v>
      </c>
      <c r="BU57" s="54">
        <f t="shared" si="37"/>
        <v>0</v>
      </c>
      <c r="BV57" s="54">
        <f t="shared" si="38"/>
        <v>0</v>
      </c>
      <c r="BW57" s="54">
        <f t="shared" si="15"/>
        <v>0</v>
      </c>
      <c r="BX57" s="1"/>
      <c r="BY57" s="1"/>
      <c r="BZ57" s="1"/>
      <c r="CA57" s="1"/>
      <c r="CB57" s="1"/>
      <c r="CC57" s="1"/>
      <c r="CD57" s="1"/>
      <c r="CE57" s="1"/>
      <c r="CF57" s="1"/>
      <c r="CG57" s="1"/>
    </row>
    <row r="58" spans="1:85" ht="15.75" customHeight="1">
      <c r="A58" s="56"/>
      <c r="B58" s="426"/>
      <c r="C58" s="394" t="s">
        <v>220</v>
      </c>
      <c r="D58" s="44" t="s">
        <v>221</v>
      </c>
      <c r="E58" s="45">
        <v>5000</v>
      </c>
      <c r="F58" s="46"/>
      <c r="G58" s="46">
        <f t="shared" si="48"/>
        <v>5000</v>
      </c>
      <c r="H58" s="46"/>
      <c r="I58" s="47">
        <f t="shared" si="49"/>
        <v>0</v>
      </c>
      <c r="J58" s="47">
        <f t="shared" si="50"/>
        <v>0</v>
      </c>
      <c r="K58" s="54"/>
      <c r="L58" s="54"/>
      <c r="M58" s="54"/>
      <c r="N58" s="54"/>
      <c r="O58" s="51">
        <f t="shared" si="39"/>
        <v>0</v>
      </c>
      <c r="P58" s="51">
        <f t="shared" si="40"/>
        <v>0</v>
      </c>
      <c r="Q58" s="51">
        <f t="shared" si="41"/>
        <v>0</v>
      </c>
      <c r="R58" s="52">
        <f t="shared" si="42"/>
        <v>0</v>
      </c>
      <c r="S58" s="52">
        <f t="shared" si="43"/>
        <v>0</v>
      </c>
      <c r="T58" s="52">
        <f t="shared" si="44"/>
        <v>0</v>
      </c>
      <c r="U58" s="369">
        <f t="shared" si="27"/>
        <v>0</v>
      </c>
      <c r="V58" s="369">
        <f t="shared" si="28"/>
        <v>0</v>
      </c>
      <c r="W58" s="369">
        <f t="shared" si="29"/>
        <v>0</v>
      </c>
      <c r="X58" s="53">
        <f t="shared" si="1"/>
        <v>0</v>
      </c>
      <c r="Y58" s="53">
        <f t="shared" si="2"/>
        <v>0</v>
      </c>
      <c r="Z58" s="53">
        <f t="shared" si="3"/>
        <v>0</v>
      </c>
      <c r="AA58" s="54"/>
      <c r="AB58" s="54"/>
      <c r="AC58" s="54"/>
      <c r="AD58" s="54"/>
      <c r="AE58" s="55"/>
      <c r="AF58" s="55"/>
      <c r="AG58" s="55"/>
      <c r="AH58" s="55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>
        <f t="shared" si="33"/>
        <v>0</v>
      </c>
      <c r="BO58" s="58">
        <f t="shared" si="34"/>
        <v>0</v>
      </c>
      <c r="BP58" s="54">
        <f t="shared" si="35"/>
        <v>0</v>
      </c>
      <c r="BQ58" s="54">
        <f t="shared" si="9"/>
        <v>0</v>
      </c>
      <c r="BR58" s="54">
        <f t="shared" si="10"/>
        <v>0</v>
      </c>
      <c r="BS58" s="54">
        <f t="shared" si="11"/>
        <v>0</v>
      </c>
      <c r="BT58" s="54">
        <f t="shared" si="36"/>
        <v>0</v>
      </c>
      <c r="BU58" s="54">
        <f t="shared" si="37"/>
        <v>0</v>
      </c>
      <c r="BV58" s="54">
        <f t="shared" si="38"/>
        <v>0</v>
      </c>
      <c r="BW58" s="54">
        <f t="shared" si="15"/>
        <v>0</v>
      </c>
      <c r="BX58" s="1"/>
      <c r="BY58" s="1"/>
      <c r="BZ58" s="1"/>
      <c r="CA58" s="1"/>
      <c r="CB58" s="1"/>
      <c r="CC58" s="1"/>
      <c r="CD58" s="1"/>
      <c r="CE58" s="1"/>
      <c r="CF58" s="1"/>
      <c r="CG58" s="1"/>
    </row>
    <row r="59" spans="1:85" ht="15.75" customHeight="1">
      <c r="A59" s="56"/>
      <c r="B59" s="426" t="s">
        <v>214</v>
      </c>
      <c r="C59" s="394" t="s">
        <v>220</v>
      </c>
      <c r="D59" s="44" t="s">
        <v>222</v>
      </c>
      <c r="E59" s="45"/>
      <c r="F59" s="46"/>
      <c r="G59" s="46">
        <f t="shared" si="48"/>
        <v>0</v>
      </c>
      <c r="H59" s="46"/>
      <c r="I59" s="47">
        <f t="shared" si="49"/>
        <v>0</v>
      </c>
      <c r="J59" s="47">
        <f t="shared" si="50"/>
        <v>0</v>
      </c>
      <c r="K59" s="54"/>
      <c r="L59" s="54">
        <v>2388</v>
      </c>
      <c r="M59" s="48">
        <v>2388</v>
      </c>
      <c r="N59" s="54"/>
      <c r="O59" s="51">
        <f t="shared" si="39"/>
        <v>0</v>
      </c>
      <c r="P59" s="51">
        <f t="shared" si="40"/>
        <v>0</v>
      </c>
      <c r="Q59" s="51">
        <f t="shared" si="41"/>
        <v>0</v>
      </c>
      <c r="R59" s="52">
        <f t="shared" si="42"/>
        <v>0</v>
      </c>
      <c r="S59" s="52">
        <f t="shared" si="43"/>
        <v>0</v>
      </c>
      <c r="T59" s="52">
        <f t="shared" si="44"/>
        <v>0</v>
      </c>
      <c r="U59" s="369">
        <f t="shared" si="27"/>
        <v>0</v>
      </c>
      <c r="V59" s="369">
        <f t="shared" si="28"/>
        <v>0</v>
      </c>
      <c r="W59" s="369">
        <f t="shared" si="29"/>
        <v>0</v>
      </c>
      <c r="X59" s="53">
        <f t="shared" si="1"/>
        <v>0</v>
      </c>
      <c r="Y59" s="53">
        <f t="shared" si="2"/>
        <v>0</v>
      </c>
      <c r="Z59" s="53">
        <f t="shared" si="3"/>
        <v>0</v>
      </c>
      <c r="AA59" s="54"/>
      <c r="AB59" s="54"/>
      <c r="AC59" s="54"/>
      <c r="AD59" s="54"/>
      <c r="AE59" s="55"/>
      <c r="AF59" s="55"/>
      <c r="AG59" s="55"/>
      <c r="AH59" s="55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>
        <f t="shared" si="33"/>
        <v>0</v>
      </c>
      <c r="BO59" s="58">
        <f t="shared" si="34"/>
        <v>0</v>
      </c>
      <c r="BP59" s="54">
        <f t="shared" si="35"/>
        <v>0</v>
      </c>
      <c r="BQ59" s="54">
        <f t="shared" si="9"/>
        <v>0</v>
      </c>
      <c r="BR59" s="54">
        <f t="shared" si="10"/>
        <v>0</v>
      </c>
      <c r="BS59" s="54">
        <f t="shared" si="11"/>
        <v>0</v>
      </c>
      <c r="BT59" s="54">
        <f t="shared" si="36"/>
        <v>0</v>
      </c>
      <c r="BU59" s="54">
        <f t="shared" si="37"/>
        <v>0</v>
      </c>
      <c r="BV59" s="54">
        <f t="shared" si="38"/>
        <v>0</v>
      </c>
      <c r="BW59" s="54">
        <f t="shared" si="15"/>
        <v>0</v>
      </c>
      <c r="BX59" s="1"/>
      <c r="BY59" s="1"/>
      <c r="BZ59" s="1"/>
      <c r="CA59" s="1"/>
      <c r="CB59" s="1"/>
      <c r="CC59" s="1"/>
      <c r="CD59" s="1"/>
      <c r="CE59" s="1"/>
      <c r="CF59" s="1"/>
      <c r="CG59" s="1"/>
    </row>
    <row r="60" spans="1:85" ht="15.75" customHeight="1">
      <c r="A60" s="56"/>
      <c r="B60" s="426" t="s">
        <v>223</v>
      </c>
      <c r="C60" s="394" t="s">
        <v>224</v>
      </c>
      <c r="D60" s="77" t="s">
        <v>225</v>
      </c>
      <c r="E60" s="45"/>
      <c r="F60" s="46"/>
      <c r="G60" s="46">
        <f t="shared" si="48"/>
        <v>0</v>
      </c>
      <c r="H60" s="46"/>
      <c r="I60" s="47">
        <f t="shared" si="49"/>
        <v>0</v>
      </c>
      <c r="J60" s="47">
        <f t="shared" si="50"/>
        <v>0</v>
      </c>
      <c r="K60" s="54"/>
      <c r="L60" s="54">
        <v>14495.15</v>
      </c>
      <c r="M60" s="54"/>
      <c r="N60" s="54"/>
      <c r="O60" s="51">
        <f t="shared" si="39"/>
        <v>0</v>
      </c>
      <c r="P60" s="51">
        <f t="shared" si="40"/>
        <v>14495.15</v>
      </c>
      <c r="Q60" s="51">
        <f t="shared" si="41"/>
        <v>0</v>
      </c>
      <c r="R60" s="52">
        <f t="shared" si="42"/>
        <v>0</v>
      </c>
      <c r="S60" s="52">
        <f t="shared" si="43"/>
        <v>14495.15</v>
      </c>
      <c r="T60" s="52">
        <f t="shared" si="44"/>
        <v>0</v>
      </c>
      <c r="U60" s="369">
        <f t="shared" si="27"/>
        <v>0</v>
      </c>
      <c r="V60" s="369">
        <f t="shared" si="28"/>
        <v>0</v>
      </c>
      <c r="W60" s="369">
        <f t="shared" si="29"/>
        <v>0</v>
      </c>
      <c r="X60" s="53">
        <f t="shared" si="1"/>
        <v>0</v>
      </c>
      <c r="Y60" s="53">
        <f t="shared" si="2"/>
        <v>1</v>
      </c>
      <c r="Z60" s="53">
        <f t="shared" si="3"/>
        <v>0</v>
      </c>
      <c r="AA60" s="54"/>
      <c r="AB60" s="54"/>
      <c r="AC60" s="54"/>
      <c r="AD60" s="54"/>
      <c r="AE60" s="55"/>
      <c r="AF60" s="55"/>
      <c r="AG60" s="55"/>
      <c r="AH60" s="55"/>
      <c r="AI60" s="54"/>
      <c r="AJ60" s="54"/>
      <c r="AK60" s="54"/>
      <c r="AL60" s="54"/>
      <c r="AM60" s="54"/>
      <c r="AN60" s="48">
        <v>3114.1</v>
      </c>
      <c r="AO60" s="54"/>
      <c r="AP60" s="54"/>
      <c r="AQ60" s="48">
        <v>11381.05</v>
      </c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>
        <f t="shared" si="33"/>
        <v>0</v>
      </c>
      <c r="BO60" s="58">
        <f t="shared" si="34"/>
        <v>0</v>
      </c>
      <c r="BP60" s="54">
        <f t="shared" si="35"/>
        <v>0</v>
      </c>
      <c r="BQ60" s="54">
        <f t="shared" si="9"/>
        <v>0</v>
      </c>
      <c r="BR60" s="54">
        <f t="shared" si="10"/>
        <v>0</v>
      </c>
      <c r="BS60" s="54">
        <f t="shared" si="11"/>
        <v>0</v>
      </c>
      <c r="BT60" s="54">
        <f t="shared" si="36"/>
        <v>0</v>
      </c>
      <c r="BU60" s="54">
        <f t="shared" si="37"/>
        <v>0</v>
      </c>
      <c r="BV60" s="54">
        <f t="shared" si="38"/>
        <v>0</v>
      </c>
      <c r="BW60" s="54">
        <f t="shared" si="15"/>
        <v>0</v>
      </c>
      <c r="BX60" s="1"/>
      <c r="BY60" s="1"/>
      <c r="BZ60" s="1"/>
      <c r="CA60" s="1"/>
      <c r="CB60" s="1"/>
      <c r="CC60" s="1"/>
      <c r="CD60" s="1"/>
      <c r="CE60" s="1"/>
      <c r="CF60" s="1"/>
      <c r="CG60" s="1"/>
    </row>
    <row r="61" spans="1:85" ht="15.75" customHeight="1">
      <c r="A61" s="56"/>
      <c r="B61" s="426"/>
      <c r="C61" s="394" t="s">
        <v>122</v>
      </c>
      <c r="D61" s="44" t="s">
        <v>123</v>
      </c>
      <c r="E61" s="45">
        <v>2000</v>
      </c>
      <c r="F61" s="46"/>
      <c r="G61" s="46">
        <f t="shared" si="48"/>
        <v>2000</v>
      </c>
      <c r="H61" s="46"/>
      <c r="I61" s="47">
        <f t="shared" si="49"/>
        <v>0</v>
      </c>
      <c r="J61" s="47">
        <f t="shared" si="50"/>
        <v>0</v>
      </c>
      <c r="K61" s="54"/>
      <c r="L61" s="54"/>
      <c r="M61" s="54"/>
      <c r="N61" s="54"/>
      <c r="O61" s="51">
        <f t="shared" si="39"/>
        <v>0</v>
      </c>
      <c r="P61" s="51">
        <f t="shared" si="40"/>
        <v>0</v>
      </c>
      <c r="Q61" s="51">
        <f t="shared" si="41"/>
        <v>0</v>
      </c>
      <c r="R61" s="52">
        <f t="shared" si="42"/>
        <v>0</v>
      </c>
      <c r="S61" s="52">
        <f t="shared" si="43"/>
        <v>0</v>
      </c>
      <c r="T61" s="52">
        <f t="shared" si="44"/>
        <v>0</v>
      </c>
      <c r="U61" s="369">
        <f t="shared" si="27"/>
        <v>0</v>
      </c>
      <c r="V61" s="369">
        <f t="shared" si="28"/>
        <v>0</v>
      </c>
      <c r="W61" s="369">
        <f t="shared" si="29"/>
        <v>0</v>
      </c>
      <c r="X61" s="53">
        <f t="shared" si="1"/>
        <v>0</v>
      </c>
      <c r="Y61" s="53">
        <f t="shared" si="2"/>
        <v>0</v>
      </c>
      <c r="Z61" s="53">
        <f t="shared" si="3"/>
        <v>0</v>
      </c>
      <c r="AA61" s="54"/>
      <c r="AB61" s="54"/>
      <c r="AC61" s="54"/>
      <c r="AD61" s="54"/>
      <c r="AE61" s="55"/>
      <c r="AF61" s="55"/>
      <c r="AG61" s="55"/>
      <c r="AH61" s="55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>
        <f t="shared" si="33"/>
        <v>0</v>
      </c>
      <c r="BO61" s="58">
        <f t="shared" si="34"/>
        <v>0</v>
      </c>
      <c r="BP61" s="54">
        <f t="shared" si="35"/>
        <v>0</v>
      </c>
      <c r="BQ61" s="54">
        <f t="shared" si="9"/>
        <v>0</v>
      </c>
      <c r="BR61" s="54">
        <f t="shared" si="10"/>
        <v>0</v>
      </c>
      <c r="BS61" s="54">
        <f t="shared" si="11"/>
        <v>0</v>
      </c>
      <c r="BT61" s="54">
        <f t="shared" si="36"/>
        <v>0</v>
      </c>
      <c r="BU61" s="54">
        <f t="shared" si="37"/>
        <v>0</v>
      </c>
      <c r="BV61" s="54">
        <f t="shared" si="38"/>
        <v>0</v>
      </c>
      <c r="BW61" s="54">
        <f t="shared" si="15"/>
        <v>0</v>
      </c>
      <c r="BX61" s="1"/>
      <c r="BY61" s="1"/>
      <c r="BZ61" s="1"/>
      <c r="CA61" s="1"/>
      <c r="CB61" s="1"/>
      <c r="CC61" s="1"/>
      <c r="CD61" s="1"/>
      <c r="CE61" s="1"/>
      <c r="CF61" s="1"/>
      <c r="CG61" s="1"/>
    </row>
    <row r="62" spans="1:85" ht="15.75" customHeight="1">
      <c r="A62" s="56"/>
      <c r="B62" s="426"/>
      <c r="C62" s="394" t="s">
        <v>226</v>
      </c>
      <c r="D62" s="78" t="s">
        <v>227</v>
      </c>
      <c r="E62" s="45">
        <v>90000</v>
      </c>
      <c r="F62" s="46"/>
      <c r="G62" s="46">
        <f t="shared" si="48"/>
        <v>90000</v>
      </c>
      <c r="H62" s="46"/>
      <c r="I62" s="47">
        <f t="shared" si="49"/>
        <v>0</v>
      </c>
      <c r="J62" s="47">
        <f t="shared" si="50"/>
        <v>0</v>
      </c>
      <c r="K62" s="54"/>
      <c r="L62" s="54"/>
      <c r="M62" s="54"/>
      <c r="N62" s="54"/>
      <c r="O62" s="51">
        <f t="shared" si="39"/>
        <v>0</v>
      </c>
      <c r="P62" s="51">
        <f t="shared" si="40"/>
        <v>0</v>
      </c>
      <c r="Q62" s="51">
        <f t="shared" si="41"/>
        <v>0</v>
      </c>
      <c r="R62" s="52">
        <f t="shared" si="42"/>
        <v>0</v>
      </c>
      <c r="S62" s="52">
        <f t="shared" si="43"/>
        <v>0</v>
      </c>
      <c r="T62" s="52">
        <f t="shared" si="44"/>
        <v>0</v>
      </c>
      <c r="U62" s="369">
        <f t="shared" si="27"/>
        <v>0</v>
      </c>
      <c r="V62" s="369">
        <f t="shared" si="28"/>
        <v>0</v>
      </c>
      <c r="W62" s="369">
        <f t="shared" si="29"/>
        <v>0</v>
      </c>
      <c r="X62" s="53">
        <f t="shared" si="1"/>
        <v>0</v>
      </c>
      <c r="Y62" s="53">
        <f t="shared" si="2"/>
        <v>0</v>
      </c>
      <c r="Z62" s="53">
        <f t="shared" si="3"/>
        <v>0</v>
      </c>
      <c r="AA62" s="54"/>
      <c r="AB62" s="54"/>
      <c r="AC62" s="54"/>
      <c r="AD62" s="54"/>
      <c r="AE62" s="55"/>
      <c r="AF62" s="55"/>
      <c r="AG62" s="55"/>
      <c r="AH62" s="55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>
        <f t="shared" si="33"/>
        <v>0</v>
      </c>
      <c r="BO62" s="58">
        <f t="shared" si="34"/>
        <v>0</v>
      </c>
      <c r="BP62" s="54">
        <f t="shared" si="35"/>
        <v>0</v>
      </c>
      <c r="BQ62" s="54">
        <f t="shared" si="9"/>
        <v>0</v>
      </c>
      <c r="BR62" s="54">
        <f t="shared" si="10"/>
        <v>0</v>
      </c>
      <c r="BS62" s="54">
        <f t="shared" si="11"/>
        <v>0</v>
      </c>
      <c r="BT62" s="54">
        <f t="shared" si="36"/>
        <v>0</v>
      </c>
      <c r="BU62" s="54">
        <f t="shared" si="37"/>
        <v>0</v>
      </c>
      <c r="BV62" s="54">
        <f t="shared" si="38"/>
        <v>0</v>
      </c>
      <c r="BW62" s="54">
        <f t="shared" si="15"/>
        <v>0</v>
      </c>
      <c r="BX62" s="1"/>
      <c r="BY62" s="1"/>
      <c r="BZ62" s="1"/>
      <c r="CA62" s="1"/>
      <c r="CB62" s="1"/>
      <c r="CC62" s="1"/>
      <c r="CD62" s="1"/>
      <c r="CE62" s="1"/>
      <c r="CF62" s="1"/>
      <c r="CG62" s="1"/>
    </row>
    <row r="63" spans="1:85" ht="15.75" customHeight="1">
      <c r="A63" s="79" t="s">
        <v>228</v>
      </c>
      <c r="B63" s="426"/>
      <c r="C63" s="394" t="s">
        <v>229</v>
      </c>
      <c r="D63" s="73" t="s">
        <v>230</v>
      </c>
      <c r="E63" s="45">
        <v>700000</v>
      </c>
      <c r="F63" s="80">
        <f>300000-84348.62-40294.24</f>
        <v>175357.14</v>
      </c>
      <c r="G63" s="46">
        <f t="shared" si="48"/>
        <v>524642.86</v>
      </c>
      <c r="H63" s="46">
        <v>100000</v>
      </c>
      <c r="I63" s="47">
        <f t="shared" si="49"/>
        <v>0.98192276932921574</v>
      </c>
      <c r="J63" s="47">
        <f t="shared" si="50"/>
        <v>0.55359381046375056</v>
      </c>
      <c r="K63" s="48">
        <f>357169.82+157988.95</f>
        <v>515158.77</v>
      </c>
      <c r="L63" s="54"/>
      <c r="M63" s="54"/>
      <c r="N63" s="54"/>
      <c r="O63" s="51">
        <f t="shared" si="39"/>
        <v>290439.04000000004</v>
      </c>
      <c r="P63" s="51">
        <f t="shared" si="40"/>
        <v>0</v>
      </c>
      <c r="Q63" s="51">
        <f t="shared" si="41"/>
        <v>0</v>
      </c>
      <c r="R63" s="52">
        <f t="shared" si="42"/>
        <v>290439.04000000004</v>
      </c>
      <c r="S63" s="52">
        <f t="shared" si="43"/>
        <v>0</v>
      </c>
      <c r="T63" s="52">
        <f t="shared" si="44"/>
        <v>0</v>
      </c>
      <c r="U63" s="368">
        <f t="shared" si="27"/>
        <v>224719.72999999998</v>
      </c>
      <c r="V63" s="369">
        <f t="shared" si="28"/>
        <v>0</v>
      </c>
      <c r="W63" s="369">
        <f t="shared" si="29"/>
        <v>0</v>
      </c>
      <c r="X63" s="53">
        <f t="shared" si="1"/>
        <v>0.5637854908303318</v>
      </c>
      <c r="Y63" s="53">
        <f t="shared" si="2"/>
        <v>0</v>
      </c>
      <c r="Z63" s="53">
        <f t="shared" si="3"/>
        <v>0</v>
      </c>
      <c r="AA63" s="54"/>
      <c r="AB63" s="54"/>
      <c r="AC63" s="54"/>
      <c r="AD63" s="54"/>
      <c r="AE63" s="55"/>
      <c r="AF63" s="55"/>
      <c r="AG63" s="55"/>
      <c r="AH63" s="55"/>
      <c r="AI63" s="54"/>
      <c r="AJ63" s="54"/>
      <c r="AK63" s="54"/>
      <c r="AL63" s="54"/>
      <c r="AM63" s="54"/>
      <c r="AN63" s="54"/>
      <c r="AO63" s="54"/>
      <c r="AP63" s="48">
        <v>20569.23</v>
      </c>
      <c r="AQ63" s="54"/>
      <c r="AR63" s="54"/>
      <c r="AS63" s="54"/>
      <c r="AT63" s="54"/>
      <c r="AU63" s="54"/>
      <c r="AV63" s="54">
        <f>55940.43</f>
        <v>55940.43</v>
      </c>
      <c r="AW63" s="54"/>
      <c r="AX63" s="54"/>
      <c r="AY63" s="54">
        <f>51024.26+51024.26+55940.43+55940.43</f>
        <v>213929.38</v>
      </c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>
        <f t="shared" si="33"/>
        <v>290439.04000000004</v>
      </c>
      <c r="BO63" s="58">
        <f t="shared" si="34"/>
        <v>0</v>
      </c>
      <c r="BP63" s="54">
        <f t="shared" si="35"/>
        <v>290439.04000000004</v>
      </c>
      <c r="BQ63" s="54">
        <f t="shared" si="9"/>
        <v>224719.72999999998</v>
      </c>
      <c r="BR63" s="54">
        <f t="shared" si="10"/>
        <v>0</v>
      </c>
      <c r="BS63" s="54">
        <f t="shared" si="11"/>
        <v>224719.72999999998</v>
      </c>
      <c r="BT63" s="54">
        <f t="shared" si="36"/>
        <v>0</v>
      </c>
      <c r="BU63" s="54">
        <f t="shared" si="37"/>
        <v>290439.04000000004</v>
      </c>
      <c r="BV63" s="54">
        <f t="shared" si="38"/>
        <v>224719.72999999998</v>
      </c>
      <c r="BW63" s="54">
        <f t="shared" si="15"/>
        <v>290439.04000000004</v>
      </c>
      <c r="BX63" s="1"/>
      <c r="BY63" s="1"/>
      <c r="BZ63" s="1"/>
      <c r="CA63" s="1"/>
      <c r="CB63" s="1"/>
      <c r="CC63" s="1"/>
      <c r="CD63" s="1"/>
      <c r="CE63" s="1"/>
      <c r="CF63" s="1"/>
      <c r="CG63" s="1"/>
    </row>
    <row r="64" spans="1:85" ht="15.75" customHeight="1">
      <c r="A64" s="81" t="s">
        <v>231</v>
      </c>
      <c r="B64" s="429" t="s">
        <v>232</v>
      </c>
      <c r="C64" s="394" t="s">
        <v>233</v>
      </c>
      <c r="D64" s="82" t="s">
        <v>234</v>
      </c>
      <c r="E64" s="45">
        <v>370000</v>
      </c>
      <c r="F64" s="46"/>
      <c r="G64" s="46">
        <f t="shared" si="48"/>
        <v>370000</v>
      </c>
      <c r="H64" s="46">
        <v>100000</v>
      </c>
      <c r="I64" s="47">
        <f t="shared" si="49"/>
        <v>1.2423024054054055</v>
      </c>
      <c r="J64" s="47">
        <f t="shared" si="50"/>
        <v>1.0001142972972972</v>
      </c>
      <c r="K64" s="48">
        <f>38445.27+346007.43+75199.19</f>
        <v>459651.89</v>
      </c>
      <c r="L64" s="54">
        <v>38445.269999999997</v>
      </c>
      <c r="M64" s="54"/>
      <c r="N64" s="54"/>
      <c r="O64" s="51">
        <f t="shared" si="39"/>
        <v>370042.29</v>
      </c>
      <c r="P64" s="51">
        <f t="shared" si="40"/>
        <v>38445.269999999997</v>
      </c>
      <c r="Q64" s="51">
        <f t="shared" si="41"/>
        <v>0</v>
      </c>
      <c r="R64" s="52">
        <f t="shared" si="42"/>
        <v>370042.29</v>
      </c>
      <c r="S64" s="52">
        <f t="shared" si="43"/>
        <v>38445.269999999997</v>
      </c>
      <c r="T64" s="52">
        <f t="shared" si="44"/>
        <v>0</v>
      </c>
      <c r="U64" s="368">
        <f t="shared" si="27"/>
        <v>89609.600000000035</v>
      </c>
      <c r="V64" s="369">
        <f t="shared" si="28"/>
        <v>0</v>
      </c>
      <c r="W64" s="369">
        <f t="shared" si="29"/>
        <v>0</v>
      </c>
      <c r="X64" s="53">
        <f t="shared" si="1"/>
        <v>0.80504899044361589</v>
      </c>
      <c r="Y64" s="53">
        <f t="shared" si="2"/>
        <v>1</v>
      </c>
      <c r="Z64" s="53">
        <f t="shared" si="3"/>
        <v>0</v>
      </c>
      <c r="AA64" s="48"/>
      <c r="AB64" s="48">
        <v>38445.269999999997</v>
      </c>
      <c r="AC64" s="54"/>
      <c r="AD64" s="54"/>
      <c r="AE64" s="55"/>
      <c r="AF64" s="55"/>
      <c r="AG64" s="76">
        <v>38445.269999999997</v>
      </c>
      <c r="AH64" s="55"/>
      <c r="AI64" s="54"/>
      <c r="AJ64" s="48">
        <v>38445.269999999997</v>
      </c>
      <c r="AK64" s="54"/>
      <c r="AL64" s="54"/>
      <c r="AM64" s="48">
        <v>38445.269999999997</v>
      </c>
      <c r="AN64" s="54"/>
      <c r="AO64" s="54"/>
      <c r="AP64" s="48">
        <v>38445.269999999997</v>
      </c>
      <c r="AQ64" s="54"/>
      <c r="AR64" s="54"/>
      <c r="AS64" s="54">
        <f>55582.01+41714.8</f>
        <v>97296.81</v>
      </c>
      <c r="AT64" s="54"/>
      <c r="AU64" s="54"/>
      <c r="AV64" s="54">
        <f>46156.65</f>
        <v>46156.65</v>
      </c>
      <c r="AW64" s="54"/>
      <c r="AX64" s="54"/>
      <c r="AY64" s="54">
        <f>26651.1+46156.65</f>
        <v>72807.75</v>
      </c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>
        <f t="shared" si="33"/>
        <v>370042.29</v>
      </c>
      <c r="BO64" s="58">
        <f t="shared" si="34"/>
        <v>0</v>
      </c>
      <c r="BP64" s="54">
        <f t="shared" si="35"/>
        <v>370042.29</v>
      </c>
      <c r="BQ64" s="54">
        <f t="shared" si="9"/>
        <v>89609.600000000035</v>
      </c>
      <c r="BR64" s="54">
        <f t="shared" si="10"/>
        <v>0</v>
      </c>
      <c r="BS64" s="54">
        <f t="shared" si="11"/>
        <v>89609.600000000035</v>
      </c>
      <c r="BT64" s="54">
        <f t="shared" si="36"/>
        <v>0</v>
      </c>
      <c r="BU64" s="54">
        <f t="shared" si="37"/>
        <v>370042.29</v>
      </c>
      <c r="BV64" s="54">
        <f t="shared" si="38"/>
        <v>89609.600000000035</v>
      </c>
      <c r="BW64" s="54">
        <f t="shared" si="15"/>
        <v>370042.29</v>
      </c>
      <c r="BX64" s="1"/>
      <c r="BY64" s="1"/>
      <c r="BZ64" s="1"/>
      <c r="CA64" s="1"/>
      <c r="CB64" s="1"/>
      <c r="CC64" s="1"/>
      <c r="CD64" s="1"/>
      <c r="CE64" s="1"/>
      <c r="CF64" s="1"/>
      <c r="CG64" s="1"/>
    </row>
    <row r="65" spans="1:85" ht="15.75" customHeight="1">
      <c r="A65" s="81" t="s">
        <v>235</v>
      </c>
      <c r="B65" s="429" t="s">
        <v>236</v>
      </c>
      <c r="C65" s="394" t="s">
        <v>237</v>
      </c>
      <c r="D65" s="44" t="s">
        <v>238</v>
      </c>
      <c r="E65" s="45">
        <v>260000</v>
      </c>
      <c r="F65" s="46"/>
      <c r="G65" s="46">
        <f t="shared" si="48"/>
        <v>260000</v>
      </c>
      <c r="H65" s="46">
        <v>100000</v>
      </c>
      <c r="I65" s="47">
        <f t="shared" si="49"/>
        <v>1.5240132692307693</v>
      </c>
      <c r="J65" s="47">
        <f t="shared" si="50"/>
        <v>0.86739615384615387</v>
      </c>
      <c r="K65" s="48">
        <f>348295.05+47948.4</f>
        <v>396243.45</v>
      </c>
      <c r="L65" s="54">
        <v>38699.449999999997</v>
      </c>
      <c r="M65" s="54"/>
      <c r="N65" s="54"/>
      <c r="O65" s="51">
        <f t="shared" si="39"/>
        <v>225523</v>
      </c>
      <c r="P65" s="51">
        <f t="shared" si="40"/>
        <v>38699.450000000004</v>
      </c>
      <c r="Q65" s="51">
        <f t="shared" si="41"/>
        <v>0</v>
      </c>
      <c r="R65" s="52">
        <f t="shared" si="42"/>
        <v>225523</v>
      </c>
      <c r="S65" s="52">
        <f t="shared" si="43"/>
        <v>38699.450000000004</v>
      </c>
      <c r="T65" s="52">
        <f t="shared" si="44"/>
        <v>0</v>
      </c>
      <c r="U65" s="368">
        <f t="shared" si="27"/>
        <v>170720.45</v>
      </c>
      <c r="V65" s="369">
        <f t="shared" si="28"/>
        <v>-7.2759576141834259E-12</v>
      </c>
      <c r="W65" s="369">
        <f t="shared" si="29"/>
        <v>0</v>
      </c>
      <c r="X65" s="53">
        <f t="shared" si="1"/>
        <v>0.56915262574056424</v>
      </c>
      <c r="Y65" s="53">
        <f t="shared" si="2"/>
        <v>1.0000000000000002</v>
      </c>
      <c r="Z65" s="53">
        <f t="shared" si="3"/>
        <v>0</v>
      </c>
      <c r="AA65" s="54"/>
      <c r="AB65" s="48">
        <v>36042.720000000001</v>
      </c>
      <c r="AC65" s="54"/>
      <c r="AD65" s="54"/>
      <c r="AE65" s="76">
        <v>2656.73</v>
      </c>
      <c r="AF65" s="55"/>
      <c r="AG65" s="55"/>
      <c r="AH65" s="55"/>
      <c r="AI65" s="54"/>
      <c r="AJ65" s="54"/>
      <c r="AK65" s="54"/>
      <c r="AL65" s="54"/>
      <c r="AM65" s="48">
        <v>38468.43</v>
      </c>
      <c r="AN65" s="54"/>
      <c r="AO65" s="54"/>
      <c r="AP65" s="54">
        <f>37872.81-37872.81+37757.28</f>
        <v>37757.279999999999</v>
      </c>
      <c r="AQ65" s="54"/>
      <c r="AR65" s="54"/>
      <c r="AS65" s="48">
        <v>19978.5</v>
      </c>
      <c r="AT65" s="54"/>
      <c r="AU65" s="54"/>
      <c r="AV65" s="54">
        <f>42695.15-143.79+41950.68</f>
        <v>84502.040000000008</v>
      </c>
      <c r="AW65" s="54"/>
      <c r="AX65" s="54"/>
      <c r="AY65" s="54">
        <f>42695.15+2121.6</f>
        <v>44816.75</v>
      </c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>
        <f t="shared" si="33"/>
        <v>225523</v>
      </c>
      <c r="BO65" s="58">
        <f t="shared" si="34"/>
        <v>0</v>
      </c>
      <c r="BP65" s="54">
        <f t="shared" si="35"/>
        <v>225523</v>
      </c>
      <c r="BQ65" s="54">
        <f t="shared" si="9"/>
        <v>170720.45</v>
      </c>
      <c r="BR65" s="54">
        <f t="shared" si="10"/>
        <v>0</v>
      </c>
      <c r="BS65" s="54">
        <f t="shared" si="11"/>
        <v>170720.45</v>
      </c>
      <c r="BT65" s="54">
        <f t="shared" si="36"/>
        <v>0</v>
      </c>
      <c r="BU65" s="54">
        <f t="shared" si="37"/>
        <v>225523</v>
      </c>
      <c r="BV65" s="54">
        <f t="shared" si="38"/>
        <v>170720.45</v>
      </c>
      <c r="BW65" s="54">
        <f t="shared" si="15"/>
        <v>225523</v>
      </c>
      <c r="BX65" s="1"/>
      <c r="BY65" s="1"/>
      <c r="BZ65" s="1"/>
      <c r="CA65" s="1"/>
      <c r="CB65" s="1"/>
      <c r="CC65" s="1"/>
      <c r="CD65" s="1"/>
      <c r="CE65" s="1"/>
      <c r="CF65" s="1"/>
      <c r="CG65" s="1"/>
    </row>
    <row r="66" spans="1:85" ht="15.75" customHeight="1">
      <c r="A66" s="83"/>
      <c r="B66" s="430" t="s">
        <v>239</v>
      </c>
      <c r="C66" s="394" t="s">
        <v>240</v>
      </c>
      <c r="D66" s="44" t="s">
        <v>241</v>
      </c>
      <c r="E66" s="45"/>
      <c r="F66" s="46"/>
      <c r="G66" s="46">
        <f t="shared" si="48"/>
        <v>0</v>
      </c>
      <c r="H66" s="46">
        <v>150000</v>
      </c>
      <c r="I66" s="47">
        <f t="shared" si="49"/>
        <v>0</v>
      </c>
      <c r="J66" s="47">
        <f t="shared" si="50"/>
        <v>0</v>
      </c>
      <c r="K66" s="54"/>
      <c r="L66" s="54">
        <v>64450</v>
      </c>
      <c r="M66" s="54"/>
      <c r="N66" s="54"/>
      <c r="O66" s="51">
        <f t="shared" si="39"/>
        <v>0</v>
      </c>
      <c r="P66" s="51">
        <f t="shared" si="40"/>
        <v>64450</v>
      </c>
      <c r="Q66" s="51">
        <f t="shared" si="41"/>
        <v>0</v>
      </c>
      <c r="R66" s="52">
        <f t="shared" si="42"/>
        <v>0</v>
      </c>
      <c r="S66" s="52">
        <f t="shared" si="43"/>
        <v>64450</v>
      </c>
      <c r="T66" s="52">
        <f t="shared" si="44"/>
        <v>0</v>
      </c>
      <c r="U66" s="369">
        <f t="shared" si="27"/>
        <v>0</v>
      </c>
      <c r="V66" s="369">
        <f t="shared" si="28"/>
        <v>0</v>
      </c>
      <c r="W66" s="369">
        <f t="shared" si="29"/>
        <v>0</v>
      </c>
      <c r="X66" s="53">
        <f t="shared" si="1"/>
        <v>0</v>
      </c>
      <c r="Y66" s="53">
        <f t="shared" si="2"/>
        <v>1</v>
      </c>
      <c r="Z66" s="53">
        <f t="shared" si="3"/>
        <v>0</v>
      </c>
      <c r="AA66" s="54"/>
      <c r="AB66" s="54"/>
      <c r="AC66" s="54"/>
      <c r="AD66" s="54"/>
      <c r="AE66" s="55"/>
      <c r="AF66" s="55"/>
      <c r="AG66" s="55"/>
      <c r="AH66" s="76">
        <v>64450</v>
      </c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>
        <f t="shared" si="33"/>
        <v>0</v>
      </c>
      <c r="BO66" s="58">
        <f t="shared" si="34"/>
        <v>0</v>
      </c>
      <c r="BP66" s="54">
        <f t="shared" si="35"/>
        <v>0</v>
      </c>
      <c r="BQ66" s="54">
        <f t="shared" si="9"/>
        <v>0</v>
      </c>
      <c r="BR66" s="54">
        <f t="shared" si="10"/>
        <v>0</v>
      </c>
      <c r="BS66" s="54">
        <f t="shared" si="11"/>
        <v>0</v>
      </c>
      <c r="BT66" s="54">
        <f t="shared" si="36"/>
        <v>0</v>
      </c>
      <c r="BU66" s="54">
        <f t="shared" si="37"/>
        <v>0</v>
      </c>
      <c r="BV66" s="54">
        <f t="shared" si="38"/>
        <v>0</v>
      </c>
      <c r="BW66" s="54">
        <f t="shared" si="15"/>
        <v>0</v>
      </c>
      <c r="BX66" s="1"/>
      <c r="BY66" s="1"/>
      <c r="BZ66" s="1"/>
      <c r="CA66" s="1"/>
      <c r="CB66" s="1"/>
      <c r="CC66" s="1"/>
      <c r="CD66" s="1"/>
      <c r="CE66" s="1"/>
      <c r="CF66" s="1"/>
      <c r="CG66" s="1"/>
    </row>
    <row r="67" spans="1:85" ht="15.75" customHeight="1">
      <c r="A67" s="64"/>
      <c r="B67" s="416"/>
      <c r="C67" s="394" t="s">
        <v>240</v>
      </c>
      <c r="D67" s="44" t="s">
        <v>242</v>
      </c>
      <c r="E67" s="45"/>
      <c r="F67" s="46"/>
      <c r="G67" s="46">
        <f t="shared" si="48"/>
        <v>0</v>
      </c>
      <c r="H67" s="46">
        <v>100000</v>
      </c>
      <c r="I67" s="47">
        <f t="shared" si="49"/>
        <v>0</v>
      </c>
      <c r="J67" s="47">
        <f t="shared" si="50"/>
        <v>0</v>
      </c>
      <c r="K67" s="54"/>
      <c r="L67" s="54"/>
      <c r="M67" s="54"/>
      <c r="N67" s="54"/>
      <c r="O67" s="51">
        <f t="shared" si="39"/>
        <v>0</v>
      </c>
      <c r="P67" s="51">
        <f t="shared" si="40"/>
        <v>0</v>
      </c>
      <c r="Q67" s="51">
        <f t="shared" si="41"/>
        <v>0</v>
      </c>
      <c r="R67" s="52">
        <f t="shared" si="42"/>
        <v>0</v>
      </c>
      <c r="S67" s="52">
        <f t="shared" si="43"/>
        <v>0</v>
      </c>
      <c r="T67" s="52">
        <f t="shared" si="44"/>
        <v>0</v>
      </c>
      <c r="U67" s="369">
        <f t="shared" si="27"/>
        <v>0</v>
      </c>
      <c r="V67" s="369">
        <f t="shared" si="28"/>
        <v>0</v>
      </c>
      <c r="W67" s="369">
        <f t="shared" si="29"/>
        <v>0</v>
      </c>
      <c r="X67" s="53">
        <f t="shared" ref="X67:X130" si="51">IF(O67&gt;0,O67/K67,0)</f>
        <v>0</v>
      </c>
      <c r="Y67" s="53">
        <f t="shared" ref="Y67:Y130" si="52">IF(P67&gt;0,P67/L67,0)</f>
        <v>0</v>
      </c>
      <c r="Z67" s="53">
        <f t="shared" ref="Z67:Z130" si="53">IF(Q67&gt;0,Q67/N67,0)</f>
        <v>0</v>
      </c>
      <c r="AA67" s="54"/>
      <c r="AB67" s="54"/>
      <c r="AC67" s="54"/>
      <c r="AD67" s="54"/>
      <c r="AE67" s="55"/>
      <c r="AF67" s="55"/>
      <c r="AG67" s="55"/>
      <c r="AH67" s="55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>
        <f t="shared" si="33"/>
        <v>0</v>
      </c>
      <c r="BO67" s="58">
        <f t="shared" si="34"/>
        <v>0</v>
      </c>
      <c r="BP67" s="54">
        <f t="shared" si="35"/>
        <v>0</v>
      </c>
      <c r="BQ67" s="54">
        <f t="shared" si="9"/>
        <v>0</v>
      </c>
      <c r="BR67" s="54">
        <f t="shared" si="10"/>
        <v>0</v>
      </c>
      <c r="BS67" s="54">
        <f t="shared" si="11"/>
        <v>0</v>
      </c>
      <c r="BT67" s="54">
        <f t="shared" si="36"/>
        <v>0</v>
      </c>
      <c r="BU67" s="54">
        <f t="shared" si="37"/>
        <v>0</v>
      </c>
      <c r="BV67" s="54">
        <f t="shared" si="38"/>
        <v>0</v>
      </c>
      <c r="BW67" s="54">
        <f t="shared" si="15"/>
        <v>0</v>
      </c>
      <c r="BX67" s="1"/>
      <c r="BY67" s="1"/>
      <c r="BZ67" s="1"/>
      <c r="CA67" s="1"/>
      <c r="CB67" s="1"/>
      <c r="CC67" s="1"/>
      <c r="CD67" s="1"/>
      <c r="CE67" s="1"/>
      <c r="CF67" s="1"/>
      <c r="CG67" s="1"/>
    </row>
    <row r="68" spans="1:85" ht="15.75" customHeight="1">
      <c r="A68" s="84" t="s">
        <v>243</v>
      </c>
      <c r="B68" s="416"/>
      <c r="C68" s="394" t="s">
        <v>240</v>
      </c>
      <c r="D68" s="73" t="s">
        <v>244</v>
      </c>
      <c r="E68" s="45"/>
      <c r="F68" s="46"/>
      <c r="G68" s="46"/>
      <c r="H68" s="46"/>
      <c r="I68" s="47"/>
      <c r="J68" s="47"/>
      <c r="K68" s="48">
        <v>79100.77</v>
      </c>
      <c r="L68" s="54"/>
      <c r="M68" s="54"/>
      <c r="N68" s="54"/>
      <c r="O68" s="51">
        <f t="shared" si="39"/>
        <v>0</v>
      </c>
      <c r="P68" s="51">
        <f t="shared" si="40"/>
        <v>0</v>
      </c>
      <c r="Q68" s="51">
        <f t="shared" si="41"/>
        <v>0</v>
      </c>
      <c r="R68" s="52">
        <f t="shared" si="42"/>
        <v>0</v>
      </c>
      <c r="S68" s="52">
        <f t="shared" si="43"/>
        <v>0</v>
      </c>
      <c r="T68" s="52">
        <f t="shared" si="44"/>
        <v>0</v>
      </c>
      <c r="U68" s="369">
        <v>79100.77</v>
      </c>
      <c r="V68" s="369">
        <f t="shared" si="28"/>
        <v>0</v>
      </c>
      <c r="W68" s="369">
        <f t="shared" si="29"/>
        <v>0</v>
      </c>
      <c r="X68" s="53">
        <f t="shared" si="51"/>
        <v>0</v>
      </c>
      <c r="Y68" s="53">
        <f t="shared" si="52"/>
        <v>0</v>
      </c>
      <c r="Z68" s="53">
        <f t="shared" si="53"/>
        <v>0</v>
      </c>
      <c r="AA68" s="54"/>
      <c r="AB68" s="48"/>
      <c r="AC68" s="54"/>
      <c r="AD68" s="54"/>
      <c r="AE68" s="55"/>
      <c r="AF68" s="55"/>
      <c r="AG68" s="55"/>
      <c r="AH68" s="55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>
        <f t="shared" si="33"/>
        <v>0</v>
      </c>
      <c r="BO68" s="58">
        <f t="shared" si="34"/>
        <v>0</v>
      </c>
      <c r="BP68" s="54">
        <f t="shared" si="35"/>
        <v>0</v>
      </c>
      <c r="BQ68" s="54">
        <f t="shared" si="9"/>
        <v>79100.77</v>
      </c>
      <c r="BR68" s="54">
        <f t="shared" si="10"/>
        <v>0</v>
      </c>
      <c r="BS68" s="54">
        <f t="shared" si="11"/>
        <v>79100.77</v>
      </c>
      <c r="BT68" s="54">
        <f t="shared" si="36"/>
        <v>0</v>
      </c>
      <c r="BU68" s="54">
        <f t="shared" si="37"/>
        <v>0</v>
      </c>
      <c r="BV68" s="54">
        <f t="shared" si="38"/>
        <v>79100.77</v>
      </c>
      <c r="BW68" s="54">
        <f t="shared" si="15"/>
        <v>0</v>
      </c>
      <c r="BX68" s="1"/>
      <c r="BY68" s="1"/>
      <c r="BZ68" s="1"/>
      <c r="CA68" s="1"/>
      <c r="CB68" s="1"/>
      <c r="CC68" s="1"/>
      <c r="CD68" s="1"/>
      <c r="CE68" s="1"/>
      <c r="CF68" s="1"/>
      <c r="CG68" s="1"/>
    </row>
    <row r="69" spans="1:85" ht="15.75" customHeight="1">
      <c r="A69" s="56"/>
      <c r="B69" s="416" t="s">
        <v>245</v>
      </c>
      <c r="C69" s="394" t="s">
        <v>246</v>
      </c>
      <c r="D69" s="44" t="s">
        <v>247</v>
      </c>
      <c r="E69" s="45"/>
      <c r="F69" s="46"/>
      <c r="G69" s="46">
        <f t="shared" ref="G69:G75" si="54">E69-F69</f>
        <v>0</v>
      </c>
      <c r="H69" s="46"/>
      <c r="I69" s="47">
        <f t="shared" ref="I69:I75" si="55">IF(G69&gt;0,K69/G69,0)</f>
        <v>0</v>
      </c>
      <c r="J69" s="47">
        <f t="shared" ref="J69:J75" si="56">IF(G69&gt;0,O69/G69,0)</f>
        <v>0</v>
      </c>
      <c r="K69" s="54"/>
      <c r="L69" s="54">
        <v>101748.22</v>
      </c>
      <c r="M69" s="54"/>
      <c r="N69" s="54"/>
      <c r="O69" s="51">
        <f t="shared" si="39"/>
        <v>0</v>
      </c>
      <c r="P69" s="51">
        <f t="shared" si="40"/>
        <v>101748.22</v>
      </c>
      <c r="Q69" s="51">
        <f t="shared" si="41"/>
        <v>0</v>
      </c>
      <c r="R69" s="52">
        <f t="shared" si="42"/>
        <v>0</v>
      </c>
      <c r="S69" s="52">
        <f t="shared" si="43"/>
        <v>101748.22</v>
      </c>
      <c r="T69" s="52">
        <f t="shared" si="44"/>
        <v>0</v>
      </c>
      <c r="U69" s="369">
        <f t="shared" ref="U69:U115" si="57">K69-O69</f>
        <v>0</v>
      </c>
      <c r="V69" s="369">
        <f t="shared" si="28"/>
        <v>0</v>
      </c>
      <c r="W69" s="369">
        <f t="shared" si="29"/>
        <v>0</v>
      </c>
      <c r="X69" s="53">
        <f t="shared" si="51"/>
        <v>0</v>
      </c>
      <c r="Y69" s="53">
        <f t="shared" si="52"/>
        <v>1</v>
      </c>
      <c r="Z69" s="53">
        <f t="shared" si="53"/>
        <v>0</v>
      </c>
      <c r="AA69" s="54"/>
      <c r="AB69" s="48">
        <v>48308.34</v>
      </c>
      <c r="AC69" s="54"/>
      <c r="AD69" s="54"/>
      <c r="AE69" s="55"/>
      <c r="AF69" s="55"/>
      <c r="AG69" s="55"/>
      <c r="AH69" s="55"/>
      <c r="AI69" s="54"/>
      <c r="AJ69" s="54"/>
      <c r="AK69" s="54"/>
      <c r="AL69" s="54"/>
      <c r="AM69" s="54"/>
      <c r="AN69" s="54">
        <f>47948.46+5491.42</f>
        <v>53439.88</v>
      </c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>
        <f t="shared" si="33"/>
        <v>0</v>
      </c>
      <c r="BO69" s="58">
        <f t="shared" si="34"/>
        <v>0</v>
      </c>
      <c r="BP69" s="54">
        <f t="shared" si="35"/>
        <v>0</v>
      </c>
      <c r="BQ69" s="54">
        <f t="shared" si="9"/>
        <v>0</v>
      </c>
      <c r="BR69" s="54">
        <f t="shared" si="10"/>
        <v>0</v>
      </c>
      <c r="BS69" s="54">
        <f t="shared" si="11"/>
        <v>0</v>
      </c>
      <c r="BT69" s="54">
        <f t="shared" si="36"/>
        <v>0</v>
      </c>
      <c r="BU69" s="54">
        <f t="shared" si="37"/>
        <v>0</v>
      </c>
      <c r="BV69" s="54">
        <f t="shared" si="38"/>
        <v>0</v>
      </c>
      <c r="BW69" s="54">
        <f t="shared" si="15"/>
        <v>0</v>
      </c>
      <c r="BX69" s="1"/>
      <c r="BY69" s="1"/>
      <c r="BZ69" s="1"/>
      <c r="CA69" s="1"/>
      <c r="CB69" s="1"/>
      <c r="CC69" s="1"/>
      <c r="CD69" s="1"/>
      <c r="CE69" s="1"/>
      <c r="CF69" s="1"/>
      <c r="CG69" s="1"/>
    </row>
    <row r="70" spans="1:85" ht="15.75" customHeight="1">
      <c r="A70" s="83"/>
      <c r="B70" s="429" t="s">
        <v>248</v>
      </c>
      <c r="C70" s="394" t="s">
        <v>246</v>
      </c>
      <c r="D70" s="44" t="s">
        <v>249</v>
      </c>
      <c r="E70" s="45"/>
      <c r="F70" s="46"/>
      <c r="G70" s="46">
        <f t="shared" si="54"/>
        <v>0</v>
      </c>
      <c r="H70" s="46">
        <v>80000</v>
      </c>
      <c r="I70" s="47">
        <f t="shared" si="55"/>
        <v>0</v>
      </c>
      <c r="J70" s="47">
        <f t="shared" si="56"/>
        <v>0</v>
      </c>
      <c r="K70" s="54"/>
      <c r="L70" s="54">
        <v>72064.86</v>
      </c>
      <c r="M70" s="54"/>
      <c r="N70" s="54"/>
      <c r="O70" s="51">
        <f t="shared" si="39"/>
        <v>0</v>
      </c>
      <c r="P70" s="51">
        <f t="shared" si="40"/>
        <v>27283.809999999998</v>
      </c>
      <c r="Q70" s="51">
        <f t="shared" si="41"/>
        <v>0</v>
      </c>
      <c r="R70" s="52">
        <f t="shared" si="42"/>
        <v>0</v>
      </c>
      <c r="S70" s="52">
        <f t="shared" si="43"/>
        <v>27283.809999999998</v>
      </c>
      <c r="T70" s="52">
        <f t="shared" si="44"/>
        <v>0</v>
      </c>
      <c r="U70" s="369">
        <f t="shared" si="57"/>
        <v>0</v>
      </c>
      <c r="V70" s="369">
        <f t="shared" si="28"/>
        <v>44781.05</v>
      </c>
      <c r="W70" s="369">
        <f t="shared" si="29"/>
        <v>0</v>
      </c>
      <c r="X70" s="53">
        <f t="shared" si="51"/>
        <v>0</v>
      </c>
      <c r="Y70" s="53">
        <f t="shared" si="52"/>
        <v>0.3786007493804886</v>
      </c>
      <c r="Z70" s="53">
        <f t="shared" si="53"/>
        <v>0</v>
      </c>
      <c r="AA70" s="54"/>
      <c r="AB70" s="54"/>
      <c r="AC70" s="54"/>
      <c r="AD70" s="54"/>
      <c r="AE70" s="55"/>
      <c r="AF70" s="55"/>
      <c r="AG70" s="55"/>
      <c r="AH70" s="55"/>
      <c r="AI70" s="54"/>
      <c r="AJ70" s="54"/>
      <c r="AK70" s="54"/>
      <c r="AL70" s="54"/>
      <c r="AM70" s="54"/>
      <c r="AN70" s="54"/>
      <c r="AO70" s="54"/>
      <c r="AP70" s="54"/>
      <c r="AQ70" s="54">
        <f>14429.63+12854.18</f>
        <v>27283.809999999998</v>
      </c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>
        <f t="shared" si="33"/>
        <v>0</v>
      </c>
      <c r="BO70" s="58">
        <f t="shared" si="34"/>
        <v>0</v>
      </c>
      <c r="BP70" s="54">
        <f t="shared" si="35"/>
        <v>0</v>
      </c>
      <c r="BQ70" s="54">
        <f t="shared" ref="BQ70:BQ115" si="58">IF(U70=0,0,U70)</f>
        <v>0</v>
      </c>
      <c r="BR70" s="54">
        <f t="shared" ref="BR70:BR115" si="59">IF(W70=0,0,W70)</f>
        <v>0</v>
      </c>
      <c r="BS70" s="54">
        <f t="shared" ref="BS70:BS115" si="60">IF(BQ70+BR70&gt;0,BQ70+BR70,0)</f>
        <v>0</v>
      </c>
      <c r="BT70" s="54">
        <f t="shared" si="36"/>
        <v>44781.05</v>
      </c>
      <c r="BU70" s="54">
        <f t="shared" si="37"/>
        <v>0</v>
      </c>
      <c r="BV70" s="54">
        <f t="shared" si="38"/>
        <v>0</v>
      </c>
      <c r="BW70" s="54">
        <f t="shared" ref="BW70:BW115" si="61">IF(BP70+BT70&gt;0,BP70+BT70,0)</f>
        <v>44781.05</v>
      </c>
      <c r="BX70" s="1"/>
      <c r="BY70" s="1"/>
      <c r="BZ70" s="1"/>
      <c r="CA70" s="1"/>
      <c r="CB70" s="1"/>
      <c r="CC70" s="1"/>
      <c r="CD70" s="1"/>
      <c r="CE70" s="1"/>
      <c r="CF70" s="1"/>
      <c r="CG70" s="1"/>
    </row>
    <row r="71" spans="1:85" ht="15.75" customHeight="1">
      <c r="A71" s="64"/>
      <c r="B71" s="416" t="s">
        <v>250</v>
      </c>
      <c r="C71" s="394" t="s">
        <v>246</v>
      </c>
      <c r="D71" s="44" t="s">
        <v>251</v>
      </c>
      <c r="E71" s="45"/>
      <c r="F71" s="46"/>
      <c r="G71" s="46">
        <f t="shared" si="54"/>
        <v>0</v>
      </c>
      <c r="H71" s="46">
        <v>250000</v>
      </c>
      <c r="I71" s="47">
        <f t="shared" si="55"/>
        <v>0</v>
      </c>
      <c r="J71" s="47">
        <f t="shared" si="56"/>
        <v>0</v>
      </c>
      <c r="K71" s="54"/>
      <c r="L71" s="54">
        <v>141458.57999999999</v>
      </c>
      <c r="M71" s="54"/>
      <c r="N71" s="54"/>
      <c r="O71" s="51">
        <f t="shared" si="39"/>
        <v>0</v>
      </c>
      <c r="P71" s="51">
        <f t="shared" si="40"/>
        <v>141458.57999999999</v>
      </c>
      <c r="Q71" s="51">
        <f t="shared" si="41"/>
        <v>0</v>
      </c>
      <c r="R71" s="52">
        <f t="shared" si="42"/>
        <v>0</v>
      </c>
      <c r="S71" s="52">
        <f t="shared" si="43"/>
        <v>141458.57999999999</v>
      </c>
      <c r="T71" s="52">
        <f t="shared" si="44"/>
        <v>0</v>
      </c>
      <c r="U71" s="369">
        <f t="shared" si="57"/>
        <v>0</v>
      </c>
      <c r="V71" s="369">
        <f t="shared" si="28"/>
        <v>0</v>
      </c>
      <c r="W71" s="369">
        <f t="shared" si="29"/>
        <v>0</v>
      </c>
      <c r="X71" s="53">
        <f t="shared" si="51"/>
        <v>0</v>
      </c>
      <c r="Y71" s="53">
        <f t="shared" si="52"/>
        <v>1</v>
      </c>
      <c r="Z71" s="53">
        <f t="shared" si="53"/>
        <v>0</v>
      </c>
      <c r="AA71" s="54"/>
      <c r="AB71" s="48">
        <v>12535.69</v>
      </c>
      <c r="AC71" s="54"/>
      <c r="AD71" s="54"/>
      <c r="AE71" s="76">
        <v>40610.17</v>
      </c>
      <c r="AF71" s="55"/>
      <c r="AG71" s="55"/>
      <c r="AH71" s="55"/>
      <c r="AI71" s="54"/>
      <c r="AJ71" s="54"/>
      <c r="AK71" s="48">
        <v>61434.54</v>
      </c>
      <c r="AL71" s="54"/>
      <c r="AM71" s="54"/>
      <c r="AN71" s="48">
        <v>8786.81</v>
      </c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>
        <f>5797.25+12294.12</f>
        <v>18091.370000000003</v>
      </c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>
        <f t="shared" si="33"/>
        <v>0</v>
      </c>
      <c r="BO71" s="58">
        <f t="shared" si="34"/>
        <v>0</v>
      </c>
      <c r="BP71" s="54">
        <f t="shared" si="35"/>
        <v>0</v>
      </c>
      <c r="BQ71" s="54">
        <f t="shared" si="58"/>
        <v>0</v>
      </c>
      <c r="BR71" s="54">
        <f t="shared" si="59"/>
        <v>0</v>
      </c>
      <c r="BS71" s="54">
        <f t="shared" si="60"/>
        <v>0</v>
      </c>
      <c r="BT71" s="54">
        <f t="shared" si="36"/>
        <v>0</v>
      </c>
      <c r="BU71" s="54">
        <f t="shared" si="37"/>
        <v>0</v>
      </c>
      <c r="BV71" s="54">
        <f t="shared" si="38"/>
        <v>0</v>
      </c>
      <c r="BW71" s="54">
        <f t="shared" si="61"/>
        <v>0</v>
      </c>
      <c r="BX71" s="1"/>
      <c r="BY71" s="1"/>
      <c r="BZ71" s="1"/>
      <c r="CA71" s="1"/>
      <c r="CB71" s="1"/>
      <c r="CC71" s="1"/>
      <c r="CD71" s="1"/>
      <c r="CE71" s="1"/>
      <c r="CF71" s="1"/>
      <c r="CG71" s="1"/>
    </row>
    <row r="72" spans="1:85" ht="15.75" customHeight="1">
      <c r="A72" s="85" t="s">
        <v>252</v>
      </c>
      <c r="B72" s="431" t="s">
        <v>253</v>
      </c>
      <c r="C72" s="397" t="s">
        <v>254</v>
      </c>
      <c r="D72" s="86" t="s">
        <v>255</v>
      </c>
      <c r="E72" s="45">
        <v>30000</v>
      </c>
      <c r="F72" s="46"/>
      <c r="G72" s="46">
        <f t="shared" si="54"/>
        <v>30000</v>
      </c>
      <c r="H72" s="46"/>
      <c r="I72" s="47">
        <f t="shared" si="55"/>
        <v>1.3231256666666666</v>
      </c>
      <c r="J72" s="47">
        <f t="shared" si="56"/>
        <v>0.55209566666666665</v>
      </c>
      <c r="K72" s="48">
        <v>39693.769999999997</v>
      </c>
      <c r="L72" s="54">
        <v>2827.39</v>
      </c>
      <c r="M72" s="54"/>
      <c r="N72" s="54"/>
      <c r="O72" s="51">
        <f t="shared" si="39"/>
        <v>16562.87</v>
      </c>
      <c r="P72" s="51">
        <f t="shared" si="40"/>
        <v>2827.39</v>
      </c>
      <c r="Q72" s="51">
        <f t="shared" si="41"/>
        <v>0</v>
      </c>
      <c r="R72" s="52">
        <f t="shared" si="42"/>
        <v>16562.87</v>
      </c>
      <c r="S72" s="52">
        <f t="shared" si="43"/>
        <v>2827.39</v>
      </c>
      <c r="T72" s="52">
        <f t="shared" si="44"/>
        <v>0</v>
      </c>
      <c r="U72" s="368">
        <f t="shared" si="57"/>
        <v>23130.899999999998</v>
      </c>
      <c r="V72" s="369">
        <f t="shared" si="28"/>
        <v>0</v>
      </c>
      <c r="W72" s="369">
        <f t="shared" si="29"/>
        <v>0</v>
      </c>
      <c r="X72" s="53">
        <f t="shared" si="51"/>
        <v>0.41726623598615098</v>
      </c>
      <c r="Y72" s="53">
        <f t="shared" si="52"/>
        <v>1</v>
      </c>
      <c r="Z72" s="53">
        <f t="shared" si="53"/>
        <v>0</v>
      </c>
      <c r="AA72" s="54"/>
      <c r="AB72" s="54"/>
      <c r="AC72" s="54"/>
      <c r="AD72" s="54"/>
      <c r="AE72" s="55"/>
      <c r="AF72" s="55"/>
      <c r="AG72" s="55"/>
      <c r="AH72" s="76">
        <v>2827.39</v>
      </c>
      <c r="AI72" s="54"/>
      <c r="AJ72" s="54"/>
      <c r="AK72" s="54"/>
      <c r="AL72" s="54"/>
      <c r="AM72" s="54"/>
      <c r="AN72" s="54"/>
      <c r="AO72" s="54"/>
      <c r="AP72" s="54">
        <f>8165.23+8397.64</f>
        <v>16562.87</v>
      </c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>
        <f t="shared" si="33"/>
        <v>16562.87</v>
      </c>
      <c r="BO72" s="58">
        <f t="shared" si="34"/>
        <v>0</v>
      </c>
      <c r="BP72" s="54">
        <f t="shared" si="35"/>
        <v>16562.87</v>
      </c>
      <c r="BQ72" s="54">
        <f t="shared" si="58"/>
        <v>23130.899999999998</v>
      </c>
      <c r="BR72" s="54">
        <f t="shared" si="59"/>
        <v>0</v>
      </c>
      <c r="BS72" s="54">
        <f t="shared" si="60"/>
        <v>23130.899999999998</v>
      </c>
      <c r="BT72" s="54">
        <f t="shared" si="36"/>
        <v>0</v>
      </c>
      <c r="BU72" s="54">
        <f t="shared" si="37"/>
        <v>16562.87</v>
      </c>
      <c r="BV72" s="54">
        <f t="shared" si="38"/>
        <v>23130.899999999998</v>
      </c>
      <c r="BW72" s="54">
        <f t="shared" si="61"/>
        <v>16562.87</v>
      </c>
      <c r="BX72" s="1"/>
      <c r="BY72" s="1"/>
      <c r="BZ72" s="1"/>
      <c r="CA72" s="1"/>
      <c r="CB72" s="1"/>
      <c r="CC72" s="1"/>
      <c r="CD72" s="1"/>
      <c r="CE72" s="1"/>
      <c r="CF72" s="1"/>
      <c r="CG72" s="1"/>
    </row>
    <row r="73" spans="1:85" ht="15.75" customHeight="1">
      <c r="A73" s="85" t="s">
        <v>256</v>
      </c>
      <c r="B73" s="431" t="s">
        <v>257</v>
      </c>
      <c r="C73" s="397" t="s">
        <v>254</v>
      </c>
      <c r="D73" s="86" t="s">
        <v>258</v>
      </c>
      <c r="E73" s="66"/>
      <c r="F73" s="67"/>
      <c r="G73" s="46">
        <f t="shared" si="54"/>
        <v>0</v>
      </c>
      <c r="H73" s="46"/>
      <c r="I73" s="47">
        <f t="shared" si="55"/>
        <v>0</v>
      </c>
      <c r="J73" s="47">
        <f t="shared" si="56"/>
        <v>0</v>
      </c>
      <c r="K73" s="48">
        <v>3392.86</v>
      </c>
      <c r="L73" s="68">
        <v>15000</v>
      </c>
      <c r="M73" s="68"/>
      <c r="N73" s="54"/>
      <c r="O73" s="51">
        <f t="shared" ref="O73:O104" si="62">AA73+AD73+AG73+AJ73+AM73+AP73+AS73+AV73+AY73+BB73+BE73+BH73</f>
        <v>3392.86</v>
      </c>
      <c r="P73" s="51">
        <f t="shared" ref="P73:P104" si="63">AB73+AE73+AH73+AK73+AN73+AQ73+AT73+AW73+AZ73+BC73+BF73+BI73</f>
        <v>15000</v>
      </c>
      <c r="Q73" s="51">
        <f t="shared" ref="Q73:Q104" si="64">AC73+AF73+AI73+AL73+AO73+AR73+AU73+AX73+BA73+BD73+BG73+BJ73</f>
        <v>0</v>
      </c>
      <c r="R73" s="52">
        <f t="shared" ref="R73:R104" si="65">IF(BK73=0,SUM(AA73+AD73+AG73+AJ73+AM73+AP73+AS73+AV73+AY73+BB73+BE73+BH73),BK73)</f>
        <v>3392.86</v>
      </c>
      <c r="S73" s="52">
        <f t="shared" ref="S73:S104" si="66">IF(BL73=0,SUM(AB73+AE73+AH73+AK73+AN73+AQ73+AT73+AW73+AZ73+BC73+BF73+BI73),BL73)</f>
        <v>15000</v>
      </c>
      <c r="T73" s="52">
        <f t="shared" ref="T73:T104" si="67">IF(BM73=0,SUM(AC73+AF73+AI73+AL73+AO73+AR73+AU73+AX73+BA73+BD73+BG73+BJ73),BM73)</f>
        <v>0</v>
      </c>
      <c r="U73" s="369">
        <f t="shared" si="57"/>
        <v>0</v>
      </c>
      <c r="V73" s="369">
        <f t="shared" si="28"/>
        <v>0</v>
      </c>
      <c r="W73" s="369">
        <f t="shared" si="29"/>
        <v>0</v>
      </c>
      <c r="X73" s="53">
        <f t="shared" si="51"/>
        <v>1</v>
      </c>
      <c r="Y73" s="53">
        <f t="shared" si="52"/>
        <v>1</v>
      </c>
      <c r="Z73" s="53">
        <f t="shared" si="53"/>
        <v>0</v>
      </c>
      <c r="AA73" s="54"/>
      <c r="AB73" s="48">
        <v>9350</v>
      </c>
      <c r="AC73" s="54"/>
      <c r="AD73" s="54"/>
      <c r="AE73" s="55"/>
      <c r="AF73" s="55"/>
      <c r="AG73" s="55"/>
      <c r="AH73" s="76">
        <v>5650</v>
      </c>
      <c r="AI73" s="48"/>
      <c r="AJ73" s="48">
        <v>3308.09</v>
      </c>
      <c r="AK73" s="54"/>
      <c r="AL73" s="54"/>
      <c r="AM73" s="54"/>
      <c r="AN73" s="54"/>
      <c r="AO73" s="54"/>
      <c r="AP73" s="48">
        <v>84.77</v>
      </c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>
        <f t="shared" si="33"/>
        <v>3392.86</v>
      </c>
      <c r="BO73" s="58">
        <f t="shared" si="34"/>
        <v>0</v>
      </c>
      <c r="BP73" s="54">
        <f t="shared" si="35"/>
        <v>3392.86</v>
      </c>
      <c r="BQ73" s="54">
        <f t="shared" si="58"/>
        <v>0</v>
      </c>
      <c r="BR73" s="54">
        <f t="shared" si="59"/>
        <v>0</v>
      </c>
      <c r="BS73" s="54">
        <f t="shared" si="60"/>
        <v>0</v>
      </c>
      <c r="BT73" s="54">
        <f t="shared" si="36"/>
        <v>0</v>
      </c>
      <c r="BU73" s="54">
        <f t="shared" si="37"/>
        <v>3392.86</v>
      </c>
      <c r="BV73" s="54">
        <f t="shared" si="38"/>
        <v>0</v>
      </c>
      <c r="BW73" s="54">
        <f t="shared" si="61"/>
        <v>3392.86</v>
      </c>
      <c r="BX73" s="1"/>
      <c r="BY73" s="1"/>
      <c r="BZ73" s="1"/>
      <c r="CA73" s="1"/>
      <c r="CB73" s="1"/>
      <c r="CC73" s="1"/>
      <c r="CD73" s="1"/>
      <c r="CE73" s="1"/>
      <c r="CF73" s="1"/>
      <c r="CG73" s="1"/>
    </row>
    <row r="74" spans="1:85" ht="15.75" customHeight="1">
      <c r="A74" s="81" t="s">
        <v>259</v>
      </c>
      <c r="B74" s="429" t="s">
        <v>260</v>
      </c>
      <c r="C74" s="394" t="s">
        <v>246</v>
      </c>
      <c r="D74" s="86" t="s">
        <v>261</v>
      </c>
      <c r="E74" s="66">
        <v>10000</v>
      </c>
      <c r="F74" s="67"/>
      <c r="G74" s="46">
        <f t="shared" si="54"/>
        <v>10000</v>
      </c>
      <c r="H74" s="46"/>
      <c r="I74" s="47">
        <f t="shared" si="55"/>
        <v>2.2070639999999999</v>
      </c>
      <c r="J74" s="47">
        <f t="shared" si="56"/>
        <v>1.242532</v>
      </c>
      <c r="K74" s="48">
        <f>22070.64</f>
        <v>22070.639999999999</v>
      </c>
      <c r="L74" s="68">
        <v>2904.4</v>
      </c>
      <c r="M74" s="72">
        <v>124.4</v>
      </c>
      <c r="N74" s="54"/>
      <c r="O74" s="51">
        <f t="shared" si="62"/>
        <v>12425.32</v>
      </c>
      <c r="P74" s="51">
        <f t="shared" si="63"/>
        <v>2780</v>
      </c>
      <c r="Q74" s="51">
        <f t="shared" si="64"/>
        <v>0</v>
      </c>
      <c r="R74" s="52">
        <f t="shared" si="65"/>
        <v>12425.32</v>
      </c>
      <c r="S74" s="52">
        <f t="shared" si="66"/>
        <v>2780</v>
      </c>
      <c r="T74" s="52">
        <f t="shared" si="67"/>
        <v>0</v>
      </c>
      <c r="U74" s="368">
        <f t="shared" si="57"/>
        <v>9645.32</v>
      </c>
      <c r="V74" s="369">
        <f t="shared" si="28"/>
        <v>0</v>
      </c>
      <c r="W74" s="369">
        <f t="shared" si="29"/>
        <v>0</v>
      </c>
      <c r="X74" s="53">
        <f t="shared" si="51"/>
        <v>0.56297959642312134</v>
      </c>
      <c r="Y74" s="53">
        <f t="shared" si="52"/>
        <v>0.9571684340999862</v>
      </c>
      <c r="Z74" s="53">
        <f t="shared" si="53"/>
        <v>0</v>
      </c>
      <c r="AA74" s="54"/>
      <c r="AB74" s="48">
        <v>1390</v>
      </c>
      <c r="AC74" s="54"/>
      <c r="AD74" s="54"/>
      <c r="AE74" s="76">
        <v>1390</v>
      </c>
      <c r="AF74" s="55"/>
      <c r="AG74" s="76">
        <v>1390</v>
      </c>
      <c r="AH74" s="55"/>
      <c r="AI74" s="48"/>
      <c r="AJ74" s="48">
        <v>1839.22</v>
      </c>
      <c r="AK74" s="54"/>
      <c r="AL74" s="54"/>
      <c r="AM74" s="54"/>
      <c r="AN74" s="54"/>
      <c r="AO74" s="54"/>
      <c r="AP74" s="54">
        <f>1839.22+1839.22</f>
        <v>3678.44</v>
      </c>
      <c r="AQ74" s="54"/>
      <c r="AR74" s="54"/>
      <c r="AS74" s="54"/>
      <c r="AT74" s="54"/>
      <c r="AU74" s="54"/>
      <c r="AV74" s="54">
        <f>1839.22</f>
        <v>1839.22</v>
      </c>
      <c r="AW74" s="54"/>
      <c r="AX74" s="54"/>
      <c r="AY74" s="54">
        <f>1839.22+1839.22</f>
        <v>3678.44</v>
      </c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>
        <f t="shared" ref="BN74:BN115" si="68">IF(O74-BK74&gt;0,O74-BK74,0)</f>
        <v>12425.32</v>
      </c>
      <c r="BO74" s="58">
        <f t="shared" ref="BO74:BO115" si="69">IF(Q74-BM74&gt;0,Q74-BM74,0)</f>
        <v>0</v>
      </c>
      <c r="BP74" s="54">
        <f t="shared" ref="BP74:BP115" si="70">IF(BN74+BO74&gt;0,BN74+BO74,0)</f>
        <v>12425.32</v>
      </c>
      <c r="BQ74" s="54">
        <f t="shared" si="58"/>
        <v>9645.32</v>
      </c>
      <c r="BR74" s="54">
        <f t="shared" si="59"/>
        <v>0</v>
      </c>
      <c r="BS74" s="54">
        <f t="shared" si="60"/>
        <v>9645.32</v>
      </c>
      <c r="BT74" s="54">
        <f t="shared" ref="BT74:BT115" si="71">IF(V74&gt;0,V74,0)</f>
        <v>0</v>
      </c>
      <c r="BU74" s="54">
        <f t="shared" ref="BU74:BU115" si="72">IF(BP74=0,0,BP74)</f>
        <v>12425.32</v>
      </c>
      <c r="BV74" s="54">
        <f t="shared" ref="BV74:BV115" si="73">IF(BS74=0,0,BS74)</f>
        <v>9645.32</v>
      </c>
      <c r="BW74" s="54">
        <f t="shared" si="61"/>
        <v>12425.32</v>
      </c>
      <c r="BX74" s="1"/>
      <c r="BY74" s="1"/>
      <c r="BZ74" s="1"/>
      <c r="CA74" s="1"/>
      <c r="CB74" s="1"/>
      <c r="CC74" s="1"/>
      <c r="CD74" s="1"/>
      <c r="CE74" s="1"/>
      <c r="CF74" s="1"/>
      <c r="CG74" s="1"/>
    </row>
    <row r="75" spans="1:85" ht="15.75" customHeight="1">
      <c r="A75" s="81" t="s">
        <v>262</v>
      </c>
      <c r="B75" s="430"/>
      <c r="C75" s="394" t="s">
        <v>246</v>
      </c>
      <c r="D75" s="86" t="s">
        <v>263</v>
      </c>
      <c r="E75" s="66"/>
      <c r="F75" s="67"/>
      <c r="G75" s="46">
        <f t="shared" si="54"/>
        <v>0</v>
      </c>
      <c r="H75" s="46"/>
      <c r="I75" s="47">
        <f t="shared" si="55"/>
        <v>0</v>
      </c>
      <c r="J75" s="47">
        <f t="shared" si="56"/>
        <v>0</v>
      </c>
      <c r="K75" s="48">
        <f>52927.2-7750+4497.86-45000</f>
        <v>4675.0599999999977</v>
      </c>
      <c r="L75" s="68"/>
      <c r="M75" s="68"/>
      <c r="N75" s="54"/>
      <c r="O75" s="51">
        <f t="shared" si="62"/>
        <v>0</v>
      </c>
      <c r="P75" s="51">
        <f t="shared" si="63"/>
        <v>0</v>
      </c>
      <c r="Q75" s="51">
        <f t="shared" si="64"/>
        <v>0</v>
      </c>
      <c r="R75" s="52">
        <f t="shared" si="65"/>
        <v>0</v>
      </c>
      <c r="S75" s="52">
        <f t="shared" si="66"/>
        <v>0</v>
      </c>
      <c r="T75" s="52">
        <f t="shared" si="67"/>
        <v>0</v>
      </c>
      <c r="U75" s="368">
        <f t="shared" si="57"/>
        <v>4675.0599999999977</v>
      </c>
      <c r="V75" s="369">
        <f t="shared" si="28"/>
        <v>0</v>
      </c>
      <c r="W75" s="369">
        <f t="shared" si="29"/>
        <v>0</v>
      </c>
      <c r="X75" s="53">
        <f t="shared" si="51"/>
        <v>0</v>
      </c>
      <c r="Y75" s="53">
        <f t="shared" si="52"/>
        <v>0</v>
      </c>
      <c r="Z75" s="53">
        <f t="shared" si="53"/>
        <v>0</v>
      </c>
      <c r="AA75" s="54"/>
      <c r="AB75" s="54"/>
      <c r="AC75" s="54"/>
      <c r="AD75" s="54"/>
      <c r="AE75" s="55"/>
      <c r="AF75" s="55"/>
      <c r="AG75" s="55"/>
      <c r="AH75" s="55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>
        <f t="shared" si="68"/>
        <v>0</v>
      </c>
      <c r="BO75" s="58">
        <f t="shared" si="69"/>
        <v>0</v>
      </c>
      <c r="BP75" s="54">
        <f t="shared" si="70"/>
        <v>0</v>
      </c>
      <c r="BQ75" s="54">
        <f t="shared" si="58"/>
        <v>4675.0599999999977</v>
      </c>
      <c r="BR75" s="54">
        <f t="shared" si="59"/>
        <v>0</v>
      </c>
      <c r="BS75" s="54">
        <f t="shared" si="60"/>
        <v>4675.0599999999977</v>
      </c>
      <c r="BT75" s="54">
        <f t="shared" si="71"/>
        <v>0</v>
      </c>
      <c r="BU75" s="54">
        <f t="shared" si="72"/>
        <v>0</v>
      </c>
      <c r="BV75" s="54">
        <f t="shared" si="73"/>
        <v>4675.0599999999977</v>
      </c>
      <c r="BW75" s="54">
        <f t="shared" si="61"/>
        <v>0</v>
      </c>
      <c r="BX75" s="1"/>
      <c r="BY75" s="1"/>
      <c r="BZ75" s="1"/>
      <c r="CA75" s="1"/>
      <c r="CB75" s="1"/>
      <c r="CC75" s="1"/>
      <c r="CD75" s="1"/>
      <c r="CE75" s="1"/>
      <c r="CF75" s="1"/>
      <c r="CG75" s="1"/>
    </row>
    <row r="76" spans="1:85" ht="15.75" customHeight="1">
      <c r="A76" s="81" t="s">
        <v>264</v>
      </c>
      <c r="B76" s="430"/>
      <c r="C76" s="394" t="s">
        <v>246</v>
      </c>
      <c r="D76" s="87" t="s">
        <v>265</v>
      </c>
      <c r="E76" s="66"/>
      <c r="F76" s="67"/>
      <c r="G76" s="46"/>
      <c r="H76" s="46"/>
      <c r="I76" s="47"/>
      <c r="J76" s="47"/>
      <c r="K76" s="48">
        <f>29163.75-24303.13-4860.62</f>
        <v>0</v>
      </c>
      <c r="L76" s="68"/>
      <c r="M76" s="68"/>
      <c r="N76" s="54"/>
      <c r="O76" s="51">
        <f t="shared" si="62"/>
        <v>0</v>
      </c>
      <c r="P76" s="51">
        <f t="shared" si="63"/>
        <v>0</v>
      </c>
      <c r="Q76" s="51">
        <f t="shared" si="64"/>
        <v>0</v>
      </c>
      <c r="R76" s="52">
        <f t="shared" si="65"/>
        <v>0</v>
      </c>
      <c r="S76" s="52">
        <f t="shared" si="66"/>
        <v>0</v>
      </c>
      <c r="T76" s="52">
        <f t="shared" si="67"/>
        <v>0</v>
      </c>
      <c r="U76" s="368">
        <f t="shared" si="57"/>
        <v>0</v>
      </c>
      <c r="V76" s="369">
        <f t="shared" si="28"/>
        <v>0</v>
      </c>
      <c r="W76" s="369">
        <f t="shared" si="29"/>
        <v>0</v>
      </c>
      <c r="X76" s="53">
        <f t="shared" si="51"/>
        <v>0</v>
      </c>
      <c r="Y76" s="53">
        <f t="shared" si="52"/>
        <v>0</v>
      </c>
      <c r="Z76" s="53">
        <f t="shared" si="53"/>
        <v>0</v>
      </c>
      <c r="AA76" s="54"/>
      <c r="AB76" s="54"/>
      <c r="AC76" s="54"/>
      <c r="AD76" s="54"/>
      <c r="AE76" s="55"/>
      <c r="AF76" s="55"/>
      <c r="AG76" s="55"/>
      <c r="AH76" s="55"/>
      <c r="AI76" s="54"/>
      <c r="AJ76" s="54"/>
      <c r="AK76" s="54"/>
      <c r="AL76" s="54"/>
      <c r="AM76" s="54"/>
      <c r="AN76" s="48"/>
      <c r="AO76" s="54"/>
      <c r="AP76" s="54"/>
      <c r="AQ76" s="48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>
        <f t="shared" si="68"/>
        <v>0</v>
      </c>
      <c r="BO76" s="58">
        <f t="shared" si="69"/>
        <v>0</v>
      </c>
      <c r="BP76" s="54">
        <f t="shared" si="70"/>
        <v>0</v>
      </c>
      <c r="BQ76" s="54">
        <f t="shared" si="58"/>
        <v>0</v>
      </c>
      <c r="BR76" s="54">
        <f t="shared" si="59"/>
        <v>0</v>
      </c>
      <c r="BS76" s="54">
        <f t="shared" si="60"/>
        <v>0</v>
      </c>
      <c r="BT76" s="54">
        <f t="shared" si="71"/>
        <v>0</v>
      </c>
      <c r="BU76" s="54">
        <f t="shared" si="72"/>
        <v>0</v>
      </c>
      <c r="BV76" s="54">
        <f t="shared" si="73"/>
        <v>0</v>
      </c>
      <c r="BW76" s="54">
        <f t="shared" si="61"/>
        <v>0</v>
      </c>
      <c r="BX76" s="1"/>
      <c r="BY76" s="1"/>
      <c r="BZ76" s="1"/>
      <c r="CA76" s="1"/>
      <c r="CB76" s="1"/>
      <c r="CC76" s="1"/>
      <c r="CD76" s="1"/>
      <c r="CE76" s="1"/>
      <c r="CF76" s="1"/>
      <c r="CG76" s="1"/>
    </row>
    <row r="77" spans="1:85" ht="15.75" customHeight="1">
      <c r="A77" s="83"/>
      <c r="B77" s="430" t="s">
        <v>266</v>
      </c>
      <c r="C77" s="397" t="s">
        <v>254</v>
      </c>
      <c r="D77" s="86" t="s">
        <v>267</v>
      </c>
      <c r="E77" s="66">
        <v>40000</v>
      </c>
      <c r="F77" s="67"/>
      <c r="G77" s="46">
        <f t="shared" ref="G77:G92" si="74">E77-F77</f>
        <v>40000</v>
      </c>
      <c r="H77" s="46"/>
      <c r="I77" s="47">
        <f t="shared" ref="I77:I92" si="75">IF(G77&gt;0,K77/G77,0)</f>
        <v>0</v>
      </c>
      <c r="J77" s="47">
        <f t="shared" ref="J77:J92" si="76">IF(G77&gt;0,O77/G77,0)</f>
        <v>0</v>
      </c>
      <c r="K77" s="54"/>
      <c r="L77" s="68">
        <v>20420</v>
      </c>
      <c r="M77" s="68"/>
      <c r="N77" s="54"/>
      <c r="O77" s="51">
        <f t="shared" si="62"/>
        <v>0</v>
      </c>
      <c r="P77" s="51">
        <f t="shared" si="63"/>
        <v>16207.5</v>
      </c>
      <c r="Q77" s="51">
        <f t="shared" si="64"/>
        <v>0</v>
      </c>
      <c r="R77" s="52">
        <f t="shared" si="65"/>
        <v>0</v>
      </c>
      <c r="S77" s="52">
        <f t="shared" si="66"/>
        <v>16207.5</v>
      </c>
      <c r="T77" s="52">
        <f t="shared" si="67"/>
        <v>0</v>
      </c>
      <c r="U77" s="369">
        <f t="shared" si="57"/>
        <v>0</v>
      </c>
      <c r="V77" s="369">
        <f t="shared" si="28"/>
        <v>4212.5</v>
      </c>
      <c r="W77" s="369">
        <f t="shared" si="29"/>
        <v>0</v>
      </c>
      <c r="X77" s="53">
        <f t="shared" si="51"/>
        <v>0</v>
      </c>
      <c r="Y77" s="53">
        <f t="shared" si="52"/>
        <v>0.79370714985308521</v>
      </c>
      <c r="Z77" s="53">
        <f t="shared" si="53"/>
        <v>0</v>
      </c>
      <c r="AA77" s="54"/>
      <c r="AB77" s="54"/>
      <c r="AC77" s="54"/>
      <c r="AD77" s="54"/>
      <c r="AE77" s="55"/>
      <c r="AF77" s="55"/>
      <c r="AG77" s="55"/>
      <c r="AH77" s="55"/>
      <c r="AI77" s="54"/>
      <c r="AJ77" s="54"/>
      <c r="AK77" s="54"/>
      <c r="AL77" s="54"/>
      <c r="AM77" s="54"/>
      <c r="AN77" s="48">
        <v>3354</v>
      </c>
      <c r="AO77" s="54"/>
      <c r="AP77" s="54"/>
      <c r="AQ77" s="48">
        <f>3500+3000</f>
        <v>6500</v>
      </c>
      <c r="AR77" s="54"/>
      <c r="AS77" s="54"/>
      <c r="AT77" s="54"/>
      <c r="AU77" s="54"/>
      <c r="AV77" s="54"/>
      <c r="AW77" s="54">
        <f>6353.5</f>
        <v>6353.5</v>
      </c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>
        <f t="shared" si="68"/>
        <v>0</v>
      </c>
      <c r="BO77" s="58">
        <f t="shared" si="69"/>
        <v>0</v>
      </c>
      <c r="BP77" s="54">
        <f t="shared" si="70"/>
        <v>0</v>
      </c>
      <c r="BQ77" s="54">
        <f t="shared" si="58"/>
        <v>0</v>
      </c>
      <c r="BR77" s="54">
        <f t="shared" si="59"/>
        <v>0</v>
      </c>
      <c r="BS77" s="54">
        <f t="shared" si="60"/>
        <v>0</v>
      </c>
      <c r="BT77" s="54">
        <f t="shared" si="71"/>
        <v>4212.5</v>
      </c>
      <c r="BU77" s="54">
        <f t="shared" si="72"/>
        <v>0</v>
      </c>
      <c r="BV77" s="54">
        <f t="shared" si="73"/>
        <v>0</v>
      </c>
      <c r="BW77" s="54">
        <f t="shared" si="61"/>
        <v>4212.5</v>
      </c>
      <c r="BX77" s="1"/>
      <c r="BY77" s="1"/>
      <c r="BZ77" s="1"/>
      <c r="CA77" s="1"/>
      <c r="CB77" s="1"/>
      <c r="CC77" s="1"/>
      <c r="CD77" s="1"/>
      <c r="CE77" s="1"/>
      <c r="CF77" s="1"/>
      <c r="CG77" s="1"/>
    </row>
    <row r="78" spans="1:85" ht="15.75" customHeight="1">
      <c r="A78" s="83"/>
      <c r="B78" s="429" t="s">
        <v>268</v>
      </c>
      <c r="C78" s="397" t="s">
        <v>254</v>
      </c>
      <c r="D78" s="86" t="s">
        <v>269</v>
      </c>
      <c r="E78" s="66"/>
      <c r="F78" s="67"/>
      <c r="G78" s="46">
        <f t="shared" si="74"/>
        <v>0</v>
      </c>
      <c r="H78" s="46"/>
      <c r="I78" s="47">
        <f t="shared" si="75"/>
        <v>0</v>
      </c>
      <c r="J78" s="47">
        <f t="shared" si="76"/>
        <v>0</v>
      </c>
      <c r="K78" s="54"/>
      <c r="L78" s="68">
        <v>11810.49</v>
      </c>
      <c r="M78" s="68"/>
      <c r="N78" s="54"/>
      <c r="O78" s="51">
        <f t="shared" si="62"/>
        <v>0</v>
      </c>
      <c r="P78" s="51">
        <f t="shared" si="63"/>
        <v>11810.49</v>
      </c>
      <c r="Q78" s="51">
        <f t="shared" si="64"/>
        <v>0</v>
      </c>
      <c r="R78" s="52">
        <f t="shared" si="65"/>
        <v>0</v>
      </c>
      <c r="S78" s="52">
        <f t="shared" si="66"/>
        <v>11810.49</v>
      </c>
      <c r="T78" s="52">
        <f t="shared" si="67"/>
        <v>0</v>
      </c>
      <c r="U78" s="369">
        <f t="shared" si="57"/>
        <v>0</v>
      </c>
      <c r="V78" s="369">
        <f t="shared" si="28"/>
        <v>0</v>
      </c>
      <c r="W78" s="369">
        <f t="shared" si="29"/>
        <v>0</v>
      </c>
      <c r="X78" s="53">
        <f t="shared" si="51"/>
        <v>0</v>
      </c>
      <c r="Y78" s="53">
        <f t="shared" si="52"/>
        <v>1</v>
      </c>
      <c r="Z78" s="53">
        <f t="shared" si="53"/>
        <v>0</v>
      </c>
      <c r="AA78" s="54"/>
      <c r="AB78" s="54"/>
      <c r="AC78" s="54"/>
      <c r="AD78" s="54"/>
      <c r="AE78" s="76">
        <v>11810.49</v>
      </c>
      <c r="AF78" s="55"/>
      <c r="AG78" s="55"/>
      <c r="AH78" s="55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>
        <f t="shared" si="68"/>
        <v>0</v>
      </c>
      <c r="BO78" s="58">
        <f t="shared" si="69"/>
        <v>0</v>
      </c>
      <c r="BP78" s="54">
        <f t="shared" si="70"/>
        <v>0</v>
      </c>
      <c r="BQ78" s="54">
        <f t="shared" si="58"/>
        <v>0</v>
      </c>
      <c r="BR78" s="54">
        <f t="shared" si="59"/>
        <v>0</v>
      </c>
      <c r="BS78" s="54">
        <f t="shared" si="60"/>
        <v>0</v>
      </c>
      <c r="BT78" s="54">
        <f t="shared" si="71"/>
        <v>0</v>
      </c>
      <c r="BU78" s="54">
        <f t="shared" si="72"/>
        <v>0</v>
      </c>
      <c r="BV78" s="54">
        <f t="shared" si="73"/>
        <v>0</v>
      </c>
      <c r="BW78" s="54">
        <f t="shared" si="61"/>
        <v>0</v>
      </c>
      <c r="BX78" s="1"/>
      <c r="BY78" s="1"/>
      <c r="BZ78" s="1"/>
      <c r="CA78" s="1"/>
      <c r="CB78" s="1"/>
      <c r="CC78" s="1"/>
      <c r="CD78" s="1"/>
      <c r="CE78" s="1"/>
      <c r="CF78" s="1"/>
      <c r="CG78" s="1"/>
    </row>
    <row r="79" spans="1:85" ht="15.75" customHeight="1">
      <c r="A79" s="83"/>
      <c r="B79" s="429" t="s">
        <v>270</v>
      </c>
      <c r="C79" s="397" t="s">
        <v>254</v>
      </c>
      <c r="D79" s="86" t="s">
        <v>271</v>
      </c>
      <c r="E79" s="66"/>
      <c r="F79" s="67"/>
      <c r="G79" s="46">
        <f t="shared" si="74"/>
        <v>0</v>
      </c>
      <c r="H79" s="46"/>
      <c r="I79" s="47">
        <f t="shared" si="75"/>
        <v>0</v>
      </c>
      <c r="J79" s="47">
        <f t="shared" si="76"/>
        <v>0</v>
      </c>
      <c r="K79" s="54"/>
      <c r="L79" s="68">
        <v>30750.73</v>
      </c>
      <c r="M79" s="68"/>
      <c r="N79" s="54"/>
      <c r="O79" s="51">
        <f t="shared" si="62"/>
        <v>0</v>
      </c>
      <c r="P79" s="51">
        <f t="shared" si="63"/>
        <v>30750.730000000003</v>
      </c>
      <c r="Q79" s="51">
        <f t="shared" si="64"/>
        <v>0</v>
      </c>
      <c r="R79" s="52">
        <f t="shared" si="65"/>
        <v>0</v>
      </c>
      <c r="S79" s="52">
        <f t="shared" si="66"/>
        <v>30750.730000000003</v>
      </c>
      <c r="T79" s="52">
        <f t="shared" si="67"/>
        <v>0</v>
      </c>
      <c r="U79" s="369">
        <f t="shared" si="57"/>
        <v>0</v>
      </c>
      <c r="V79" s="369">
        <f t="shared" si="28"/>
        <v>-3.637978807091713E-12</v>
      </c>
      <c r="W79" s="369">
        <f t="shared" si="29"/>
        <v>0</v>
      </c>
      <c r="X79" s="53">
        <f t="shared" si="51"/>
        <v>0</v>
      </c>
      <c r="Y79" s="53">
        <f t="shared" si="52"/>
        <v>1.0000000000000002</v>
      </c>
      <c r="Z79" s="53">
        <f t="shared" si="53"/>
        <v>0</v>
      </c>
      <c r="AA79" s="54"/>
      <c r="AB79" s="54"/>
      <c r="AC79" s="54"/>
      <c r="AD79" s="54"/>
      <c r="AE79" s="55">
        <f>6421.43+10980.51</f>
        <v>17401.940000000002</v>
      </c>
      <c r="AF79" s="55"/>
      <c r="AG79" s="55"/>
      <c r="AH79" s="76">
        <v>10710</v>
      </c>
      <c r="AI79" s="54"/>
      <c r="AJ79" s="54"/>
      <c r="AK79" s="54"/>
      <c r="AL79" s="54"/>
      <c r="AM79" s="54"/>
      <c r="AN79" s="48">
        <v>2638.79</v>
      </c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>
        <f t="shared" si="68"/>
        <v>0</v>
      </c>
      <c r="BO79" s="58">
        <f t="shared" si="69"/>
        <v>0</v>
      </c>
      <c r="BP79" s="54">
        <f t="shared" si="70"/>
        <v>0</v>
      </c>
      <c r="BQ79" s="54">
        <f t="shared" si="58"/>
        <v>0</v>
      </c>
      <c r="BR79" s="54">
        <f t="shared" si="59"/>
        <v>0</v>
      </c>
      <c r="BS79" s="54">
        <f t="shared" si="60"/>
        <v>0</v>
      </c>
      <c r="BT79" s="54">
        <f t="shared" si="71"/>
        <v>0</v>
      </c>
      <c r="BU79" s="54">
        <f t="shared" si="72"/>
        <v>0</v>
      </c>
      <c r="BV79" s="54">
        <f t="shared" si="73"/>
        <v>0</v>
      </c>
      <c r="BW79" s="54">
        <f t="shared" si="61"/>
        <v>0</v>
      </c>
      <c r="BX79" s="1"/>
      <c r="BY79" s="1"/>
      <c r="BZ79" s="1"/>
      <c r="CA79" s="1"/>
      <c r="CB79" s="1"/>
      <c r="CC79" s="1"/>
      <c r="CD79" s="1"/>
      <c r="CE79" s="1"/>
      <c r="CF79" s="1"/>
      <c r="CG79" s="1"/>
    </row>
    <row r="80" spans="1:85" ht="15.75" customHeight="1">
      <c r="A80" s="88"/>
      <c r="B80" s="416"/>
      <c r="C80" s="397" t="s">
        <v>272</v>
      </c>
      <c r="D80" s="86" t="s">
        <v>273</v>
      </c>
      <c r="E80" s="45">
        <v>75000</v>
      </c>
      <c r="F80" s="46"/>
      <c r="G80" s="46">
        <f t="shared" si="74"/>
        <v>75000</v>
      </c>
      <c r="H80" s="46"/>
      <c r="I80" s="47">
        <f t="shared" si="75"/>
        <v>0</v>
      </c>
      <c r="J80" s="47">
        <f t="shared" si="76"/>
        <v>0</v>
      </c>
      <c r="K80" s="54"/>
      <c r="L80" s="54"/>
      <c r="M80" s="54"/>
      <c r="N80" s="54"/>
      <c r="O80" s="51">
        <f t="shared" si="62"/>
        <v>0</v>
      </c>
      <c r="P80" s="51">
        <f t="shared" si="63"/>
        <v>0</v>
      </c>
      <c r="Q80" s="51">
        <f t="shared" si="64"/>
        <v>0</v>
      </c>
      <c r="R80" s="52">
        <f t="shared" si="65"/>
        <v>0</v>
      </c>
      <c r="S80" s="52">
        <f t="shared" si="66"/>
        <v>0</v>
      </c>
      <c r="T80" s="52">
        <f t="shared" si="67"/>
        <v>0</v>
      </c>
      <c r="U80" s="369">
        <f t="shared" si="57"/>
        <v>0</v>
      </c>
      <c r="V80" s="369">
        <f t="shared" si="28"/>
        <v>0</v>
      </c>
      <c r="W80" s="369">
        <f t="shared" si="29"/>
        <v>0</v>
      </c>
      <c r="X80" s="53">
        <f t="shared" si="51"/>
        <v>0</v>
      </c>
      <c r="Y80" s="53">
        <f t="shared" si="52"/>
        <v>0</v>
      </c>
      <c r="Z80" s="53">
        <f t="shared" si="53"/>
        <v>0</v>
      </c>
      <c r="AA80" s="54"/>
      <c r="AB80" s="54"/>
      <c r="AC80" s="54"/>
      <c r="AD80" s="54"/>
      <c r="AE80" s="55"/>
      <c r="AF80" s="55"/>
      <c r="AG80" s="55"/>
      <c r="AH80" s="55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>
        <f t="shared" si="68"/>
        <v>0</v>
      </c>
      <c r="BO80" s="58">
        <f t="shared" si="69"/>
        <v>0</v>
      </c>
      <c r="BP80" s="54">
        <f t="shared" si="70"/>
        <v>0</v>
      </c>
      <c r="BQ80" s="54">
        <f t="shared" si="58"/>
        <v>0</v>
      </c>
      <c r="BR80" s="54">
        <f t="shared" si="59"/>
        <v>0</v>
      </c>
      <c r="BS80" s="54">
        <f t="shared" si="60"/>
        <v>0</v>
      </c>
      <c r="BT80" s="54">
        <f t="shared" si="71"/>
        <v>0</v>
      </c>
      <c r="BU80" s="54">
        <f t="shared" si="72"/>
        <v>0</v>
      </c>
      <c r="BV80" s="54">
        <f t="shared" si="73"/>
        <v>0</v>
      </c>
      <c r="BW80" s="54">
        <f t="shared" si="61"/>
        <v>0</v>
      </c>
      <c r="BX80" s="1"/>
      <c r="BY80" s="1"/>
      <c r="BZ80" s="1"/>
      <c r="CA80" s="1"/>
      <c r="CB80" s="1"/>
      <c r="CC80" s="1"/>
      <c r="CD80" s="1"/>
      <c r="CE80" s="1"/>
      <c r="CF80" s="1"/>
      <c r="CG80" s="1"/>
    </row>
    <row r="81" spans="1:85" ht="15.75" customHeight="1">
      <c r="A81" s="89" t="s">
        <v>274</v>
      </c>
      <c r="B81" s="426" t="s">
        <v>275</v>
      </c>
      <c r="C81" s="398" t="s">
        <v>276</v>
      </c>
      <c r="D81" s="90" t="s">
        <v>277</v>
      </c>
      <c r="E81" s="91">
        <v>290000</v>
      </c>
      <c r="F81" s="92"/>
      <c r="G81" s="46">
        <f t="shared" si="74"/>
        <v>290000</v>
      </c>
      <c r="H81" s="46"/>
      <c r="I81" s="47">
        <f t="shared" si="75"/>
        <v>0.31441965517241377</v>
      </c>
      <c r="J81" s="47">
        <f t="shared" si="76"/>
        <v>0.30189334482758623</v>
      </c>
      <c r="K81" s="48">
        <f>127194-36012.3</f>
        <v>91181.7</v>
      </c>
      <c r="L81" s="54">
        <v>132915.35</v>
      </c>
      <c r="M81" s="48"/>
      <c r="N81" s="49"/>
      <c r="O81" s="51">
        <f t="shared" si="62"/>
        <v>87549.07</v>
      </c>
      <c r="P81" s="51">
        <f t="shared" si="63"/>
        <v>132915.35</v>
      </c>
      <c r="Q81" s="51">
        <f t="shared" si="64"/>
        <v>0</v>
      </c>
      <c r="R81" s="52">
        <f t="shared" si="65"/>
        <v>87549.07</v>
      </c>
      <c r="S81" s="52">
        <f t="shared" si="66"/>
        <v>132915.35</v>
      </c>
      <c r="T81" s="52">
        <f t="shared" si="67"/>
        <v>0</v>
      </c>
      <c r="U81" s="368">
        <f t="shared" si="57"/>
        <v>3632.6299999999901</v>
      </c>
      <c r="V81" s="369">
        <f t="shared" si="28"/>
        <v>0</v>
      </c>
      <c r="W81" s="369">
        <f t="shared" si="29"/>
        <v>0</v>
      </c>
      <c r="X81" s="53">
        <f t="shared" si="51"/>
        <v>0.96016053659890099</v>
      </c>
      <c r="Y81" s="53">
        <f t="shared" si="52"/>
        <v>1</v>
      </c>
      <c r="Z81" s="53">
        <f t="shared" si="53"/>
        <v>0</v>
      </c>
      <c r="AA81" s="54"/>
      <c r="AB81" s="93">
        <f>27965.95+3838.23</f>
        <v>31804.18</v>
      </c>
      <c r="AC81" s="54"/>
      <c r="AD81" s="54"/>
      <c r="AE81" s="55">
        <f>2202.17+27268.61+2213.17</f>
        <v>31683.949999999997</v>
      </c>
      <c r="AF81" s="55"/>
      <c r="AG81" s="55"/>
      <c r="AH81" s="76">
        <v>64242.91</v>
      </c>
      <c r="AI81" s="54"/>
      <c r="AJ81" s="54"/>
      <c r="AK81" s="48">
        <v>5184.3100000000004</v>
      </c>
      <c r="AL81" s="54"/>
      <c r="AM81" s="54"/>
      <c r="AN81" s="54"/>
      <c r="AO81" s="54"/>
      <c r="AP81" s="54">
        <f>9613.01+40224.69+1973.07</f>
        <v>51810.770000000004</v>
      </c>
      <c r="AQ81" s="54"/>
      <c r="AR81" s="54"/>
      <c r="AS81" s="54"/>
      <c r="AT81" s="54"/>
      <c r="AU81" s="54"/>
      <c r="AV81" s="54">
        <f>30213.8+2783.14</f>
        <v>32996.94</v>
      </c>
      <c r="AW81" s="54"/>
      <c r="AX81" s="54"/>
      <c r="AY81" s="54">
        <f>2741.36</f>
        <v>2741.36</v>
      </c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>
        <f t="shared" si="68"/>
        <v>87549.07</v>
      </c>
      <c r="BO81" s="58">
        <f t="shared" si="69"/>
        <v>0</v>
      </c>
      <c r="BP81" s="54">
        <f t="shared" si="70"/>
        <v>87549.07</v>
      </c>
      <c r="BQ81" s="54">
        <f t="shared" si="58"/>
        <v>3632.6299999999901</v>
      </c>
      <c r="BR81" s="54">
        <f t="shared" si="59"/>
        <v>0</v>
      </c>
      <c r="BS81" s="54">
        <f t="shared" si="60"/>
        <v>3632.6299999999901</v>
      </c>
      <c r="BT81" s="54">
        <f t="shared" si="71"/>
        <v>0</v>
      </c>
      <c r="BU81" s="54">
        <f t="shared" si="72"/>
        <v>87549.07</v>
      </c>
      <c r="BV81" s="54">
        <f t="shared" si="73"/>
        <v>3632.6299999999901</v>
      </c>
      <c r="BW81" s="54">
        <f t="shared" si="61"/>
        <v>87549.07</v>
      </c>
      <c r="BX81" s="1"/>
      <c r="BY81" s="1"/>
      <c r="BZ81" s="1"/>
      <c r="CA81" s="1"/>
      <c r="CB81" s="1"/>
      <c r="CC81" s="1"/>
      <c r="CD81" s="1"/>
      <c r="CE81" s="1"/>
      <c r="CF81" s="1"/>
      <c r="CG81" s="1"/>
    </row>
    <row r="82" spans="1:85" ht="15.75" customHeight="1">
      <c r="A82" s="94" t="s">
        <v>278</v>
      </c>
      <c r="B82" s="428"/>
      <c r="C82" s="398" t="s">
        <v>276</v>
      </c>
      <c r="D82" s="90" t="s">
        <v>279</v>
      </c>
      <c r="E82" s="95"/>
      <c r="F82" s="96"/>
      <c r="G82" s="46">
        <f t="shared" si="74"/>
        <v>0</v>
      </c>
      <c r="H82" s="46"/>
      <c r="I82" s="47">
        <f t="shared" si="75"/>
        <v>0</v>
      </c>
      <c r="J82" s="47">
        <f t="shared" si="76"/>
        <v>0</v>
      </c>
      <c r="K82" s="48">
        <f>162806-38000-2931.2-3500-10758-6420-79-101116.8-1</f>
        <v>0</v>
      </c>
      <c r="L82" s="68"/>
      <c r="M82" s="97"/>
      <c r="N82" s="49"/>
      <c r="O82" s="51">
        <f t="shared" si="62"/>
        <v>0</v>
      </c>
      <c r="P82" s="51">
        <f t="shared" si="63"/>
        <v>0</v>
      </c>
      <c r="Q82" s="51">
        <f t="shared" si="64"/>
        <v>0</v>
      </c>
      <c r="R82" s="52">
        <f t="shared" si="65"/>
        <v>0</v>
      </c>
      <c r="S82" s="52">
        <f t="shared" si="66"/>
        <v>0</v>
      </c>
      <c r="T82" s="52">
        <f t="shared" si="67"/>
        <v>0</v>
      </c>
      <c r="U82" s="368">
        <f t="shared" si="57"/>
        <v>0</v>
      </c>
      <c r="V82" s="369">
        <f t="shared" si="28"/>
        <v>0</v>
      </c>
      <c r="W82" s="369">
        <f t="shared" si="29"/>
        <v>0</v>
      </c>
      <c r="X82" s="53">
        <f t="shared" si="51"/>
        <v>0</v>
      </c>
      <c r="Y82" s="53">
        <f t="shared" si="52"/>
        <v>0</v>
      </c>
      <c r="Z82" s="53">
        <f t="shared" si="53"/>
        <v>0</v>
      </c>
      <c r="AA82" s="54"/>
      <c r="AB82" s="93"/>
      <c r="AC82" s="54"/>
      <c r="AD82" s="54"/>
      <c r="AE82" s="76"/>
      <c r="AF82" s="55"/>
      <c r="AG82" s="55"/>
      <c r="AH82" s="55"/>
      <c r="AI82" s="54"/>
      <c r="AJ82" s="54"/>
      <c r="AK82" s="54"/>
      <c r="AL82" s="54"/>
      <c r="AM82" s="54"/>
      <c r="AN82" s="48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>
        <f t="shared" si="68"/>
        <v>0</v>
      </c>
      <c r="BO82" s="58">
        <f t="shared" si="69"/>
        <v>0</v>
      </c>
      <c r="BP82" s="54">
        <f t="shared" si="70"/>
        <v>0</v>
      </c>
      <c r="BQ82" s="54">
        <f t="shared" si="58"/>
        <v>0</v>
      </c>
      <c r="BR82" s="54">
        <f t="shared" si="59"/>
        <v>0</v>
      </c>
      <c r="BS82" s="54">
        <f t="shared" si="60"/>
        <v>0</v>
      </c>
      <c r="BT82" s="54">
        <f t="shared" si="71"/>
        <v>0</v>
      </c>
      <c r="BU82" s="54">
        <f t="shared" si="72"/>
        <v>0</v>
      </c>
      <c r="BV82" s="54">
        <f t="shared" si="73"/>
        <v>0</v>
      </c>
      <c r="BW82" s="54">
        <f t="shared" si="61"/>
        <v>0</v>
      </c>
      <c r="BX82" s="1"/>
      <c r="BY82" s="1"/>
      <c r="BZ82" s="1"/>
      <c r="CA82" s="1"/>
      <c r="CB82" s="1"/>
      <c r="CC82" s="1"/>
      <c r="CD82" s="1"/>
      <c r="CE82" s="1"/>
      <c r="CF82" s="1"/>
      <c r="CG82" s="1"/>
    </row>
    <row r="83" spans="1:85" ht="15.75" customHeight="1">
      <c r="A83" s="98"/>
      <c r="B83" s="428"/>
      <c r="C83" s="399"/>
      <c r="D83" s="99"/>
      <c r="E83" s="95"/>
      <c r="F83" s="96"/>
      <c r="G83" s="46">
        <f t="shared" si="74"/>
        <v>0</v>
      </c>
      <c r="H83" s="46"/>
      <c r="I83" s="47">
        <f t="shared" si="75"/>
        <v>0</v>
      </c>
      <c r="J83" s="47">
        <f t="shared" si="76"/>
        <v>0</v>
      </c>
      <c r="K83" s="48"/>
      <c r="L83" s="68"/>
      <c r="M83" s="97"/>
      <c r="N83" s="49"/>
      <c r="O83" s="51">
        <f t="shared" si="62"/>
        <v>0</v>
      </c>
      <c r="P83" s="51">
        <f t="shared" si="63"/>
        <v>0</v>
      </c>
      <c r="Q83" s="51">
        <f t="shared" si="64"/>
        <v>0</v>
      </c>
      <c r="R83" s="52">
        <f t="shared" si="65"/>
        <v>0</v>
      </c>
      <c r="S83" s="52">
        <f t="shared" si="66"/>
        <v>0</v>
      </c>
      <c r="T83" s="52">
        <f t="shared" si="67"/>
        <v>0</v>
      </c>
      <c r="U83" s="369">
        <f t="shared" si="57"/>
        <v>0</v>
      </c>
      <c r="V83" s="369">
        <f t="shared" si="28"/>
        <v>0</v>
      </c>
      <c r="W83" s="369">
        <f t="shared" si="29"/>
        <v>0</v>
      </c>
      <c r="X83" s="53">
        <f t="shared" si="51"/>
        <v>0</v>
      </c>
      <c r="Y83" s="53">
        <f t="shared" si="52"/>
        <v>0</v>
      </c>
      <c r="Z83" s="53">
        <f t="shared" si="53"/>
        <v>0</v>
      </c>
      <c r="AA83" s="54"/>
      <c r="AB83" s="93"/>
      <c r="AC83" s="54"/>
      <c r="AD83" s="54"/>
      <c r="AE83" s="76"/>
      <c r="AF83" s="55"/>
      <c r="AG83" s="55"/>
      <c r="AH83" s="55"/>
      <c r="AI83" s="54"/>
      <c r="AJ83" s="54"/>
      <c r="AK83" s="54"/>
      <c r="AL83" s="54"/>
      <c r="AM83" s="54"/>
      <c r="AN83" s="48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>
        <f t="shared" si="68"/>
        <v>0</v>
      </c>
      <c r="BO83" s="58">
        <f t="shared" si="69"/>
        <v>0</v>
      </c>
      <c r="BP83" s="54">
        <f t="shared" si="70"/>
        <v>0</v>
      </c>
      <c r="BQ83" s="54">
        <f t="shared" si="58"/>
        <v>0</v>
      </c>
      <c r="BR83" s="54">
        <f t="shared" si="59"/>
        <v>0</v>
      </c>
      <c r="BS83" s="54">
        <f t="shared" si="60"/>
        <v>0</v>
      </c>
      <c r="BT83" s="54">
        <f t="shared" si="71"/>
        <v>0</v>
      </c>
      <c r="BU83" s="54">
        <f t="shared" si="72"/>
        <v>0</v>
      </c>
      <c r="BV83" s="54">
        <f t="shared" si="73"/>
        <v>0</v>
      </c>
      <c r="BW83" s="54">
        <f t="shared" si="61"/>
        <v>0</v>
      </c>
      <c r="BX83" s="1"/>
      <c r="BY83" s="1"/>
      <c r="BZ83" s="1"/>
      <c r="CA83" s="1"/>
      <c r="CB83" s="1"/>
      <c r="CC83" s="1"/>
      <c r="CD83" s="1"/>
      <c r="CE83" s="1"/>
      <c r="CF83" s="1"/>
      <c r="CG83" s="1"/>
    </row>
    <row r="84" spans="1:85" ht="15.75" customHeight="1">
      <c r="A84" s="100"/>
      <c r="B84" s="428" t="s">
        <v>280</v>
      </c>
      <c r="C84" s="399" t="s">
        <v>281</v>
      </c>
      <c r="D84" s="99" t="s">
        <v>282</v>
      </c>
      <c r="E84" s="101">
        <v>7000</v>
      </c>
      <c r="F84" s="102"/>
      <c r="G84" s="46">
        <f t="shared" si="74"/>
        <v>7000</v>
      </c>
      <c r="H84" s="46"/>
      <c r="I84" s="47">
        <f t="shared" si="75"/>
        <v>0</v>
      </c>
      <c r="J84" s="47">
        <f t="shared" si="76"/>
        <v>0</v>
      </c>
      <c r="K84" s="54"/>
      <c r="L84" s="68">
        <v>4253.1899999999996</v>
      </c>
      <c r="M84" s="71"/>
      <c r="N84" s="49"/>
      <c r="O84" s="51">
        <f t="shared" si="62"/>
        <v>0</v>
      </c>
      <c r="P84" s="51">
        <f t="shared" si="63"/>
        <v>1037.8800000000001</v>
      </c>
      <c r="Q84" s="51">
        <f t="shared" si="64"/>
        <v>0</v>
      </c>
      <c r="R84" s="52">
        <f t="shared" si="65"/>
        <v>0</v>
      </c>
      <c r="S84" s="52">
        <f t="shared" si="66"/>
        <v>1037.8800000000001</v>
      </c>
      <c r="T84" s="52">
        <f t="shared" si="67"/>
        <v>0</v>
      </c>
      <c r="U84" s="369">
        <f t="shared" si="57"/>
        <v>0</v>
      </c>
      <c r="V84" s="369">
        <f t="shared" si="28"/>
        <v>3215.3099999999995</v>
      </c>
      <c r="W84" s="369">
        <f t="shared" si="29"/>
        <v>0</v>
      </c>
      <c r="X84" s="53">
        <f t="shared" si="51"/>
        <v>0</v>
      </c>
      <c r="Y84" s="53">
        <f t="shared" si="52"/>
        <v>0.24402389735704264</v>
      </c>
      <c r="Z84" s="53">
        <f t="shared" si="53"/>
        <v>0</v>
      </c>
      <c r="AA84" s="54"/>
      <c r="AB84" s="54"/>
      <c r="AC84" s="54"/>
      <c r="AD84" s="54"/>
      <c r="AE84" s="76">
        <v>214.82</v>
      </c>
      <c r="AF84" s="55"/>
      <c r="AG84" s="55"/>
      <c r="AH84" s="55"/>
      <c r="AI84" s="54"/>
      <c r="AJ84" s="54"/>
      <c r="AK84" s="54">
        <f>104.41+108.01+10.33</f>
        <v>222.75000000000003</v>
      </c>
      <c r="AL84" s="54"/>
      <c r="AM84" s="54"/>
      <c r="AN84" s="48">
        <v>110.12</v>
      </c>
      <c r="AO84" s="54"/>
      <c r="AP84" s="54"/>
      <c r="AQ84" s="54"/>
      <c r="AR84" s="54"/>
      <c r="AS84" s="54"/>
      <c r="AT84" s="48">
        <f>109.49+126.9</f>
        <v>236.39</v>
      </c>
      <c r="AU84" s="54"/>
      <c r="AV84" s="54"/>
      <c r="AW84" s="48">
        <v>126.9</v>
      </c>
      <c r="AX84" s="54"/>
      <c r="AY84" s="54"/>
      <c r="AZ84" s="54">
        <f>126.9</f>
        <v>126.9</v>
      </c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>
        <f t="shared" si="68"/>
        <v>0</v>
      </c>
      <c r="BO84" s="58">
        <f t="shared" si="69"/>
        <v>0</v>
      </c>
      <c r="BP84" s="54">
        <f t="shared" si="70"/>
        <v>0</v>
      </c>
      <c r="BQ84" s="54">
        <f t="shared" si="58"/>
        <v>0</v>
      </c>
      <c r="BR84" s="54">
        <f t="shared" si="59"/>
        <v>0</v>
      </c>
      <c r="BS84" s="54">
        <f t="shared" si="60"/>
        <v>0</v>
      </c>
      <c r="BT84" s="54">
        <f t="shared" si="71"/>
        <v>3215.3099999999995</v>
      </c>
      <c r="BU84" s="54">
        <f t="shared" si="72"/>
        <v>0</v>
      </c>
      <c r="BV84" s="54">
        <f t="shared" si="73"/>
        <v>0</v>
      </c>
      <c r="BW84" s="54">
        <f t="shared" si="61"/>
        <v>3215.3099999999995</v>
      </c>
      <c r="BX84" s="1"/>
      <c r="BY84" s="1"/>
      <c r="BZ84" s="1"/>
      <c r="CA84" s="1"/>
      <c r="CB84" s="1"/>
      <c r="CC84" s="1"/>
      <c r="CD84" s="1"/>
      <c r="CE84" s="1"/>
      <c r="CF84" s="1"/>
      <c r="CG84" s="1"/>
    </row>
    <row r="85" spans="1:85" ht="15.75" customHeight="1">
      <c r="A85" s="79" t="s">
        <v>283</v>
      </c>
      <c r="B85" s="426" t="s">
        <v>284</v>
      </c>
      <c r="C85" s="397" t="s">
        <v>285</v>
      </c>
      <c r="D85" s="44" t="s">
        <v>286</v>
      </c>
      <c r="E85" s="45">
        <v>8000</v>
      </c>
      <c r="F85" s="46"/>
      <c r="G85" s="46">
        <f t="shared" si="74"/>
        <v>8000</v>
      </c>
      <c r="H85" s="46"/>
      <c r="I85" s="47">
        <f t="shared" si="75"/>
        <v>0.16666250000000002</v>
      </c>
      <c r="J85" s="47">
        <f t="shared" si="76"/>
        <v>4.3355000000000005E-2</v>
      </c>
      <c r="K85" s="48">
        <f>3333.3-2000</f>
        <v>1333.3000000000002</v>
      </c>
      <c r="L85" s="54">
        <v>185.91</v>
      </c>
      <c r="M85" s="48">
        <v>0.63</v>
      </c>
      <c r="N85" s="49"/>
      <c r="O85" s="51">
        <f t="shared" si="62"/>
        <v>346.84000000000003</v>
      </c>
      <c r="P85" s="51">
        <f t="shared" si="63"/>
        <v>185.28000000000003</v>
      </c>
      <c r="Q85" s="51">
        <f t="shared" si="64"/>
        <v>0</v>
      </c>
      <c r="R85" s="52">
        <f t="shared" si="65"/>
        <v>346.84000000000003</v>
      </c>
      <c r="S85" s="52">
        <f t="shared" si="66"/>
        <v>185.28000000000003</v>
      </c>
      <c r="T85" s="52">
        <f t="shared" si="67"/>
        <v>0</v>
      </c>
      <c r="U85" s="368">
        <f t="shared" si="57"/>
        <v>986.46000000000015</v>
      </c>
      <c r="V85" s="369">
        <f t="shared" si="28"/>
        <v>-3.2973623831367149E-14</v>
      </c>
      <c r="W85" s="369">
        <f t="shared" si="29"/>
        <v>0</v>
      </c>
      <c r="X85" s="53">
        <f t="shared" si="51"/>
        <v>0.26013650341258532</v>
      </c>
      <c r="Y85" s="53">
        <f t="shared" si="52"/>
        <v>0.99661126351460405</v>
      </c>
      <c r="Z85" s="53">
        <f t="shared" si="53"/>
        <v>0</v>
      </c>
      <c r="AA85" s="54"/>
      <c r="AB85" s="54"/>
      <c r="AC85" s="54"/>
      <c r="AD85" s="54"/>
      <c r="AE85" s="76">
        <v>92.93</v>
      </c>
      <c r="AF85" s="55"/>
      <c r="AG85" s="55"/>
      <c r="AH85" s="76">
        <v>70.930000000000007</v>
      </c>
      <c r="AI85" s="48"/>
      <c r="AJ85" s="48">
        <v>2.23</v>
      </c>
      <c r="AK85" s="48">
        <v>21.42</v>
      </c>
      <c r="AL85" s="54"/>
      <c r="AM85" s="48">
        <v>66.14</v>
      </c>
      <c r="AN85" s="54"/>
      <c r="AO85" s="54"/>
      <c r="AP85" s="48">
        <v>278.47000000000003</v>
      </c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>
        <f t="shared" si="68"/>
        <v>346.84000000000003</v>
      </c>
      <c r="BO85" s="58">
        <f t="shared" si="69"/>
        <v>0</v>
      </c>
      <c r="BP85" s="54">
        <f t="shared" si="70"/>
        <v>346.84000000000003</v>
      </c>
      <c r="BQ85" s="54">
        <f t="shared" si="58"/>
        <v>986.46000000000015</v>
      </c>
      <c r="BR85" s="54">
        <f t="shared" si="59"/>
        <v>0</v>
      </c>
      <c r="BS85" s="54">
        <f t="shared" si="60"/>
        <v>986.46000000000015</v>
      </c>
      <c r="BT85" s="54">
        <f t="shared" si="71"/>
        <v>0</v>
      </c>
      <c r="BU85" s="54">
        <f t="shared" si="72"/>
        <v>346.84000000000003</v>
      </c>
      <c r="BV85" s="54">
        <f t="shared" si="73"/>
        <v>986.46000000000015</v>
      </c>
      <c r="BW85" s="54">
        <f t="shared" si="61"/>
        <v>346.84000000000003</v>
      </c>
      <c r="BX85" s="1"/>
      <c r="BY85" s="1"/>
      <c r="BZ85" s="1"/>
      <c r="CA85" s="1"/>
      <c r="CB85" s="1"/>
      <c r="CC85" s="1"/>
      <c r="CD85" s="1"/>
      <c r="CE85" s="1"/>
      <c r="CF85" s="1"/>
      <c r="CG85" s="1"/>
    </row>
    <row r="86" spans="1:85" ht="15.75" customHeight="1">
      <c r="A86" s="83"/>
      <c r="B86" s="429" t="s">
        <v>287</v>
      </c>
      <c r="C86" s="397" t="s">
        <v>288</v>
      </c>
      <c r="D86" s="44" t="s">
        <v>289</v>
      </c>
      <c r="E86" s="45"/>
      <c r="F86" s="46"/>
      <c r="G86" s="46">
        <f t="shared" si="74"/>
        <v>0</v>
      </c>
      <c r="H86" s="46"/>
      <c r="I86" s="47">
        <f t="shared" si="75"/>
        <v>0</v>
      </c>
      <c r="J86" s="47">
        <f t="shared" si="76"/>
        <v>0</v>
      </c>
      <c r="K86" s="54"/>
      <c r="L86" s="54">
        <v>28925</v>
      </c>
      <c r="M86" s="54"/>
      <c r="N86" s="49"/>
      <c r="O86" s="51">
        <f t="shared" si="62"/>
        <v>0</v>
      </c>
      <c r="P86" s="51">
        <f t="shared" si="63"/>
        <v>28925</v>
      </c>
      <c r="Q86" s="51">
        <f t="shared" si="64"/>
        <v>0</v>
      </c>
      <c r="R86" s="52">
        <f t="shared" si="65"/>
        <v>0</v>
      </c>
      <c r="S86" s="52">
        <f t="shared" si="66"/>
        <v>28925</v>
      </c>
      <c r="T86" s="52">
        <f t="shared" si="67"/>
        <v>0</v>
      </c>
      <c r="U86" s="369">
        <f t="shared" si="57"/>
        <v>0</v>
      </c>
      <c r="V86" s="369">
        <f t="shared" si="28"/>
        <v>0</v>
      </c>
      <c r="W86" s="369">
        <f t="shared" si="29"/>
        <v>0</v>
      </c>
      <c r="X86" s="53">
        <f t="shared" si="51"/>
        <v>0</v>
      </c>
      <c r="Y86" s="53">
        <f t="shared" si="52"/>
        <v>1</v>
      </c>
      <c r="Z86" s="53">
        <f t="shared" si="53"/>
        <v>0</v>
      </c>
      <c r="AA86" s="54"/>
      <c r="AB86" s="54"/>
      <c r="AC86" s="54"/>
      <c r="AD86" s="54"/>
      <c r="AE86" s="55"/>
      <c r="AF86" s="55"/>
      <c r="AG86" s="55"/>
      <c r="AH86" s="55"/>
      <c r="AI86" s="54"/>
      <c r="AJ86" s="54"/>
      <c r="AK86" s="54"/>
      <c r="AL86" s="54"/>
      <c r="AM86" s="54"/>
      <c r="AN86" s="54"/>
      <c r="AO86" s="54"/>
      <c r="AP86" s="54"/>
      <c r="AQ86" s="48">
        <v>28925</v>
      </c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>
        <f t="shared" si="68"/>
        <v>0</v>
      </c>
      <c r="BO86" s="58">
        <f t="shared" si="69"/>
        <v>0</v>
      </c>
      <c r="BP86" s="54">
        <f t="shared" si="70"/>
        <v>0</v>
      </c>
      <c r="BQ86" s="54">
        <f t="shared" si="58"/>
        <v>0</v>
      </c>
      <c r="BR86" s="54">
        <f t="shared" si="59"/>
        <v>0</v>
      </c>
      <c r="BS86" s="54">
        <f t="shared" si="60"/>
        <v>0</v>
      </c>
      <c r="BT86" s="54">
        <f t="shared" si="71"/>
        <v>0</v>
      </c>
      <c r="BU86" s="54">
        <f t="shared" si="72"/>
        <v>0</v>
      </c>
      <c r="BV86" s="54">
        <f t="shared" si="73"/>
        <v>0</v>
      </c>
      <c r="BW86" s="54">
        <f t="shared" si="61"/>
        <v>0</v>
      </c>
      <c r="BX86" s="1"/>
      <c r="BY86" s="1"/>
      <c r="BZ86" s="1"/>
      <c r="CA86" s="1"/>
      <c r="CB86" s="1"/>
      <c r="CC86" s="1"/>
      <c r="CD86" s="1"/>
      <c r="CE86" s="1"/>
      <c r="CF86" s="1"/>
      <c r="CG86" s="1"/>
    </row>
    <row r="87" spans="1:85" ht="15.75" customHeight="1">
      <c r="A87" s="64"/>
      <c r="B87" s="426"/>
      <c r="C87" s="397" t="s">
        <v>290</v>
      </c>
      <c r="D87" s="44" t="s">
        <v>291</v>
      </c>
      <c r="E87" s="45">
        <v>12000</v>
      </c>
      <c r="F87" s="46"/>
      <c r="G87" s="46">
        <f t="shared" si="74"/>
        <v>12000</v>
      </c>
      <c r="H87" s="46"/>
      <c r="I87" s="47">
        <f t="shared" si="75"/>
        <v>0</v>
      </c>
      <c r="J87" s="47">
        <f t="shared" si="76"/>
        <v>0</v>
      </c>
      <c r="K87" s="54"/>
      <c r="L87" s="54"/>
      <c r="M87" s="54"/>
      <c r="N87" s="49"/>
      <c r="O87" s="51">
        <f t="shared" si="62"/>
        <v>0</v>
      </c>
      <c r="P87" s="51">
        <f t="shared" si="63"/>
        <v>0</v>
      </c>
      <c r="Q87" s="51">
        <f t="shared" si="64"/>
        <v>0</v>
      </c>
      <c r="R87" s="52">
        <f t="shared" si="65"/>
        <v>0</v>
      </c>
      <c r="S87" s="52">
        <f t="shared" si="66"/>
        <v>0</v>
      </c>
      <c r="T87" s="52">
        <f t="shared" si="67"/>
        <v>0</v>
      </c>
      <c r="U87" s="369">
        <f t="shared" si="57"/>
        <v>0</v>
      </c>
      <c r="V87" s="369">
        <f t="shared" si="28"/>
        <v>0</v>
      </c>
      <c r="W87" s="369">
        <f t="shared" si="29"/>
        <v>0</v>
      </c>
      <c r="X87" s="53">
        <f t="shared" si="51"/>
        <v>0</v>
      </c>
      <c r="Y87" s="53">
        <f t="shared" si="52"/>
        <v>0</v>
      </c>
      <c r="Z87" s="53">
        <f t="shared" si="53"/>
        <v>0</v>
      </c>
      <c r="AA87" s="54"/>
      <c r="AB87" s="54"/>
      <c r="AC87" s="54"/>
      <c r="AD87" s="54"/>
      <c r="AE87" s="55"/>
      <c r="AF87" s="55"/>
      <c r="AG87" s="55"/>
      <c r="AH87" s="55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>
        <f t="shared" si="68"/>
        <v>0</v>
      </c>
      <c r="BO87" s="58">
        <f t="shared" si="69"/>
        <v>0</v>
      </c>
      <c r="BP87" s="54">
        <f t="shared" si="70"/>
        <v>0</v>
      </c>
      <c r="BQ87" s="54">
        <f t="shared" si="58"/>
        <v>0</v>
      </c>
      <c r="BR87" s="54">
        <f t="shared" si="59"/>
        <v>0</v>
      </c>
      <c r="BS87" s="54">
        <f t="shared" si="60"/>
        <v>0</v>
      </c>
      <c r="BT87" s="54">
        <f t="shared" si="71"/>
        <v>0</v>
      </c>
      <c r="BU87" s="54">
        <f t="shared" si="72"/>
        <v>0</v>
      </c>
      <c r="BV87" s="54">
        <f t="shared" si="73"/>
        <v>0</v>
      </c>
      <c r="BW87" s="54">
        <f t="shared" si="61"/>
        <v>0</v>
      </c>
      <c r="BX87" s="1"/>
      <c r="BY87" s="1"/>
      <c r="BZ87" s="1"/>
      <c r="CA87" s="1"/>
      <c r="CB87" s="1"/>
      <c r="CC87" s="1"/>
      <c r="CD87" s="1"/>
      <c r="CE87" s="1"/>
      <c r="CF87" s="1"/>
      <c r="CG87" s="1"/>
    </row>
    <row r="88" spans="1:85" ht="15.75" customHeight="1">
      <c r="A88" s="43" t="s">
        <v>292</v>
      </c>
      <c r="B88" s="426"/>
      <c r="C88" s="397" t="s">
        <v>293</v>
      </c>
      <c r="D88" s="73" t="s">
        <v>294</v>
      </c>
      <c r="E88" s="45">
        <v>50000</v>
      </c>
      <c r="F88" s="46"/>
      <c r="G88" s="46">
        <f t="shared" si="74"/>
        <v>50000</v>
      </c>
      <c r="H88" s="46"/>
      <c r="I88" s="47">
        <f t="shared" si="75"/>
        <v>0.21515999999999999</v>
      </c>
      <c r="J88" s="47">
        <f t="shared" si="76"/>
        <v>0.21515999999999999</v>
      </c>
      <c r="K88" s="48">
        <v>10758</v>
      </c>
      <c r="L88" s="54"/>
      <c r="M88" s="54"/>
      <c r="N88" s="49"/>
      <c r="O88" s="51">
        <f t="shared" si="62"/>
        <v>10758</v>
      </c>
      <c r="P88" s="51">
        <f t="shared" si="63"/>
        <v>0</v>
      </c>
      <c r="Q88" s="51">
        <f t="shared" si="64"/>
        <v>0</v>
      </c>
      <c r="R88" s="52">
        <f t="shared" si="65"/>
        <v>10758</v>
      </c>
      <c r="S88" s="52">
        <f t="shared" si="66"/>
        <v>0</v>
      </c>
      <c r="T88" s="52">
        <f t="shared" si="67"/>
        <v>0</v>
      </c>
      <c r="U88" s="369">
        <f t="shared" si="57"/>
        <v>0</v>
      </c>
      <c r="V88" s="369">
        <f t="shared" si="28"/>
        <v>0</v>
      </c>
      <c r="W88" s="369">
        <f t="shared" si="29"/>
        <v>0</v>
      </c>
      <c r="X88" s="53">
        <f t="shared" si="51"/>
        <v>1</v>
      </c>
      <c r="Y88" s="53">
        <f t="shared" si="52"/>
        <v>0</v>
      </c>
      <c r="Z88" s="53">
        <f t="shared" si="53"/>
        <v>0</v>
      </c>
      <c r="AA88" s="54"/>
      <c r="AB88" s="54"/>
      <c r="AC88" s="54"/>
      <c r="AD88" s="54"/>
      <c r="AE88" s="55"/>
      <c r="AF88" s="55"/>
      <c r="AG88" s="55"/>
      <c r="AH88" s="55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48">
        <v>10758</v>
      </c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>
        <f t="shared" si="68"/>
        <v>10758</v>
      </c>
      <c r="BO88" s="58">
        <f t="shared" si="69"/>
        <v>0</v>
      </c>
      <c r="BP88" s="54">
        <f t="shared" si="70"/>
        <v>10758</v>
      </c>
      <c r="BQ88" s="54">
        <f t="shared" si="58"/>
        <v>0</v>
      </c>
      <c r="BR88" s="54">
        <f t="shared" si="59"/>
        <v>0</v>
      </c>
      <c r="BS88" s="54">
        <f t="shared" si="60"/>
        <v>0</v>
      </c>
      <c r="BT88" s="54">
        <f t="shared" si="71"/>
        <v>0</v>
      </c>
      <c r="BU88" s="54">
        <f t="shared" si="72"/>
        <v>10758</v>
      </c>
      <c r="BV88" s="54">
        <f t="shared" si="73"/>
        <v>0</v>
      </c>
      <c r="BW88" s="54">
        <f t="shared" si="61"/>
        <v>10758</v>
      </c>
      <c r="BX88" s="1"/>
      <c r="BY88" s="1"/>
      <c r="BZ88" s="1"/>
      <c r="CA88" s="1"/>
      <c r="CB88" s="1"/>
      <c r="CC88" s="1"/>
      <c r="CD88" s="1"/>
      <c r="CE88" s="1"/>
      <c r="CF88" s="1"/>
      <c r="CG88" s="1"/>
    </row>
    <row r="89" spans="1:85" ht="15.75" customHeight="1">
      <c r="A89" s="43" t="s">
        <v>295</v>
      </c>
      <c r="B89" s="416" t="s">
        <v>296</v>
      </c>
      <c r="C89" s="394" t="s">
        <v>297</v>
      </c>
      <c r="D89" s="44" t="s">
        <v>298</v>
      </c>
      <c r="E89" s="45">
        <v>15000</v>
      </c>
      <c r="F89" s="46"/>
      <c r="G89" s="46">
        <f t="shared" si="74"/>
        <v>15000</v>
      </c>
      <c r="H89" s="46"/>
      <c r="I89" s="47">
        <f t="shared" si="75"/>
        <v>0.69224733333333333</v>
      </c>
      <c r="J89" s="47">
        <f t="shared" si="76"/>
        <v>7.6285999999999993E-2</v>
      </c>
      <c r="K89" s="48">
        <v>10383.709999999999</v>
      </c>
      <c r="L89" s="54">
        <v>4129.49</v>
      </c>
      <c r="M89" s="48">
        <f>519.61-519.61</f>
        <v>0</v>
      </c>
      <c r="N89" s="49"/>
      <c r="O89" s="51">
        <f t="shared" si="62"/>
        <v>1144.29</v>
      </c>
      <c r="P89" s="51">
        <f t="shared" si="63"/>
        <v>4129.49</v>
      </c>
      <c r="Q89" s="51">
        <f t="shared" si="64"/>
        <v>0</v>
      </c>
      <c r="R89" s="52">
        <f t="shared" si="65"/>
        <v>1144.29</v>
      </c>
      <c r="S89" s="52">
        <f t="shared" si="66"/>
        <v>4129.49</v>
      </c>
      <c r="T89" s="52">
        <f t="shared" si="67"/>
        <v>0</v>
      </c>
      <c r="U89" s="369">
        <f t="shared" si="57"/>
        <v>9239.4199999999983</v>
      </c>
      <c r="V89" s="369">
        <f t="shared" si="28"/>
        <v>0</v>
      </c>
      <c r="W89" s="369">
        <f t="shared" si="29"/>
        <v>0</v>
      </c>
      <c r="X89" s="53">
        <f t="shared" si="51"/>
        <v>0.11020049673960464</v>
      </c>
      <c r="Y89" s="53">
        <f t="shared" si="52"/>
        <v>1</v>
      </c>
      <c r="Z89" s="53">
        <f t="shared" si="53"/>
        <v>0</v>
      </c>
      <c r="AA89" s="54"/>
      <c r="AB89" s="48">
        <v>3609.88</v>
      </c>
      <c r="AC89" s="54"/>
      <c r="AD89" s="54"/>
      <c r="AE89" s="55"/>
      <c r="AF89" s="55"/>
      <c r="AG89" s="55"/>
      <c r="AH89" s="55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48">
        <v>1144.29</v>
      </c>
      <c r="AW89" s="48">
        <v>519.61</v>
      </c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>
        <f t="shared" si="68"/>
        <v>1144.29</v>
      </c>
      <c r="BO89" s="58">
        <f t="shared" si="69"/>
        <v>0</v>
      </c>
      <c r="BP89" s="54">
        <f t="shared" si="70"/>
        <v>1144.29</v>
      </c>
      <c r="BQ89" s="54">
        <f t="shared" si="58"/>
        <v>9239.4199999999983</v>
      </c>
      <c r="BR89" s="54">
        <f t="shared" si="59"/>
        <v>0</v>
      </c>
      <c r="BS89" s="54">
        <f t="shared" si="60"/>
        <v>9239.4199999999983</v>
      </c>
      <c r="BT89" s="54">
        <f t="shared" si="71"/>
        <v>0</v>
      </c>
      <c r="BU89" s="54">
        <f t="shared" si="72"/>
        <v>1144.29</v>
      </c>
      <c r="BV89" s="54">
        <f t="shared" si="73"/>
        <v>9239.4199999999983</v>
      </c>
      <c r="BW89" s="54">
        <f t="shared" si="61"/>
        <v>1144.29</v>
      </c>
      <c r="BX89" s="1"/>
      <c r="BY89" s="1"/>
      <c r="BZ89" s="1"/>
      <c r="CA89" s="1"/>
      <c r="CB89" s="1"/>
      <c r="CC89" s="1"/>
      <c r="CD89" s="1"/>
      <c r="CE89" s="1"/>
      <c r="CF89" s="1"/>
      <c r="CG89" s="1"/>
    </row>
    <row r="90" spans="1:85" ht="15" customHeight="1">
      <c r="A90" s="79" t="s">
        <v>299</v>
      </c>
      <c r="B90" s="416"/>
      <c r="C90" s="394" t="s">
        <v>297</v>
      </c>
      <c r="D90" s="73" t="s">
        <v>300</v>
      </c>
      <c r="E90" s="45"/>
      <c r="F90" s="46"/>
      <c r="G90" s="46">
        <f t="shared" si="74"/>
        <v>0</v>
      </c>
      <c r="H90" s="46"/>
      <c r="I90" s="47">
        <f t="shared" si="75"/>
        <v>0</v>
      </c>
      <c r="J90" s="47">
        <f t="shared" si="76"/>
        <v>0</v>
      </c>
      <c r="K90" s="48">
        <f>14737.8-9667.8</f>
        <v>5070</v>
      </c>
      <c r="L90" s="54"/>
      <c r="M90" s="54"/>
      <c r="N90" s="54"/>
      <c r="O90" s="51">
        <f t="shared" si="62"/>
        <v>5070</v>
      </c>
      <c r="P90" s="51">
        <f t="shared" si="63"/>
        <v>0</v>
      </c>
      <c r="Q90" s="51">
        <f t="shared" si="64"/>
        <v>0</v>
      </c>
      <c r="R90" s="52">
        <f t="shared" si="65"/>
        <v>5070</v>
      </c>
      <c r="S90" s="52">
        <f t="shared" si="66"/>
        <v>0</v>
      </c>
      <c r="T90" s="52">
        <f t="shared" si="67"/>
        <v>0</v>
      </c>
      <c r="U90" s="368">
        <f t="shared" si="57"/>
        <v>0</v>
      </c>
      <c r="V90" s="369">
        <f t="shared" si="28"/>
        <v>0</v>
      </c>
      <c r="W90" s="369">
        <f t="shared" si="29"/>
        <v>0</v>
      </c>
      <c r="X90" s="53">
        <f t="shared" si="51"/>
        <v>1</v>
      </c>
      <c r="Y90" s="53">
        <f t="shared" si="52"/>
        <v>0</v>
      </c>
      <c r="Z90" s="53">
        <f t="shared" si="53"/>
        <v>0</v>
      </c>
      <c r="AA90" s="54"/>
      <c r="AB90" s="48"/>
      <c r="AC90" s="54"/>
      <c r="AD90" s="54"/>
      <c r="AE90" s="55"/>
      <c r="AF90" s="55"/>
      <c r="AG90" s="55"/>
      <c r="AH90" s="76"/>
      <c r="AI90" s="48"/>
      <c r="AJ90" s="54"/>
      <c r="AK90" s="48"/>
      <c r="AL90" s="54"/>
      <c r="AM90" s="48">
        <v>5070</v>
      </c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>
        <f t="shared" si="68"/>
        <v>5070</v>
      </c>
      <c r="BO90" s="58">
        <f t="shared" si="69"/>
        <v>0</v>
      </c>
      <c r="BP90" s="54">
        <f t="shared" si="70"/>
        <v>5070</v>
      </c>
      <c r="BQ90" s="54">
        <f t="shared" si="58"/>
        <v>0</v>
      </c>
      <c r="BR90" s="54">
        <f t="shared" si="59"/>
        <v>0</v>
      </c>
      <c r="BS90" s="54">
        <f t="shared" si="60"/>
        <v>0</v>
      </c>
      <c r="BT90" s="54">
        <f t="shared" si="71"/>
        <v>0</v>
      </c>
      <c r="BU90" s="54">
        <f t="shared" si="72"/>
        <v>5070</v>
      </c>
      <c r="BV90" s="54">
        <f t="shared" si="73"/>
        <v>0</v>
      </c>
      <c r="BW90" s="54">
        <f t="shared" si="61"/>
        <v>5070</v>
      </c>
      <c r="BX90" s="1"/>
      <c r="BY90" s="1"/>
      <c r="BZ90" s="1"/>
      <c r="CA90" s="1"/>
      <c r="CB90" s="1"/>
      <c r="CC90" s="1"/>
      <c r="CD90" s="1"/>
      <c r="CE90" s="1"/>
      <c r="CF90" s="1"/>
      <c r="CG90" s="1"/>
    </row>
    <row r="91" spans="1:85" ht="15" customHeight="1">
      <c r="A91" s="103"/>
      <c r="B91" s="416" t="s">
        <v>301</v>
      </c>
      <c r="C91" s="394" t="s">
        <v>302</v>
      </c>
      <c r="D91" s="44" t="s">
        <v>303</v>
      </c>
      <c r="E91" s="45">
        <v>10000</v>
      </c>
      <c r="F91" s="46"/>
      <c r="G91" s="46">
        <f t="shared" si="74"/>
        <v>10000</v>
      </c>
      <c r="H91" s="46"/>
      <c r="I91" s="47">
        <f t="shared" si="75"/>
        <v>0</v>
      </c>
      <c r="J91" s="47">
        <f t="shared" si="76"/>
        <v>0</v>
      </c>
      <c r="K91" s="54"/>
      <c r="L91" s="54">
        <v>3700.55</v>
      </c>
      <c r="M91" s="48">
        <f>2648.55-2648.55</f>
        <v>0</v>
      </c>
      <c r="N91" s="54"/>
      <c r="O91" s="51">
        <f t="shared" si="62"/>
        <v>0</v>
      </c>
      <c r="P91" s="51">
        <f t="shared" si="63"/>
        <v>1157.2</v>
      </c>
      <c r="Q91" s="51">
        <f t="shared" si="64"/>
        <v>0</v>
      </c>
      <c r="R91" s="52">
        <f t="shared" si="65"/>
        <v>0</v>
      </c>
      <c r="S91" s="52">
        <f t="shared" si="66"/>
        <v>1157.2</v>
      </c>
      <c r="T91" s="52">
        <f t="shared" si="67"/>
        <v>0</v>
      </c>
      <c r="U91" s="369">
        <f t="shared" si="57"/>
        <v>0</v>
      </c>
      <c r="V91" s="369">
        <f t="shared" si="28"/>
        <v>2543.3500000000004</v>
      </c>
      <c r="W91" s="369">
        <f t="shared" si="29"/>
        <v>0</v>
      </c>
      <c r="X91" s="53">
        <f t="shared" si="51"/>
        <v>0</v>
      </c>
      <c r="Y91" s="53">
        <f t="shared" si="52"/>
        <v>0.31271027279728686</v>
      </c>
      <c r="Z91" s="53">
        <f t="shared" si="53"/>
        <v>0</v>
      </c>
      <c r="AA91" s="54"/>
      <c r="AB91" s="48">
        <v>263</v>
      </c>
      <c r="AC91" s="54"/>
      <c r="AD91" s="54"/>
      <c r="AE91" s="55"/>
      <c r="AF91" s="55"/>
      <c r="AG91" s="55"/>
      <c r="AH91" s="76">
        <v>420.8</v>
      </c>
      <c r="AI91" s="48"/>
      <c r="AJ91" s="54"/>
      <c r="AK91" s="48">
        <v>131.5</v>
      </c>
      <c r="AL91" s="54"/>
      <c r="AM91" s="54"/>
      <c r="AN91" s="54"/>
      <c r="AO91" s="54"/>
      <c r="AP91" s="54"/>
      <c r="AQ91" s="48">
        <v>236.7</v>
      </c>
      <c r="AR91" s="54"/>
      <c r="AS91" s="54"/>
      <c r="AT91" s="54"/>
      <c r="AU91" s="54"/>
      <c r="AV91" s="54"/>
      <c r="AW91" s="54"/>
      <c r="AX91" s="54"/>
      <c r="AY91" s="54"/>
      <c r="AZ91" s="54">
        <f>105.2</f>
        <v>105.2</v>
      </c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>
        <f t="shared" si="68"/>
        <v>0</v>
      </c>
      <c r="BO91" s="58">
        <f t="shared" si="69"/>
        <v>0</v>
      </c>
      <c r="BP91" s="54">
        <f t="shared" si="70"/>
        <v>0</v>
      </c>
      <c r="BQ91" s="54">
        <f t="shared" si="58"/>
        <v>0</v>
      </c>
      <c r="BR91" s="54">
        <f t="shared" si="59"/>
        <v>0</v>
      </c>
      <c r="BS91" s="54">
        <f t="shared" si="60"/>
        <v>0</v>
      </c>
      <c r="BT91" s="54">
        <f t="shared" si="71"/>
        <v>2543.3500000000004</v>
      </c>
      <c r="BU91" s="54">
        <f t="shared" si="72"/>
        <v>0</v>
      </c>
      <c r="BV91" s="54">
        <f t="shared" si="73"/>
        <v>0</v>
      </c>
      <c r="BW91" s="54">
        <f t="shared" si="61"/>
        <v>2543.3500000000004</v>
      </c>
      <c r="BX91" s="1"/>
      <c r="BY91" s="1"/>
      <c r="BZ91" s="1"/>
      <c r="CA91" s="1"/>
      <c r="CB91" s="1"/>
      <c r="CC91" s="1"/>
      <c r="CD91" s="1"/>
      <c r="CE91" s="1"/>
      <c r="CF91" s="1"/>
      <c r="CG91" s="1"/>
    </row>
    <row r="92" spans="1:85" ht="15.75" customHeight="1">
      <c r="A92" s="81" t="s">
        <v>304</v>
      </c>
      <c r="B92" s="429" t="s">
        <v>305</v>
      </c>
      <c r="C92" s="394" t="s">
        <v>306</v>
      </c>
      <c r="D92" s="73" t="s">
        <v>307</v>
      </c>
      <c r="E92" s="45"/>
      <c r="F92" s="46"/>
      <c r="G92" s="46">
        <f t="shared" si="74"/>
        <v>0</v>
      </c>
      <c r="H92" s="46"/>
      <c r="I92" s="47">
        <f t="shared" si="75"/>
        <v>0</v>
      </c>
      <c r="J92" s="47">
        <f t="shared" si="76"/>
        <v>0</v>
      </c>
      <c r="K92" s="48">
        <f>10054.68-4420.75</f>
        <v>5633.93</v>
      </c>
      <c r="L92" s="54">
        <v>8509.1</v>
      </c>
      <c r="M92" s="54"/>
      <c r="N92" s="54"/>
      <c r="O92" s="51">
        <f t="shared" si="62"/>
        <v>5633.93</v>
      </c>
      <c r="P92" s="51">
        <f t="shared" si="63"/>
        <v>8509.0999999999985</v>
      </c>
      <c r="Q92" s="51">
        <f t="shared" si="64"/>
        <v>0</v>
      </c>
      <c r="R92" s="52">
        <f t="shared" si="65"/>
        <v>5633.93</v>
      </c>
      <c r="S92" s="52">
        <f t="shared" si="66"/>
        <v>8509.0999999999985</v>
      </c>
      <c r="T92" s="52">
        <f t="shared" si="67"/>
        <v>0</v>
      </c>
      <c r="U92" s="368">
        <f t="shared" si="57"/>
        <v>0</v>
      </c>
      <c r="V92" s="369">
        <f t="shared" si="28"/>
        <v>1.8189894035458565E-12</v>
      </c>
      <c r="W92" s="369">
        <f t="shared" si="29"/>
        <v>0</v>
      </c>
      <c r="X92" s="53">
        <f t="shared" si="51"/>
        <v>1</v>
      </c>
      <c r="Y92" s="53">
        <f t="shared" si="52"/>
        <v>0.99999999999999978</v>
      </c>
      <c r="Z92" s="53">
        <f t="shared" si="53"/>
        <v>0</v>
      </c>
      <c r="AA92" s="54"/>
      <c r="AB92" s="48">
        <v>2185.42</v>
      </c>
      <c r="AC92" s="54"/>
      <c r="AD92" s="54"/>
      <c r="AE92" s="55"/>
      <c r="AF92" s="55"/>
      <c r="AG92" s="55"/>
      <c r="AH92" s="54">
        <f>1804.63+1924.74+1805.27</f>
        <v>5534.6399999999994</v>
      </c>
      <c r="AI92" s="54"/>
      <c r="AJ92" s="54"/>
      <c r="AK92" s="54"/>
      <c r="AL92" s="54"/>
      <c r="AM92" s="54">
        <f>936.64+1569.23</f>
        <v>2505.87</v>
      </c>
      <c r="AN92" s="48">
        <v>789.04</v>
      </c>
      <c r="AO92" s="54"/>
      <c r="AP92" s="54"/>
      <c r="AQ92" s="54"/>
      <c r="AR92" s="54"/>
      <c r="AS92" s="48">
        <v>1527.39</v>
      </c>
      <c r="AT92" s="54"/>
      <c r="AU92" s="54"/>
      <c r="AV92" s="54">
        <f>1600.67</f>
        <v>1600.67</v>
      </c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>
        <f t="shared" si="68"/>
        <v>5633.93</v>
      </c>
      <c r="BO92" s="58">
        <f t="shared" si="69"/>
        <v>0</v>
      </c>
      <c r="BP92" s="54">
        <f t="shared" si="70"/>
        <v>5633.93</v>
      </c>
      <c r="BQ92" s="54">
        <f t="shared" si="58"/>
        <v>0</v>
      </c>
      <c r="BR92" s="54">
        <f t="shared" si="59"/>
        <v>0</v>
      </c>
      <c r="BS92" s="54">
        <f t="shared" si="60"/>
        <v>0</v>
      </c>
      <c r="BT92" s="54">
        <f t="shared" si="71"/>
        <v>1.8189894035458565E-12</v>
      </c>
      <c r="BU92" s="54">
        <f t="shared" si="72"/>
        <v>5633.93</v>
      </c>
      <c r="BV92" s="54">
        <f t="shared" si="73"/>
        <v>0</v>
      </c>
      <c r="BW92" s="54">
        <f t="shared" si="61"/>
        <v>5633.9300000000021</v>
      </c>
      <c r="BX92" s="1"/>
      <c r="BY92" s="1"/>
      <c r="BZ92" s="1"/>
      <c r="CA92" s="1"/>
      <c r="CB92" s="1"/>
      <c r="CC92" s="1"/>
      <c r="CD92" s="1"/>
      <c r="CE92" s="1"/>
      <c r="CF92" s="1"/>
      <c r="CG92" s="1"/>
    </row>
    <row r="93" spans="1:85" ht="15.75" customHeight="1">
      <c r="A93" s="81" t="s">
        <v>308</v>
      </c>
      <c r="B93" s="429"/>
      <c r="C93" s="394" t="s">
        <v>306</v>
      </c>
      <c r="D93" s="73" t="s">
        <v>309</v>
      </c>
      <c r="E93" s="104"/>
      <c r="F93" s="105"/>
      <c r="G93" s="46"/>
      <c r="H93" s="46"/>
      <c r="I93" s="47"/>
      <c r="J93" s="47"/>
      <c r="K93" s="48">
        <v>16788</v>
      </c>
      <c r="L93" s="54"/>
      <c r="M93" s="54"/>
      <c r="N93" s="54"/>
      <c r="O93" s="51">
        <f t="shared" si="62"/>
        <v>0</v>
      </c>
      <c r="P93" s="51">
        <f t="shared" si="63"/>
        <v>0</v>
      </c>
      <c r="Q93" s="51">
        <f t="shared" si="64"/>
        <v>0</v>
      </c>
      <c r="R93" s="52">
        <f t="shared" si="65"/>
        <v>0</v>
      </c>
      <c r="S93" s="52">
        <f t="shared" si="66"/>
        <v>0</v>
      </c>
      <c r="T93" s="52">
        <f t="shared" si="67"/>
        <v>0</v>
      </c>
      <c r="U93" s="368">
        <f t="shared" si="57"/>
        <v>16788</v>
      </c>
      <c r="V93" s="369">
        <f t="shared" si="28"/>
        <v>0</v>
      </c>
      <c r="W93" s="369">
        <f t="shared" si="29"/>
        <v>0</v>
      </c>
      <c r="X93" s="53">
        <f t="shared" si="51"/>
        <v>0</v>
      </c>
      <c r="Y93" s="53">
        <f t="shared" si="52"/>
        <v>0</v>
      </c>
      <c r="Z93" s="53">
        <f t="shared" si="53"/>
        <v>0</v>
      </c>
      <c r="AA93" s="54"/>
      <c r="AB93" s="54"/>
      <c r="AC93" s="54"/>
      <c r="AD93" s="54"/>
      <c r="AE93" s="55"/>
      <c r="AF93" s="55"/>
      <c r="AG93" s="55"/>
      <c r="AH93" s="55"/>
      <c r="AI93" s="54"/>
      <c r="AJ93" s="54"/>
      <c r="AK93" s="54"/>
      <c r="AL93" s="54"/>
      <c r="AM93" s="54"/>
      <c r="AN93" s="54"/>
      <c r="AO93" s="54"/>
      <c r="AP93" s="48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>
        <f t="shared" si="68"/>
        <v>0</v>
      </c>
      <c r="BO93" s="58">
        <f t="shared" si="69"/>
        <v>0</v>
      </c>
      <c r="BP93" s="54">
        <f t="shared" si="70"/>
        <v>0</v>
      </c>
      <c r="BQ93" s="54">
        <f t="shared" si="58"/>
        <v>16788</v>
      </c>
      <c r="BR93" s="54">
        <f t="shared" si="59"/>
        <v>0</v>
      </c>
      <c r="BS93" s="54">
        <f t="shared" si="60"/>
        <v>16788</v>
      </c>
      <c r="BT93" s="54">
        <f t="shared" si="71"/>
        <v>0</v>
      </c>
      <c r="BU93" s="54">
        <f t="shared" si="72"/>
        <v>0</v>
      </c>
      <c r="BV93" s="54">
        <f t="shared" si="73"/>
        <v>16788</v>
      </c>
      <c r="BW93" s="54">
        <f t="shared" si="61"/>
        <v>0</v>
      </c>
      <c r="BX93" s="1"/>
      <c r="BY93" s="1"/>
      <c r="BZ93" s="1"/>
      <c r="CA93" s="1"/>
      <c r="CB93" s="1"/>
      <c r="CC93" s="1"/>
      <c r="CD93" s="1"/>
      <c r="CE93" s="1"/>
      <c r="CF93" s="1"/>
      <c r="CG93" s="1"/>
    </row>
    <row r="94" spans="1:85" ht="15.75" customHeight="1">
      <c r="A94" s="106" t="s">
        <v>310</v>
      </c>
      <c r="B94" s="416" t="s">
        <v>311</v>
      </c>
      <c r="C94" s="398" t="s">
        <v>312</v>
      </c>
      <c r="D94" s="90" t="s">
        <v>313</v>
      </c>
      <c r="E94" s="91">
        <v>35000</v>
      </c>
      <c r="F94" s="92"/>
      <c r="G94" s="46">
        <f>E94-F94</f>
        <v>35000</v>
      </c>
      <c r="H94" s="46"/>
      <c r="I94" s="47">
        <f>IF(G94&gt;0,K94/G94,0)</f>
        <v>0.88465371428571427</v>
      </c>
      <c r="J94" s="47">
        <f>IF(G94&gt;0,O94/G94,0)</f>
        <v>0.41143999999999997</v>
      </c>
      <c r="K94" s="48">
        <f>35964-5001.12</f>
        <v>30962.880000000001</v>
      </c>
      <c r="L94" s="54">
        <v>5287.8</v>
      </c>
      <c r="M94" s="54"/>
      <c r="N94" s="54"/>
      <c r="O94" s="51">
        <f t="shared" si="62"/>
        <v>14400.4</v>
      </c>
      <c r="P94" s="51">
        <f t="shared" si="63"/>
        <v>5287.8</v>
      </c>
      <c r="Q94" s="51">
        <f t="shared" si="64"/>
        <v>0</v>
      </c>
      <c r="R94" s="52">
        <f t="shared" si="65"/>
        <v>14400.4</v>
      </c>
      <c r="S94" s="52">
        <f t="shared" si="66"/>
        <v>5287.8</v>
      </c>
      <c r="T94" s="52">
        <f t="shared" si="67"/>
        <v>0</v>
      </c>
      <c r="U94" s="368">
        <f t="shared" si="57"/>
        <v>16562.480000000003</v>
      </c>
      <c r="V94" s="369">
        <f t="shared" si="28"/>
        <v>0</v>
      </c>
      <c r="W94" s="369">
        <f t="shared" si="29"/>
        <v>0</v>
      </c>
      <c r="X94" s="53">
        <f t="shared" si="51"/>
        <v>0.46508593515848651</v>
      </c>
      <c r="Y94" s="53">
        <f t="shared" si="52"/>
        <v>1</v>
      </c>
      <c r="Z94" s="53">
        <f t="shared" si="53"/>
        <v>0</v>
      </c>
      <c r="AA94" s="54"/>
      <c r="AB94" s="54"/>
      <c r="AC94" s="54"/>
      <c r="AD94" s="54"/>
      <c r="AE94" s="55">
        <f>2643.9+2643.9</f>
        <v>5287.8</v>
      </c>
      <c r="AF94" s="55"/>
      <c r="AG94" s="55"/>
      <c r="AH94" s="55"/>
      <c r="AI94" s="54"/>
      <c r="AJ94" s="54"/>
      <c r="AK94" s="54"/>
      <c r="AL94" s="54"/>
      <c r="AM94" s="54">
        <f>3055.7-3055.7+2884.24</f>
        <v>2884.24</v>
      </c>
      <c r="AN94" s="54"/>
      <c r="AO94" s="54"/>
      <c r="AP94" s="48">
        <v>2996.34</v>
      </c>
      <c r="AQ94" s="54"/>
      <c r="AR94" s="54"/>
      <c r="AS94" s="54"/>
      <c r="AT94" s="54"/>
      <c r="AU94" s="54"/>
      <c r="AV94" s="54">
        <f>2974.04+2647</f>
        <v>5621.04</v>
      </c>
      <c r="AW94" s="54"/>
      <c r="AX94" s="54"/>
      <c r="AY94" s="54">
        <f>2898.78</f>
        <v>2898.78</v>
      </c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>
        <f t="shared" si="68"/>
        <v>14400.4</v>
      </c>
      <c r="BO94" s="58">
        <f t="shared" si="69"/>
        <v>0</v>
      </c>
      <c r="BP94" s="54">
        <f t="shared" si="70"/>
        <v>14400.4</v>
      </c>
      <c r="BQ94" s="54">
        <f t="shared" si="58"/>
        <v>16562.480000000003</v>
      </c>
      <c r="BR94" s="54">
        <f t="shared" si="59"/>
        <v>0</v>
      </c>
      <c r="BS94" s="54">
        <f t="shared" si="60"/>
        <v>16562.480000000003</v>
      </c>
      <c r="BT94" s="54">
        <f t="shared" si="71"/>
        <v>0</v>
      </c>
      <c r="BU94" s="54">
        <f t="shared" si="72"/>
        <v>14400.4</v>
      </c>
      <c r="BV94" s="54">
        <f t="shared" si="73"/>
        <v>16562.480000000003</v>
      </c>
      <c r="BW94" s="54">
        <f t="shared" si="61"/>
        <v>14400.4</v>
      </c>
      <c r="BX94" s="1"/>
      <c r="BY94" s="1"/>
      <c r="BZ94" s="1"/>
      <c r="CA94" s="1"/>
      <c r="CB94" s="1"/>
      <c r="CC94" s="1"/>
      <c r="CD94" s="1"/>
      <c r="CE94" s="1"/>
      <c r="CF94" s="1"/>
      <c r="CG94" s="1"/>
    </row>
    <row r="95" spans="1:85" ht="15.75" customHeight="1">
      <c r="A95" s="85" t="s">
        <v>314</v>
      </c>
      <c r="B95" s="426"/>
      <c r="C95" s="398" t="s">
        <v>315</v>
      </c>
      <c r="D95" s="90" t="s">
        <v>316</v>
      </c>
      <c r="E95" s="104"/>
      <c r="F95" s="105"/>
      <c r="G95" s="46">
        <f>E95-F95</f>
        <v>0</v>
      </c>
      <c r="H95" s="46"/>
      <c r="I95" s="47">
        <f>IF(G95&gt;0,K95/G95,0)</f>
        <v>0</v>
      </c>
      <c r="J95" s="47">
        <f>IF(G95&gt;0,O95/G95,0)</f>
        <v>0</v>
      </c>
      <c r="K95" s="48">
        <v>2643.9</v>
      </c>
      <c r="L95" s="54"/>
      <c r="M95" s="54"/>
      <c r="N95" s="54"/>
      <c r="O95" s="51">
        <f t="shared" si="62"/>
        <v>2643.9</v>
      </c>
      <c r="P95" s="51">
        <f t="shared" si="63"/>
        <v>0</v>
      </c>
      <c r="Q95" s="51">
        <f t="shared" si="64"/>
        <v>0</v>
      </c>
      <c r="R95" s="52">
        <f t="shared" si="65"/>
        <v>2643.9</v>
      </c>
      <c r="S95" s="52">
        <f t="shared" si="66"/>
        <v>0</v>
      </c>
      <c r="T95" s="52">
        <f t="shared" si="67"/>
        <v>0</v>
      </c>
      <c r="U95" s="369">
        <f t="shared" si="57"/>
        <v>0</v>
      </c>
      <c r="V95" s="369">
        <f t="shared" si="28"/>
        <v>0</v>
      </c>
      <c r="W95" s="369">
        <f t="shared" si="29"/>
        <v>0</v>
      </c>
      <c r="X95" s="53">
        <f t="shared" si="51"/>
        <v>1</v>
      </c>
      <c r="Y95" s="53">
        <f t="shared" si="52"/>
        <v>0</v>
      </c>
      <c r="Z95" s="53">
        <f t="shared" si="53"/>
        <v>0</v>
      </c>
      <c r="AA95" s="54"/>
      <c r="AB95" s="54"/>
      <c r="AC95" s="54"/>
      <c r="AD95" s="54"/>
      <c r="AE95" s="55"/>
      <c r="AF95" s="55"/>
      <c r="AG95" s="55"/>
      <c r="AH95" s="55"/>
      <c r="AI95" s="54"/>
      <c r="AJ95" s="48">
        <v>2643.9</v>
      </c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>
        <f t="shared" si="68"/>
        <v>2643.9</v>
      </c>
      <c r="BO95" s="58">
        <f t="shared" si="69"/>
        <v>0</v>
      </c>
      <c r="BP95" s="54">
        <f t="shared" si="70"/>
        <v>2643.9</v>
      </c>
      <c r="BQ95" s="54">
        <f t="shared" si="58"/>
        <v>0</v>
      </c>
      <c r="BR95" s="54">
        <f t="shared" si="59"/>
        <v>0</v>
      </c>
      <c r="BS95" s="54">
        <f t="shared" si="60"/>
        <v>0</v>
      </c>
      <c r="BT95" s="54">
        <f t="shared" si="71"/>
        <v>0</v>
      </c>
      <c r="BU95" s="54">
        <f t="shared" si="72"/>
        <v>2643.9</v>
      </c>
      <c r="BV95" s="54">
        <f t="shared" si="73"/>
        <v>0</v>
      </c>
      <c r="BW95" s="54">
        <f t="shared" si="61"/>
        <v>2643.9</v>
      </c>
      <c r="BX95" s="1"/>
      <c r="BY95" s="1"/>
      <c r="BZ95" s="1"/>
      <c r="CA95" s="1"/>
      <c r="CB95" s="1"/>
      <c r="CC95" s="1"/>
      <c r="CD95" s="1"/>
      <c r="CE95" s="1"/>
      <c r="CF95" s="1"/>
      <c r="CG95" s="1"/>
    </row>
    <row r="96" spans="1:85" ht="15.75" customHeight="1">
      <c r="A96" s="56"/>
      <c r="B96" s="426"/>
      <c r="C96" s="394" t="s">
        <v>317</v>
      </c>
      <c r="D96" s="44" t="s">
        <v>318</v>
      </c>
      <c r="E96" s="45">
        <v>6000</v>
      </c>
      <c r="F96" s="46"/>
      <c r="G96" s="46">
        <f>E96-F96</f>
        <v>6000</v>
      </c>
      <c r="H96" s="46"/>
      <c r="I96" s="47">
        <f>IF(G96&gt;0,K96/G96,0)</f>
        <v>0</v>
      </c>
      <c r="J96" s="47">
        <f>IF(G96&gt;0,O96/G96,0)</f>
        <v>0</v>
      </c>
      <c r="K96" s="54"/>
      <c r="L96" s="54"/>
      <c r="M96" s="54"/>
      <c r="N96" s="54"/>
      <c r="O96" s="51">
        <f t="shared" si="62"/>
        <v>0</v>
      </c>
      <c r="P96" s="51">
        <f t="shared" si="63"/>
        <v>0</v>
      </c>
      <c r="Q96" s="51">
        <f t="shared" si="64"/>
        <v>0</v>
      </c>
      <c r="R96" s="52">
        <f t="shared" si="65"/>
        <v>0</v>
      </c>
      <c r="S96" s="52">
        <f t="shared" si="66"/>
        <v>0</v>
      </c>
      <c r="T96" s="52">
        <f t="shared" si="67"/>
        <v>0</v>
      </c>
      <c r="U96" s="369">
        <f t="shared" si="57"/>
        <v>0</v>
      </c>
      <c r="V96" s="369">
        <f t="shared" si="28"/>
        <v>0</v>
      </c>
      <c r="W96" s="369">
        <f t="shared" si="29"/>
        <v>0</v>
      </c>
      <c r="X96" s="53">
        <f t="shared" si="51"/>
        <v>0</v>
      </c>
      <c r="Y96" s="53">
        <f t="shared" si="52"/>
        <v>0</v>
      </c>
      <c r="Z96" s="53">
        <f t="shared" si="53"/>
        <v>0</v>
      </c>
      <c r="AA96" s="54"/>
      <c r="AB96" s="54"/>
      <c r="AC96" s="54"/>
      <c r="AD96" s="54"/>
      <c r="AE96" s="55"/>
      <c r="AF96" s="55"/>
      <c r="AG96" s="55"/>
      <c r="AH96" s="55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>
        <f t="shared" si="68"/>
        <v>0</v>
      </c>
      <c r="BO96" s="58">
        <f t="shared" si="69"/>
        <v>0</v>
      </c>
      <c r="BP96" s="54">
        <f t="shared" si="70"/>
        <v>0</v>
      </c>
      <c r="BQ96" s="54">
        <f t="shared" si="58"/>
        <v>0</v>
      </c>
      <c r="BR96" s="54">
        <f t="shared" si="59"/>
        <v>0</v>
      </c>
      <c r="BS96" s="54">
        <f t="shared" si="60"/>
        <v>0</v>
      </c>
      <c r="BT96" s="54">
        <f t="shared" si="71"/>
        <v>0</v>
      </c>
      <c r="BU96" s="54">
        <f t="shared" si="72"/>
        <v>0</v>
      </c>
      <c r="BV96" s="54">
        <f t="shared" si="73"/>
        <v>0</v>
      </c>
      <c r="BW96" s="54">
        <f t="shared" si="61"/>
        <v>0</v>
      </c>
      <c r="BX96" s="1"/>
      <c r="BY96" s="1"/>
      <c r="BZ96" s="1"/>
      <c r="CA96" s="1"/>
      <c r="CB96" s="1"/>
      <c r="CC96" s="1"/>
      <c r="CD96" s="1"/>
      <c r="CE96" s="1"/>
      <c r="CF96" s="1"/>
      <c r="CG96" s="1"/>
    </row>
    <row r="97" spans="1:85" ht="15.75" customHeight="1">
      <c r="A97" s="83"/>
      <c r="B97" s="429" t="s">
        <v>319</v>
      </c>
      <c r="C97" s="394" t="s">
        <v>320</v>
      </c>
      <c r="D97" s="73" t="s">
        <v>321</v>
      </c>
      <c r="E97" s="45">
        <v>5000</v>
      </c>
      <c r="F97" s="46"/>
      <c r="G97" s="46">
        <f>E97-F97</f>
        <v>5000</v>
      </c>
      <c r="H97" s="46"/>
      <c r="I97" s="47">
        <f>IF(G97&gt;0,K97/G97,0)</f>
        <v>0</v>
      </c>
      <c r="J97" s="47">
        <f>IF(G97&gt;0,O97/G97,0)</f>
        <v>0</v>
      </c>
      <c r="K97" s="54"/>
      <c r="L97" s="54">
        <v>2113.5700000000002</v>
      </c>
      <c r="M97" s="54"/>
      <c r="N97" s="54"/>
      <c r="O97" s="51">
        <f t="shared" si="62"/>
        <v>0</v>
      </c>
      <c r="P97" s="51">
        <f t="shared" si="63"/>
        <v>1868.5399999999997</v>
      </c>
      <c r="Q97" s="51">
        <f t="shared" si="64"/>
        <v>0</v>
      </c>
      <c r="R97" s="52">
        <f t="shared" si="65"/>
        <v>0</v>
      </c>
      <c r="S97" s="52">
        <f t="shared" si="66"/>
        <v>1868.5399999999997</v>
      </c>
      <c r="T97" s="52">
        <f t="shared" si="67"/>
        <v>0</v>
      </c>
      <c r="U97" s="369">
        <f t="shared" si="57"/>
        <v>0</v>
      </c>
      <c r="V97" s="369">
        <f t="shared" si="28"/>
        <v>245.03000000000043</v>
      </c>
      <c r="W97" s="369">
        <f t="shared" si="29"/>
        <v>0</v>
      </c>
      <c r="X97" s="53">
        <f t="shared" si="51"/>
        <v>0</v>
      </c>
      <c r="Y97" s="53">
        <f t="shared" si="52"/>
        <v>0.88406818794740638</v>
      </c>
      <c r="Z97" s="53">
        <f t="shared" si="53"/>
        <v>0</v>
      </c>
      <c r="AA97" s="54"/>
      <c r="AB97" s="48">
        <v>497.8</v>
      </c>
      <c r="AC97" s="54"/>
      <c r="AD97" s="54"/>
      <c r="AE97" s="76">
        <v>95.24</v>
      </c>
      <c r="AF97" s="55"/>
      <c r="AG97" s="55"/>
      <c r="AH97" s="48">
        <v>126.5</v>
      </c>
      <c r="AI97" s="48"/>
      <c r="AJ97" s="54"/>
      <c r="AK97" s="48">
        <v>169.79</v>
      </c>
      <c r="AL97" s="54"/>
      <c r="AM97" s="54"/>
      <c r="AN97" s="48">
        <v>129.54</v>
      </c>
      <c r="AO97" s="54"/>
      <c r="AP97" s="54"/>
      <c r="AQ97" s="48">
        <v>419.87</v>
      </c>
      <c r="AR97" s="54"/>
      <c r="AS97" s="54"/>
      <c r="AT97" s="48">
        <v>63.76</v>
      </c>
      <c r="AU97" s="54"/>
      <c r="AV97" s="54"/>
      <c r="AW97" s="48">
        <v>211.75</v>
      </c>
      <c r="AX97" s="54"/>
      <c r="AY97" s="54"/>
      <c r="AZ97" s="54">
        <f>154.29</f>
        <v>154.29</v>
      </c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>
        <f t="shared" si="68"/>
        <v>0</v>
      </c>
      <c r="BO97" s="58">
        <f t="shared" si="69"/>
        <v>0</v>
      </c>
      <c r="BP97" s="54">
        <f t="shared" si="70"/>
        <v>0</v>
      </c>
      <c r="BQ97" s="54">
        <f t="shared" si="58"/>
        <v>0</v>
      </c>
      <c r="BR97" s="54">
        <f t="shared" si="59"/>
        <v>0</v>
      </c>
      <c r="BS97" s="54">
        <f t="shared" si="60"/>
        <v>0</v>
      </c>
      <c r="BT97" s="54">
        <f t="shared" si="71"/>
        <v>245.03000000000043</v>
      </c>
      <c r="BU97" s="54">
        <f t="shared" si="72"/>
        <v>0</v>
      </c>
      <c r="BV97" s="54">
        <f t="shared" si="73"/>
        <v>0</v>
      </c>
      <c r="BW97" s="54">
        <f t="shared" si="61"/>
        <v>245.03000000000043</v>
      </c>
      <c r="BX97" s="1"/>
      <c r="BY97" s="1"/>
      <c r="BZ97" s="1"/>
      <c r="CA97" s="1"/>
      <c r="CB97" s="1"/>
      <c r="CC97" s="1"/>
      <c r="CD97" s="1"/>
      <c r="CE97" s="1"/>
      <c r="CF97" s="1"/>
      <c r="CG97" s="1"/>
    </row>
    <row r="98" spans="1:85" ht="15.75" customHeight="1">
      <c r="A98" s="81" t="s">
        <v>322</v>
      </c>
      <c r="B98" s="430"/>
      <c r="C98" s="394" t="s">
        <v>323</v>
      </c>
      <c r="D98" s="73" t="s">
        <v>324</v>
      </c>
      <c r="E98" s="45"/>
      <c r="F98" s="46"/>
      <c r="G98" s="46"/>
      <c r="H98" s="46"/>
      <c r="I98" s="47"/>
      <c r="J98" s="47"/>
      <c r="K98" s="48">
        <v>73.08</v>
      </c>
      <c r="L98" s="54"/>
      <c r="M98" s="48"/>
      <c r="N98" s="54"/>
      <c r="O98" s="51">
        <f t="shared" si="62"/>
        <v>73.08</v>
      </c>
      <c r="P98" s="51">
        <f t="shared" si="63"/>
        <v>0</v>
      </c>
      <c r="Q98" s="51">
        <f t="shared" si="64"/>
        <v>0</v>
      </c>
      <c r="R98" s="52">
        <f t="shared" si="65"/>
        <v>73.08</v>
      </c>
      <c r="S98" s="52">
        <f t="shared" si="66"/>
        <v>0</v>
      </c>
      <c r="T98" s="52">
        <f t="shared" si="67"/>
        <v>0</v>
      </c>
      <c r="U98" s="369">
        <f t="shared" si="57"/>
        <v>0</v>
      </c>
      <c r="V98" s="369">
        <f t="shared" si="28"/>
        <v>0</v>
      </c>
      <c r="W98" s="369">
        <f t="shared" si="29"/>
        <v>0</v>
      </c>
      <c r="X98" s="53">
        <f t="shared" si="51"/>
        <v>1</v>
      </c>
      <c r="Y98" s="53">
        <f t="shared" si="52"/>
        <v>0</v>
      </c>
      <c r="Z98" s="53">
        <f t="shared" si="53"/>
        <v>0</v>
      </c>
      <c r="AA98" s="54"/>
      <c r="AB98" s="48"/>
      <c r="AC98" s="54"/>
      <c r="AD98" s="48"/>
      <c r="AE98" s="76"/>
      <c r="AF98" s="55"/>
      <c r="AG98" s="107"/>
      <c r="AH98" s="76"/>
      <c r="AI98" s="54"/>
      <c r="AJ98" s="48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48"/>
      <c r="AW98" s="54"/>
      <c r="AX98" s="54"/>
      <c r="AY98" s="48">
        <v>73.08</v>
      </c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>
        <f t="shared" si="68"/>
        <v>73.08</v>
      </c>
      <c r="BO98" s="58">
        <f t="shared" si="69"/>
        <v>0</v>
      </c>
      <c r="BP98" s="54">
        <f t="shared" si="70"/>
        <v>73.08</v>
      </c>
      <c r="BQ98" s="54">
        <f t="shared" si="58"/>
        <v>0</v>
      </c>
      <c r="BR98" s="54">
        <f t="shared" si="59"/>
        <v>0</v>
      </c>
      <c r="BS98" s="54">
        <f t="shared" si="60"/>
        <v>0</v>
      </c>
      <c r="BT98" s="54">
        <f t="shared" si="71"/>
        <v>0</v>
      </c>
      <c r="BU98" s="54">
        <f t="shared" si="72"/>
        <v>73.08</v>
      </c>
      <c r="BV98" s="54">
        <f t="shared" si="73"/>
        <v>0</v>
      </c>
      <c r="BW98" s="54">
        <f t="shared" si="61"/>
        <v>73.08</v>
      </c>
      <c r="BX98" s="1"/>
      <c r="BY98" s="1"/>
      <c r="BZ98" s="1"/>
      <c r="CA98" s="1"/>
      <c r="CB98" s="1"/>
      <c r="CC98" s="1"/>
      <c r="CD98" s="1"/>
      <c r="CE98" s="1"/>
      <c r="CF98" s="1"/>
      <c r="CG98" s="1"/>
    </row>
    <row r="99" spans="1:85" ht="15.75" customHeight="1">
      <c r="A99" s="81" t="s">
        <v>325</v>
      </c>
      <c r="B99" s="430" t="s">
        <v>326</v>
      </c>
      <c r="C99" s="394" t="s">
        <v>327</v>
      </c>
      <c r="D99" s="44" t="s">
        <v>328</v>
      </c>
      <c r="E99" s="45">
        <v>3000</v>
      </c>
      <c r="F99" s="46"/>
      <c r="G99" s="46">
        <f>E99-F99</f>
        <v>3000</v>
      </c>
      <c r="H99" s="46"/>
      <c r="I99" s="47">
        <f>IF(G99&gt;0,K99/G99,0)</f>
        <v>0.83333333333333337</v>
      </c>
      <c r="J99" s="47">
        <f>IF(G99&gt;0,O99/G99,0)</f>
        <v>0.59076333333333331</v>
      </c>
      <c r="K99" s="48">
        <v>2500</v>
      </c>
      <c r="L99" s="54">
        <v>432.87</v>
      </c>
      <c r="M99" s="48"/>
      <c r="N99" s="54"/>
      <c r="O99" s="51">
        <f t="shared" si="62"/>
        <v>1772.29</v>
      </c>
      <c r="P99" s="51">
        <f t="shared" si="63"/>
        <v>432.87</v>
      </c>
      <c r="Q99" s="51">
        <f t="shared" si="64"/>
        <v>0</v>
      </c>
      <c r="R99" s="52">
        <f t="shared" si="65"/>
        <v>1772.29</v>
      </c>
      <c r="S99" s="52">
        <f t="shared" si="66"/>
        <v>432.87</v>
      </c>
      <c r="T99" s="52">
        <f t="shared" si="67"/>
        <v>0</v>
      </c>
      <c r="U99" s="368">
        <f t="shared" si="57"/>
        <v>727.71</v>
      </c>
      <c r="V99" s="369">
        <f t="shared" si="28"/>
        <v>0</v>
      </c>
      <c r="W99" s="369">
        <f t="shared" si="29"/>
        <v>0</v>
      </c>
      <c r="X99" s="53">
        <f t="shared" si="51"/>
        <v>0.70891599999999999</v>
      </c>
      <c r="Y99" s="53">
        <f t="shared" si="52"/>
        <v>1</v>
      </c>
      <c r="Z99" s="53">
        <f t="shared" si="53"/>
        <v>0</v>
      </c>
      <c r="AA99" s="54"/>
      <c r="AB99" s="48">
        <v>255.71</v>
      </c>
      <c r="AC99" s="54"/>
      <c r="AD99" s="48">
        <v>135.97999999999999</v>
      </c>
      <c r="AE99" s="76">
        <f>155.55+21.61</f>
        <v>177.16000000000003</v>
      </c>
      <c r="AF99" s="55"/>
      <c r="AG99" s="107">
        <f>-135.98+135.95+710.1</f>
        <v>710.07</v>
      </c>
      <c r="AH99" s="76"/>
      <c r="AI99" s="54"/>
      <c r="AJ99" s="48">
        <v>228.6</v>
      </c>
      <c r="AK99" s="54"/>
      <c r="AL99" s="54"/>
      <c r="AM99" s="54"/>
      <c r="AN99" s="54"/>
      <c r="AO99" s="54"/>
      <c r="AP99" s="54">
        <f>198.08+130.44</f>
        <v>328.52</v>
      </c>
      <c r="AQ99" s="54"/>
      <c r="AR99" s="54"/>
      <c r="AS99" s="54"/>
      <c r="AT99" s="54"/>
      <c r="AU99" s="54"/>
      <c r="AV99" s="48">
        <v>125.84</v>
      </c>
      <c r="AW99" s="54"/>
      <c r="AX99" s="54"/>
      <c r="AY99" s="54">
        <f>243.28</f>
        <v>243.28</v>
      </c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>
        <f t="shared" si="68"/>
        <v>1772.29</v>
      </c>
      <c r="BO99" s="58">
        <f t="shared" si="69"/>
        <v>0</v>
      </c>
      <c r="BP99" s="54">
        <f t="shared" si="70"/>
        <v>1772.29</v>
      </c>
      <c r="BQ99" s="54">
        <f t="shared" si="58"/>
        <v>727.71</v>
      </c>
      <c r="BR99" s="54">
        <f t="shared" si="59"/>
        <v>0</v>
      </c>
      <c r="BS99" s="54">
        <f t="shared" si="60"/>
        <v>727.71</v>
      </c>
      <c r="BT99" s="54">
        <f t="shared" si="71"/>
        <v>0</v>
      </c>
      <c r="BU99" s="54">
        <f t="shared" si="72"/>
        <v>1772.29</v>
      </c>
      <c r="BV99" s="54">
        <f t="shared" si="73"/>
        <v>727.71</v>
      </c>
      <c r="BW99" s="54">
        <f t="shared" si="61"/>
        <v>1772.29</v>
      </c>
      <c r="BX99" s="1"/>
      <c r="BY99" s="1"/>
      <c r="BZ99" s="1"/>
      <c r="CA99" s="1"/>
      <c r="CB99" s="1"/>
      <c r="CC99" s="1"/>
      <c r="CD99" s="1"/>
      <c r="CE99" s="1"/>
      <c r="CF99" s="1"/>
      <c r="CG99" s="1"/>
    </row>
    <row r="100" spans="1:85" ht="15.75" customHeight="1">
      <c r="A100" s="43" t="s">
        <v>329</v>
      </c>
      <c r="B100" s="432"/>
      <c r="C100" s="394" t="s">
        <v>330</v>
      </c>
      <c r="D100" s="73" t="s">
        <v>331</v>
      </c>
      <c r="E100" s="45"/>
      <c r="F100" s="46"/>
      <c r="G100" s="46"/>
      <c r="H100" s="46"/>
      <c r="I100" s="47"/>
      <c r="J100" s="47"/>
      <c r="K100" s="48">
        <v>232933.99</v>
      </c>
      <c r="L100" s="54"/>
      <c r="M100" s="54"/>
      <c r="N100" s="49"/>
      <c r="O100" s="51">
        <f t="shared" si="62"/>
        <v>189313.25</v>
      </c>
      <c r="P100" s="51">
        <f t="shared" si="63"/>
        <v>0</v>
      </c>
      <c r="Q100" s="51">
        <f t="shared" si="64"/>
        <v>0</v>
      </c>
      <c r="R100" s="52">
        <f t="shared" si="65"/>
        <v>189313.25</v>
      </c>
      <c r="S100" s="52">
        <f t="shared" si="66"/>
        <v>0</v>
      </c>
      <c r="T100" s="52">
        <f t="shared" si="67"/>
        <v>0</v>
      </c>
      <c r="U100" s="368">
        <f t="shared" si="57"/>
        <v>43620.739999999991</v>
      </c>
      <c r="V100" s="369">
        <f t="shared" si="28"/>
        <v>0</v>
      </c>
      <c r="W100" s="369">
        <f t="shared" si="29"/>
        <v>0</v>
      </c>
      <c r="X100" s="53">
        <f t="shared" si="51"/>
        <v>0.81273347011314234</v>
      </c>
      <c r="Y100" s="53">
        <f t="shared" si="52"/>
        <v>0</v>
      </c>
      <c r="Z100" s="53">
        <f t="shared" si="53"/>
        <v>0</v>
      </c>
      <c r="AA100" s="54"/>
      <c r="AB100" s="54"/>
      <c r="AC100" s="54"/>
      <c r="AD100" s="54"/>
      <c r="AE100" s="55"/>
      <c r="AF100" s="55"/>
      <c r="AG100" s="55"/>
      <c r="AH100" s="55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48">
        <v>189313.25</v>
      </c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>
        <f t="shared" si="68"/>
        <v>189313.25</v>
      </c>
      <c r="BO100" s="58">
        <f t="shared" si="69"/>
        <v>0</v>
      </c>
      <c r="BP100" s="54">
        <f t="shared" si="70"/>
        <v>189313.25</v>
      </c>
      <c r="BQ100" s="54">
        <f t="shared" si="58"/>
        <v>43620.739999999991</v>
      </c>
      <c r="BR100" s="54">
        <f t="shared" si="59"/>
        <v>0</v>
      </c>
      <c r="BS100" s="54">
        <f t="shared" si="60"/>
        <v>43620.739999999991</v>
      </c>
      <c r="BT100" s="54">
        <f t="shared" si="71"/>
        <v>0</v>
      </c>
      <c r="BU100" s="54">
        <f t="shared" si="72"/>
        <v>189313.25</v>
      </c>
      <c r="BV100" s="54">
        <f t="shared" si="73"/>
        <v>43620.739999999991</v>
      </c>
      <c r="BW100" s="54">
        <f t="shared" si="61"/>
        <v>189313.25</v>
      </c>
      <c r="BX100" s="1"/>
      <c r="BY100" s="1"/>
      <c r="BZ100" s="1"/>
      <c r="CA100" s="1"/>
      <c r="CB100" s="1"/>
      <c r="CC100" s="1"/>
      <c r="CD100" s="1"/>
      <c r="CE100" s="1"/>
      <c r="CF100" s="1"/>
      <c r="CG100" s="1"/>
    </row>
    <row r="101" spans="1:85" ht="15.75" customHeight="1">
      <c r="A101" s="56"/>
      <c r="B101" s="426"/>
      <c r="C101" s="394" t="s">
        <v>330</v>
      </c>
      <c r="D101" s="44" t="s">
        <v>332</v>
      </c>
      <c r="E101" s="45"/>
      <c r="F101" s="46"/>
      <c r="G101" s="46">
        <f t="shared" ref="G101:G115" si="77">E101-F101</f>
        <v>0</v>
      </c>
      <c r="H101" s="46">
        <v>250000</v>
      </c>
      <c r="I101" s="47">
        <f t="shared" ref="I101:I115" si="78">IF(G101&gt;0,K101/G101,0)</f>
        <v>0</v>
      </c>
      <c r="J101" s="47">
        <f t="shared" ref="J101:J115" si="79">IF(G101&gt;0,O101/G101,0)</f>
        <v>0</v>
      </c>
      <c r="K101" s="54"/>
      <c r="L101" s="54"/>
      <c r="M101" s="54"/>
      <c r="N101" s="49"/>
      <c r="O101" s="51">
        <f t="shared" si="62"/>
        <v>0</v>
      </c>
      <c r="P101" s="51">
        <f t="shared" si="63"/>
        <v>0</v>
      </c>
      <c r="Q101" s="51">
        <f t="shared" si="64"/>
        <v>0</v>
      </c>
      <c r="R101" s="52">
        <f t="shared" si="65"/>
        <v>0</v>
      </c>
      <c r="S101" s="52">
        <f t="shared" si="66"/>
        <v>0</v>
      </c>
      <c r="T101" s="52">
        <f t="shared" si="67"/>
        <v>0</v>
      </c>
      <c r="U101" s="369">
        <f t="shared" si="57"/>
        <v>0</v>
      </c>
      <c r="V101" s="369">
        <f t="shared" si="28"/>
        <v>0</v>
      </c>
      <c r="W101" s="369">
        <f t="shared" si="29"/>
        <v>0</v>
      </c>
      <c r="X101" s="53">
        <f t="shared" si="51"/>
        <v>0</v>
      </c>
      <c r="Y101" s="53">
        <f t="shared" si="52"/>
        <v>0</v>
      </c>
      <c r="Z101" s="53">
        <f t="shared" si="53"/>
        <v>0</v>
      </c>
      <c r="AA101" s="54"/>
      <c r="AB101" s="54"/>
      <c r="AC101" s="54"/>
      <c r="AD101" s="54"/>
      <c r="AE101" s="55"/>
      <c r="AF101" s="55"/>
      <c r="AG101" s="55"/>
      <c r="AH101" s="55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>
        <f t="shared" si="68"/>
        <v>0</v>
      </c>
      <c r="BO101" s="58">
        <f t="shared" si="69"/>
        <v>0</v>
      </c>
      <c r="BP101" s="54">
        <f t="shared" si="70"/>
        <v>0</v>
      </c>
      <c r="BQ101" s="54">
        <f t="shared" si="58"/>
        <v>0</v>
      </c>
      <c r="BR101" s="54">
        <f t="shared" si="59"/>
        <v>0</v>
      </c>
      <c r="BS101" s="54">
        <f t="shared" si="60"/>
        <v>0</v>
      </c>
      <c r="BT101" s="54">
        <f t="shared" si="71"/>
        <v>0</v>
      </c>
      <c r="BU101" s="54">
        <f t="shared" si="72"/>
        <v>0</v>
      </c>
      <c r="BV101" s="54">
        <f t="shared" si="73"/>
        <v>0</v>
      </c>
      <c r="BW101" s="54">
        <f t="shared" si="61"/>
        <v>0</v>
      </c>
      <c r="BX101" s="1"/>
      <c r="BY101" s="1"/>
      <c r="BZ101" s="1"/>
      <c r="CA101" s="1"/>
      <c r="CB101" s="1"/>
      <c r="CC101" s="1"/>
      <c r="CD101" s="1"/>
      <c r="CE101" s="1"/>
      <c r="CF101" s="1"/>
      <c r="CG101" s="1"/>
    </row>
    <row r="102" spans="1:85" ht="15.75" customHeight="1">
      <c r="A102" s="56"/>
      <c r="B102" s="426"/>
      <c r="C102" s="394" t="s">
        <v>330</v>
      </c>
      <c r="D102" s="44" t="s">
        <v>332</v>
      </c>
      <c r="E102" s="45"/>
      <c r="F102" s="46"/>
      <c r="G102" s="46">
        <f t="shared" si="77"/>
        <v>0</v>
      </c>
      <c r="H102" s="46">
        <v>300000</v>
      </c>
      <c r="I102" s="47">
        <f t="shared" si="78"/>
        <v>0</v>
      </c>
      <c r="J102" s="47">
        <f t="shared" si="79"/>
        <v>0</v>
      </c>
      <c r="K102" s="54"/>
      <c r="L102" s="54"/>
      <c r="M102" s="54"/>
      <c r="N102" s="49"/>
      <c r="O102" s="51">
        <f t="shared" si="62"/>
        <v>0</v>
      </c>
      <c r="P102" s="51">
        <f t="shared" si="63"/>
        <v>0</v>
      </c>
      <c r="Q102" s="51">
        <f t="shared" si="64"/>
        <v>0</v>
      </c>
      <c r="R102" s="52">
        <f t="shared" si="65"/>
        <v>0</v>
      </c>
      <c r="S102" s="52">
        <f t="shared" si="66"/>
        <v>0</v>
      </c>
      <c r="T102" s="52">
        <f t="shared" si="67"/>
        <v>0</v>
      </c>
      <c r="U102" s="369">
        <f t="shared" si="57"/>
        <v>0</v>
      </c>
      <c r="V102" s="369">
        <f t="shared" si="28"/>
        <v>0</v>
      </c>
      <c r="W102" s="369">
        <f t="shared" si="29"/>
        <v>0</v>
      </c>
      <c r="X102" s="53">
        <f t="shared" si="51"/>
        <v>0</v>
      </c>
      <c r="Y102" s="53">
        <f t="shared" si="52"/>
        <v>0</v>
      </c>
      <c r="Z102" s="53">
        <f t="shared" si="53"/>
        <v>0</v>
      </c>
      <c r="AA102" s="54"/>
      <c r="AB102" s="54"/>
      <c r="AC102" s="54"/>
      <c r="AD102" s="54"/>
      <c r="AE102" s="55"/>
      <c r="AF102" s="55"/>
      <c r="AG102" s="55"/>
      <c r="AH102" s="55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>
        <f t="shared" si="68"/>
        <v>0</v>
      </c>
      <c r="BO102" s="58">
        <f t="shared" si="69"/>
        <v>0</v>
      </c>
      <c r="BP102" s="54">
        <f t="shared" si="70"/>
        <v>0</v>
      </c>
      <c r="BQ102" s="54">
        <f t="shared" si="58"/>
        <v>0</v>
      </c>
      <c r="BR102" s="54">
        <f t="shared" si="59"/>
        <v>0</v>
      </c>
      <c r="BS102" s="54">
        <f t="shared" si="60"/>
        <v>0</v>
      </c>
      <c r="BT102" s="54">
        <f t="shared" si="71"/>
        <v>0</v>
      </c>
      <c r="BU102" s="54">
        <f t="shared" si="72"/>
        <v>0</v>
      </c>
      <c r="BV102" s="54">
        <f t="shared" si="73"/>
        <v>0</v>
      </c>
      <c r="BW102" s="54">
        <f t="shared" si="61"/>
        <v>0</v>
      </c>
      <c r="BX102" s="1"/>
      <c r="BY102" s="1"/>
      <c r="BZ102" s="1"/>
      <c r="CA102" s="1"/>
      <c r="CB102" s="1"/>
      <c r="CC102" s="1"/>
      <c r="CD102" s="1"/>
      <c r="CE102" s="1"/>
      <c r="CF102" s="1"/>
      <c r="CG102" s="1"/>
    </row>
    <row r="103" spans="1:85" ht="15.75" customHeight="1">
      <c r="A103" s="56"/>
      <c r="B103" s="426"/>
      <c r="C103" s="394" t="s">
        <v>330</v>
      </c>
      <c r="D103" s="44" t="s">
        <v>333</v>
      </c>
      <c r="E103" s="45"/>
      <c r="F103" s="46"/>
      <c r="G103" s="46">
        <f t="shared" si="77"/>
        <v>0</v>
      </c>
      <c r="H103" s="46">
        <v>250000</v>
      </c>
      <c r="I103" s="47">
        <f t="shared" si="78"/>
        <v>0</v>
      </c>
      <c r="J103" s="47">
        <f t="shared" si="79"/>
        <v>0</v>
      </c>
      <c r="K103" s="54"/>
      <c r="L103" s="54"/>
      <c r="M103" s="54"/>
      <c r="N103" s="49"/>
      <c r="O103" s="51">
        <f t="shared" si="62"/>
        <v>0</v>
      </c>
      <c r="P103" s="51">
        <f t="shared" si="63"/>
        <v>0</v>
      </c>
      <c r="Q103" s="51">
        <f t="shared" si="64"/>
        <v>0</v>
      </c>
      <c r="R103" s="52">
        <f t="shared" si="65"/>
        <v>0</v>
      </c>
      <c r="S103" s="52">
        <f t="shared" si="66"/>
        <v>0</v>
      </c>
      <c r="T103" s="52">
        <f t="shared" si="67"/>
        <v>0</v>
      </c>
      <c r="U103" s="369">
        <f t="shared" si="57"/>
        <v>0</v>
      </c>
      <c r="V103" s="369">
        <f t="shared" si="28"/>
        <v>0</v>
      </c>
      <c r="W103" s="369">
        <f t="shared" si="29"/>
        <v>0</v>
      </c>
      <c r="X103" s="53">
        <f t="shared" si="51"/>
        <v>0</v>
      </c>
      <c r="Y103" s="53">
        <f t="shared" si="52"/>
        <v>0</v>
      </c>
      <c r="Z103" s="53">
        <f t="shared" si="53"/>
        <v>0</v>
      </c>
      <c r="AA103" s="54"/>
      <c r="AB103" s="54"/>
      <c r="AC103" s="54"/>
      <c r="AD103" s="54"/>
      <c r="AE103" s="55"/>
      <c r="AF103" s="55"/>
      <c r="AG103" s="55"/>
      <c r="AH103" s="55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>
        <f t="shared" si="68"/>
        <v>0</v>
      </c>
      <c r="BO103" s="58">
        <f t="shared" si="69"/>
        <v>0</v>
      </c>
      <c r="BP103" s="54">
        <f t="shared" si="70"/>
        <v>0</v>
      </c>
      <c r="BQ103" s="54">
        <f t="shared" si="58"/>
        <v>0</v>
      </c>
      <c r="BR103" s="54">
        <f t="shared" si="59"/>
        <v>0</v>
      </c>
      <c r="BS103" s="54">
        <f t="shared" si="60"/>
        <v>0</v>
      </c>
      <c r="BT103" s="54">
        <f t="shared" si="71"/>
        <v>0</v>
      </c>
      <c r="BU103" s="54">
        <f t="shared" si="72"/>
        <v>0</v>
      </c>
      <c r="BV103" s="54">
        <f t="shared" si="73"/>
        <v>0</v>
      </c>
      <c r="BW103" s="54">
        <f t="shared" si="61"/>
        <v>0</v>
      </c>
      <c r="BX103" s="1"/>
      <c r="BY103" s="1"/>
      <c r="BZ103" s="1"/>
      <c r="CA103" s="1"/>
      <c r="CB103" s="1"/>
      <c r="CC103" s="1"/>
      <c r="CD103" s="1"/>
      <c r="CE103" s="1"/>
      <c r="CF103" s="1"/>
      <c r="CG103" s="1"/>
    </row>
    <row r="104" spans="1:85" ht="15.75" customHeight="1">
      <c r="A104" s="56"/>
      <c r="B104" s="426"/>
      <c r="C104" s="394" t="s">
        <v>330</v>
      </c>
      <c r="D104" s="44" t="s">
        <v>334</v>
      </c>
      <c r="E104" s="45"/>
      <c r="F104" s="46"/>
      <c r="G104" s="46">
        <f t="shared" si="77"/>
        <v>0</v>
      </c>
      <c r="H104" s="46">
        <v>2000000</v>
      </c>
      <c r="I104" s="47">
        <f t="shared" si="78"/>
        <v>0</v>
      </c>
      <c r="J104" s="47">
        <f t="shared" si="79"/>
        <v>0</v>
      </c>
      <c r="K104" s="54"/>
      <c r="L104" s="54"/>
      <c r="M104" s="54"/>
      <c r="N104" s="49"/>
      <c r="O104" s="51">
        <f t="shared" si="62"/>
        <v>0</v>
      </c>
      <c r="P104" s="51">
        <f t="shared" si="63"/>
        <v>0</v>
      </c>
      <c r="Q104" s="51">
        <f t="shared" si="64"/>
        <v>0</v>
      </c>
      <c r="R104" s="52">
        <f t="shared" si="65"/>
        <v>0</v>
      </c>
      <c r="S104" s="52">
        <f t="shared" si="66"/>
        <v>0</v>
      </c>
      <c r="T104" s="52">
        <f t="shared" si="67"/>
        <v>0</v>
      </c>
      <c r="U104" s="369">
        <f t="shared" si="57"/>
        <v>0</v>
      </c>
      <c r="V104" s="369">
        <f t="shared" si="28"/>
        <v>0</v>
      </c>
      <c r="W104" s="369">
        <f t="shared" si="29"/>
        <v>0</v>
      </c>
      <c r="X104" s="53">
        <f t="shared" si="51"/>
        <v>0</v>
      </c>
      <c r="Y104" s="53">
        <f t="shared" si="52"/>
        <v>0</v>
      </c>
      <c r="Z104" s="53">
        <f t="shared" si="53"/>
        <v>0</v>
      </c>
      <c r="AA104" s="54"/>
      <c r="AB104" s="54"/>
      <c r="AC104" s="54"/>
      <c r="AD104" s="54"/>
      <c r="AE104" s="55"/>
      <c r="AF104" s="55"/>
      <c r="AG104" s="55"/>
      <c r="AH104" s="55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>
        <f t="shared" si="68"/>
        <v>0</v>
      </c>
      <c r="BO104" s="58">
        <f t="shared" si="69"/>
        <v>0</v>
      </c>
      <c r="BP104" s="54">
        <f t="shared" si="70"/>
        <v>0</v>
      </c>
      <c r="BQ104" s="54">
        <f t="shared" si="58"/>
        <v>0</v>
      </c>
      <c r="BR104" s="54">
        <f t="shared" si="59"/>
        <v>0</v>
      </c>
      <c r="BS104" s="54">
        <f t="shared" si="60"/>
        <v>0</v>
      </c>
      <c r="BT104" s="54">
        <f t="shared" si="71"/>
        <v>0</v>
      </c>
      <c r="BU104" s="54">
        <f t="shared" si="72"/>
        <v>0</v>
      </c>
      <c r="BV104" s="54">
        <f t="shared" si="73"/>
        <v>0</v>
      </c>
      <c r="BW104" s="54">
        <f t="shared" si="61"/>
        <v>0</v>
      </c>
      <c r="BX104" s="1"/>
      <c r="BY104" s="1"/>
      <c r="BZ104" s="1"/>
      <c r="CA104" s="1"/>
      <c r="CB104" s="1"/>
      <c r="CC104" s="1"/>
      <c r="CD104" s="1"/>
      <c r="CE104" s="1"/>
      <c r="CF104" s="1"/>
      <c r="CG104" s="1"/>
    </row>
    <row r="105" spans="1:85" ht="15.75" customHeight="1">
      <c r="A105" s="56"/>
      <c r="B105" s="426"/>
      <c r="C105" s="394" t="s">
        <v>330</v>
      </c>
      <c r="D105" s="44" t="s">
        <v>335</v>
      </c>
      <c r="E105" s="45"/>
      <c r="F105" s="46"/>
      <c r="G105" s="46">
        <f t="shared" si="77"/>
        <v>0</v>
      </c>
      <c r="H105" s="46">
        <v>1000000</v>
      </c>
      <c r="I105" s="47">
        <f t="shared" si="78"/>
        <v>0</v>
      </c>
      <c r="J105" s="47">
        <f t="shared" si="79"/>
        <v>0</v>
      </c>
      <c r="K105" s="54"/>
      <c r="L105" s="54"/>
      <c r="M105" s="54"/>
      <c r="N105" s="49"/>
      <c r="O105" s="51">
        <f t="shared" ref="O105:O115" si="80">AA105+AD105+AG105+AJ105+AM105+AP105+AS105+AV105+AY105+BB105+BE105+BH105</f>
        <v>0</v>
      </c>
      <c r="P105" s="51">
        <f t="shared" ref="P105:P115" si="81">AB105+AE105+AH105+AK105+AN105+AQ105+AT105+AW105+AZ105+BC105+BF105+BI105</f>
        <v>0</v>
      </c>
      <c r="Q105" s="51">
        <f t="shared" ref="Q105:Q115" si="82">AC105+AF105+AI105+AL105+AO105+AR105+AU105+AX105+BA105+BD105+BG105+BJ105</f>
        <v>0</v>
      </c>
      <c r="R105" s="52">
        <f t="shared" ref="R105:R115" si="83">IF(BK105=0,SUM(AA105+AD105+AG105+AJ105+AM105+AP105+AS105+AV105+AY105+BB105+BE105+BH105),BK105)</f>
        <v>0</v>
      </c>
      <c r="S105" s="52">
        <f t="shared" ref="S105:S115" si="84">IF(BL105=0,SUM(AB105+AE105+AH105+AK105+AN105+AQ105+AT105+AW105+AZ105+BC105+BF105+BI105),BL105)</f>
        <v>0</v>
      </c>
      <c r="T105" s="52">
        <f t="shared" ref="T105:T115" si="85">IF(BM105=0,SUM(AC105+AF105+AI105+AL105+AO105+AR105+AU105+AX105+BA105+BD105+BG105+BJ105),BM105)</f>
        <v>0</v>
      </c>
      <c r="U105" s="369">
        <f t="shared" si="57"/>
        <v>0</v>
      </c>
      <c r="V105" s="369">
        <f t="shared" si="28"/>
        <v>0</v>
      </c>
      <c r="W105" s="369">
        <f t="shared" si="29"/>
        <v>0</v>
      </c>
      <c r="X105" s="53">
        <f t="shared" si="51"/>
        <v>0</v>
      </c>
      <c r="Y105" s="53">
        <f t="shared" si="52"/>
        <v>0</v>
      </c>
      <c r="Z105" s="53">
        <f t="shared" si="53"/>
        <v>0</v>
      </c>
      <c r="AA105" s="54"/>
      <c r="AB105" s="54"/>
      <c r="AC105" s="54"/>
      <c r="AD105" s="54"/>
      <c r="AE105" s="55"/>
      <c r="AF105" s="55"/>
      <c r="AG105" s="55"/>
      <c r="AH105" s="55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>
        <f t="shared" si="68"/>
        <v>0</v>
      </c>
      <c r="BO105" s="58">
        <f t="shared" si="69"/>
        <v>0</v>
      </c>
      <c r="BP105" s="54">
        <f t="shared" si="70"/>
        <v>0</v>
      </c>
      <c r="BQ105" s="54">
        <f t="shared" si="58"/>
        <v>0</v>
      </c>
      <c r="BR105" s="54">
        <f t="shared" si="59"/>
        <v>0</v>
      </c>
      <c r="BS105" s="54">
        <f t="shared" si="60"/>
        <v>0</v>
      </c>
      <c r="BT105" s="54">
        <f t="shared" si="71"/>
        <v>0</v>
      </c>
      <c r="BU105" s="54">
        <f t="shared" si="72"/>
        <v>0</v>
      </c>
      <c r="BV105" s="54">
        <f t="shared" si="73"/>
        <v>0</v>
      </c>
      <c r="BW105" s="54">
        <f t="shared" si="61"/>
        <v>0</v>
      </c>
      <c r="BX105" s="1"/>
      <c r="BY105" s="1"/>
      <c r="BZ105" s="1"/>
      <c r="CA105" s="1"/>
      <c r="CB105" s="1"/>
      <c r="CC105" s="1"/>
      <c r="CD105" s="1"/>
      <c r="CE105" s="1"/>
      <c r="CF105" s="1"/>
      <c r="CG105" s="1"/>
    </row>
    <row r="106" spans="1:85" ht="15.75" customHeight="1">
      <c r="A106" s="56"/>
      <c r="B106" s="426"/>
      <c r="C106" s="394" t="s">
        <v>330</v>
      </c>
      <c r="D106" s="44" t="s">
        <v>336</v>
      </c>
      <c r="E106" s="45"/>
      <c r="F106" s="46"/>
      <c r="G106" s="46">
        <f t="shared" si="77"/>
        <v>0</v>
      </c>
      <c r="H106" s="46">
        <v>1000000</v>
      </c>
      <c r="I106" s="47">
        <f t="shared" si="78"/>
        <v>0</v>
      </c>
      <c r="J106" s="47">
        <f t="shared" si="79"/>
        <v>0</v>
      </c>
      <c r="K106" s="54"/>
      <c r="L106" s="54"/>
      <c r="M106" s="54"/>
      <c r="N106" s="49"/>
      <c r="O106" s="51">
        <f t="shared" si="80"/>
        <v>0</v>
      </c>
      <c r="P106" s="51">
        <f t="shared" si="81"/>
        <v>0</v>
      </c>
      <c r="Q106" s="51">
        <f t="shared" si="82"/>
        <v>0</v>
      </c>
      <c r="R106" s="52">
        <f t="shared" si="83"/>
        <v>0</v>
      </c>
      <c r="S106" s="52">
        <f t="shared" si="84"/>
        <v>0</v>
      </c>
      <c r="T106" s="52">
        <f t="shared" si="85"/>
        <v>0</v>
      </c>
      <c r="U106" s="369">
        <f t="shared" si="57"/>
        <v>0</v>
      </c>
      <c r="V106" s="369">
        <f t="shared" si="28"/>
        <v>0</v>
      </c>
      <c r="W106" s="369">
        <f t="shared" si="29"/>
        <v>0</v>
      </c>
      <c r="X106" s="53">
        <f t="shared" si="51"/>
        <v>0</v>
      </c>
      <c r="Y106" s="53">
        <f t="shared" si="52"/>
        <v>0</v>
      </c>
      <c r="Z106" s="53">
        <f t="shared" si="53"/>
        <v>0</v>
      </c>
      <c r="AA106" s="54"/>
      <c r="AB106" s="54"/>
      <c r="AC106" s="54"/>
      <c r="AD106" s="54"/>
      <c r="AE106" s="55"/>
      <c r="AF106" s="55"/>
      <c r="AG106" s="55"/>
      <c r="AH106" s="55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>
        <f t="shared" si="68"/>
        <v>0</v>
      </c>
      <c r="BO106" s="58">
        <f t="shared" si="69"/>
        <v>0</v>
      </c>
      <c r="BP106" s="54">
        <f t="shared" si="70"/>
        <v>0</v>
      </c>
      <c r="BQ106" s="54">
        <f t="shared" si="58"/>
        <v>0</v>
      </c>
      <c r="BR106" s="54">
        <f t="shared" si="59"/>
        <v>0</v>
      </c>
      <c r="BS106" s="54">
        <f t="shared" si="60"/>
        <v>0</v>
      </c>
      <c r="BT106" s="54">
        <f t="shared" si="71"/>
        <v>0</v>
      </c>
      <c r="BU106" s="54">
        <f t="shared" si="72"/>
        <v>0</v>
      </c>
      <c r="BV106" s="54">
        <f t="shared" si="73"/>
        <v>0</v>
      </c>
      <c r="BW106" s="54">
        <f t="shared" si="61"/>
        <v>0</v>
      </c>
      <c r="BX106" s="1"/>
      <c r="BY106" s="1"/>
      <c r="BZ106" s="1"/>
      <c r="CA106" s="1"/>
      <c r="CB106" s="1"/>
      <c r="CC106" s="1"/>
      <c r="CD106" s="1"/>
      <c r="CE106" s="1"/>
      <c r="CF106" s="1"/>
      <c r="CG106" s="1"/>
    </row>
    <row r="107" spans="1:85" ht="15.75" customHeight="1">
      <c r="A107" s="56"/>
      <c r="B107" s="426"/>
      <c r="C107" s="394" t="s">
        <v>330</v>
      </c>
      <c r="D107" s="44" t="s">
        <v>337</v>
      </c>
      <c r="E107" s="45"/>
      <c r="F107" s="46"/>
      <c r="G107" s="46">
        <f t="shared" si="77"/>
        <v>0</v>
      </c>
      <c r="H107" s="46">
        <v>300000</v>
      </c>
      <c r="I107" s="47">
        <f t="shared" si="78"/>
        <v>0</v>
      </c>
      <c r="J107" s="47">
        <f t="shared" si="79"/>
        <v>0</v>
      </c>
      <c r="K107" s="54"/>
      <c r="L107" s="54"/>
      <c r="M107" s="54"/>
      <c r="N107" s="49"/>
      <c r="O107" s="51">
        <f t="shared" si="80"/>
        <v>0</v>
      </c>
      <c r="P107" s="51">
        <f t="shared" si="81"/>
        <v>0</v>
      </c>
      <c r="Q107" s="51">
        <f t="shared" si="82"/>
        <v>0</v>
      </c>
      <c r="R107" s="52">
        <f t="shared" si="83"/>
        <v>0</v>
      </c>
      <c r="S107" s="52">
        <f t="shared" si="84"/>
        <v>0</v>
      </c>
      <c r="T107" s="52">
        <f t="shared" si="85"/>
        <v>0</v>
      </c>
      <c r="U107" s="369">
        <f t="shared" si="57"/>
        <v>0</v>
      </c>
      <c r="V107" s="369">
        <f t="shared" si="28"/>
        <v>0</v>
      </c>
      <c r="W107" s="369">
        <f t="shared" si="29"/>
        <v>0</v>
      </c>
      <c r="X107" s="53">
        <f t="shared" si="51"/>
        <v>0</v>
      </c>
      <c r="Y107" s="53">
        <f t="shared" si="52"/>
        <v>0</v>
      </c>
      <c r="Z107" s="53">
        <f t="shared" si="53"/>
        <v>0</v>
      </c>
      <c r="AA107" s="54"/>
      <c r="AB107" s="54"/>
      <c r="AC107" s="54"/>
      <c r="AD107" s="54"/>
      <c r="AE107" s="55"/>
      <c r="AF107" s="55"/>
      <c r="AG107" s="55"/>
      <c r="AH107" s="55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>
        <f t="shared" si="68"/>
        <v>0</v>
      </c>
      <c r="BO107" s="58">
        <f t="shared" si="69"/>
        <v>0</v>
      </c>
      <c r="BP107" s="54">
        <f t="shared" si="70"/>
        <v>0</v>
      </c>
      <c r="BQ107" s="54">
        <f t="shared" si="58"/>
        <v>0</v>
      </c>
      <c r="BR107" s="54">
        <f t="shared" si="59"/>
        <v>0</v>
      </c>
      <c r="BS107" s="54">
        <f t="shared" si="60"/>
        <v>0</v>
      </c>
      <c r="BT107" s="54">
        <f t="shared" si="71"/>
        <v>0</v>
      </c>
      <c r="BU107" s="54">
        <f t="shared" si="72"/>
        <v>0</v>
      </c>
      <c r="BV107" s="54">
        <f t="shared" si="73"/>
        <v>0</v>
      </c>
      <c r="BW107" s="54">
        <f t="shared" si="61"/>
        <v>0</v>
      </c>
      <c r="BX107" s="1"/>
      <c r="BY107" s="1"/>
      <c r="BZ107" s="1"/>
      <c r="CA107" s="1"/>
      <c r="CB107" s="1"/>
      <c r="CC107" s="1"/>
      <c r="CD107" s="1"/>
      <c r="CE107" s="1"/>
      <c r="CF107" s="1"/>
      <c r="CG107" s="1"/>
    </row>
    <row r="108" spans="1:85" ht="15.75" customHeight="1">
      <c r="A108" s="56"/>
      <c r="B108" s="426"/>
      <c r="C108" s="394" t="s">
        <v>330</v>
      </c>
      <c r="D108" s="44" t="s">
        <v>338</v>
      </c>
      <c r="E108" s="45"/>
      <c r="F108" s="46"/>
      <c r="G108" s="46">
        <f t="shared" si="77"/>
        <v>0</v>
      </c>
      <c r="H108" s="46">
        <v>100000</v>
      </c>
      <c r="I108" s="47">
        <f t="shared" si="78"/>
        <v>0</v>
      </c>
      <c r="J108" s="47">
        <f t="shared" si="79"/>
        <v>0</v>
      </c>
      <c r="K108" s="54"/>
      <c r="L108" s="54"/>
      <c r="M108" s="54"/>
      <c r="N108" s="49"/>
      <c r="O108" s="51">
        <f t="shared" si="80"/>
        <v>0</v>
      </c>
      <c r="P108" s="51">
        <f t="shared" si="81"/>
        <v>0</v>
      </c>
      <c r="Q108" s="51">
        <f t="shared" si="82"/>
        <v>0</v>
      </c>
      <c r="R108" s="52">
        <f t="shared" si="83"/>
        <v>0</v>
      </c>
      <c r="S108" s="52">
        <f t="shared" si="84"/>
        <v>0</v>
      </c>
      <c r="T108" s="52">
        <f t="shared" si="85"/>
        <v>0</v>
      </c>
      <c r="U108" s="369">
        <f t="shared" si="57"/>
        <v>0</v>
      </c>
      <c r="V108" s="369">
        <f t="shared" si="28"/>
        <v>0</v>
      </c>
      <c r="W108" s="369">
        <f t="shared" si="29"/>
        <v>0</v>
      </c>
      <c r="X108" s="53">
        <f t="shared" si="51"/>
        <v>0</v>
      </c>
      <c r="Y108" s="53">
        <f t="shared" si="52"/>
        <v>0</v>
      </c>
      <c r="Z108" s="53">
        <f t="shared" si="53"/>
        <v>0</v>
      </c>
      <c r="AA108" s="54"/>
      <c r="AB108" s="54"/>
      <c r="AC108" s="54"/>
      <c r="AD108" s="54"/>
      <c r="AE108" s="55"/>
      <c r="AF108" s="55"/>
      <c r="AG108" s="55"/>
      <c r="AH108" s="55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>
        <f t="shared" si="68"/>
        <v>0</v>
      </c>
      <c r="BO108" s="58">
        <f t="shared" si="69"/>
        <v>0</v>
      </c>
      <c r="BP108" s="54">
        <f t="shared" si="70"/>
        <v>0</v>
      </c>
      <c r="BQ108" s="54">
        <f t="shared" si="58"/>
        <v>0</v>
      </c>
      <c r="BR108" s="54">
        <f t="shared" si="59"/>
        <v>0</v>
      </c>
      <c r="BS108" s="54">
        <f t="shared" si="60"/>
        <v>0</v>
      </c>
      <c r="BT108" s="54">
        <f t="shared" si="71"/>
        <v>0</v>
      </c>
      <c r="BU108" s="54">
        <f t="shared" si="72"/>
        <v>0</v>
      </c>
      <c r="BV108" s="54">
        <f t="shared" si="73"/>
        <v>0</v>
      </c>
      <c r="BW108" s="54">
        <f t="shared" si="61"/>
        <v>0</v>
      </c>
      <c r="BX108" s="1"/>
      <c r="BY108" s="1"/>
      <c r="BZ108" s="1"/>
      <c r="CA108" s="1"/>
      <c r="CB108" s="1"/>
      <c r="CC108" s="1"/>
      <c r="CD108" s="1"/>
      <c r="CE108" s="1"/>
      <c r="CF108" s="1"/>
      <c r="CG108" s="1"/>
    </row>
    <row r="109" spans="1:85" ht="15.75" customHeight="1">
      <c r="A109" s="56"/>
      <c r="B109" s="426"/>
      <c r="C109" s="394" t="s">
        <v>339</v>
      </c>
      <c r="D109" s="44" t="s">
        <v>340</v>
      </c>
      <c r="E109" s="45"/>
      <c r="F109" s="46"/>
      <c r="G109" s="46">
        <f t="shared" si="77"/>
        <v>0</v>
      </c>
      <c r="H109" s="46">
        <v>300000</v>
      </c>
      <c r="I109" s="47">
        <f t="shared" si="78"/>
        <v>0</v>
      </c>
      <c r="J109" s="47">
        <f t="shared" si="79"/>
        <v>0</v>
      </c>
      <c r="K109" s="54"/>
      <c r="L109" s="54"/>
      <c r="M109" s="54"/>
      <c r="N109" s="49"/>
      <c r="O109" s="51">
        <f t="shared" si="80"/>
        <v>0</v>
      </c>
      <c r="P109" s="51">
        <f t="shared" si="81"/>
        <v>0</v>
      </c>
      <c r="Q109" s="51">
        <f t="shared" si="82"/>
        <v>0</v>
      </c>
      <c r="R109" s="52">
        <f t="shared" si="83"/>
        <v>0</v>
      </c>
      <c r="S109" s="52">
        <f t="shared" si="84"/>
        <v>0</v>
      </c>
      <c r="T109" s="52">
        <f t="shared" si="85"/>
        <v>0</v>
      </c>
      <c r="U109" s="369">
        <f t="shared" si="57"/>
        <v>0</v>
      </c>
      <c r="V109" s="369">
        <f t="shared" si="28"/>
        <v>0</v>
      </c>
      <c r="W109" s="369">
        <f t="shared" si="29"/>
        <v>0</v>
      </c>
      <c r="X109" s="53">
        <f t="shared" si="51"/>
        <v>0</v>
      </c>
      <c r="Y109" s="53">
        <f t="shared" si="52"/>
        <v>0</v>
      </c>
      <c r="Z109" s="53">
        <f t="shared" si="53"/>
        <v>0</v>
      </c>
      <c r="AA109" s="54"/>
      <c r="AB109" s="54"/>
      <c r="AC109" s="54"/>
      <c r="AD109" s="54"/>
      <c r="AE109" s="55"/>
      <c r="AF109" s="55"/>
      <c r="AG109" s="55"/>
      <c r="AH109" s="55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>
        <f t="shared" si="68"/>
        <v>0</v>
      </c>
      <c r="BO109" s="58">
        <f t="shared" si="69"/>
        <v>0</v>
      </c>
      <c r="BP109" s="54">
        <f t="shared" si="70"/>
        <v>0</v>
      </c>
      <c r="BQ109" s="54">
        <f t="shared" si="58"/>
        <v>0</v>
      </c>
      <c r="BR109" s="54">
        <f t="shared" si="59"/>
        <v>0</v>
      </c>
      <c r="BS109" s="54">
        <f t="shared" si="60"/>
        <v>0</v>
      </c>
      <c r="BT109" s="54">
        <f t="shared" si="71"/>
        <v>0</v>
      </c>
      <c r="BU109" s="54">
        <f t="shared" si="72"/>
        <v>0</v>
      </c>
      <c r="BV109" s="54">
        <f t="shared" si="73"/>
        <v>0</v>
      </c>
      <c r="BW109" s="54">
        <f t="shared" si="61"/>
        <v>0</v>
      </c>
      <c r="BX109" s="1"/>
      <c r="BY109" s="1"/>
      <c r="BZ109" s="1"/>
      <c r="CA109" s="1"/>
      <c r="CB109" s="1"/>
      <c r="CC109" s="1"/>
      <c r="CD109" s="1"/>
      <c r="CE109" s="1"/>
      <c r="CF109" s="1"/>
      <c r="CG109" s="1"/>
    </row>
    <row r="110" spans="1:85" ht="15.75" customHeight="1">
      <c r="A110" s="56"/>
      <c r="B110" s="426"/>
      <c r="C110" s="394" t="s">
        <v>339</v>
      </c>
      <c r="D110" s="44" t="s">
        <v>341</v>
      </c>
      <c r="E110" s="45"/>
      <c r="F110" s="46"/>
      <c r="G110" s="46">
        <f t="shared" si="77"/>
        <v>0</v>
      </c>
      <c r="H110" s="46">
        <v>300000</v>
      </c>
      <c r="I110" s="47">
        <f t="shared" si="78"/>
        <v>0</v>
      </c>
      <c r="J110" s="47">
        <f t="shared" si="79"/>
        <v>0</v>
      </c>
      <c r="K110" s="49"/>
      <c r="L110" s="54"/>
      <c r="M110" s="54"/>
      <c r="N110" s="49"/>
      <c r="O110" s="51">
        <f t="shared" si="80"/>
        <v>0</v>
      </c>
      <c r="P110" s="51">
        <f t="shared" si="81"/>
        <v>0</v>
      </c>
      <c r="Q110" s="51">
        <f t="shared" si="82"/>
        <v>0</v>
      </c>
      <c r="R110" s="52">
        <f t="shared" si="83"/>
        <v>0</v>
      </c>
      <c r="S110" s="52">
        <f t="shared" si="84"/>
        <v>0</v>
      </c>
      <c r="T110" s="52">
        <f t="shared" si="85"/>
        <v>0</v>
      </c>
      <c r="U110" s="369">
        <f t="shared" si="57"/>
        <v>0</v>
      </c>
      <c r="V110" s="369">
        <f t="shared" si="28"/>
        <v>0</v>
      </c>
      <c r="W110" s="369">
        <f t="shared" si="29"/>
        <v>0</v>
      </c>
      <c r="X110" s="53">
        <f t="shared" si="51"/>
        <v>0</v>
      </c>
      <c r="Y110" s="53">
        <f t="shared" si="52"/>
        <v>0</v>
      </c>
      <c r="Z110" s="53">
        <f t="shared" si="53"/>
        <v>0</v>
      </c>
      <c r="AA110" s="54"/>
      <c r="AB110" s="54"/>
      <c r="AC110" s="54"/>
      <c r="AD110" s="54"/>
      <c r="AE110" s="55"/>
      <c r="AF110" s="55"/>
      <c r="AG110" s="55"/>
      <c r="AH110" s="55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>
        <f t="shared" si="68"/>
        <v>0</v>
      </c>
      <c r="BO110" s="58">
        <f t="shared" si="69"/>
        <v>0</v>
      </c>
      <c r="BP110" s="54">
        <f t="shared" si="70"/>
        <v>0</v>
      </c>
      <c r="BQ110" s="54">
        <f t="shared" si="58"/>
        <v>0</v>
      </c>
      <c r="BR110" s="54">
        <f t="shared" si="59"/>
        <v>0</v>
      </c>
      <c r="BS110" s="54">
        <f t="shared" si="60"/>
        <v>0</v>
      </c>
      <c r="BT110" s="54">
        <f t="shared" si="71"/>
        <v>0</v>
      </c>
      <c r="BU110" s="54">
        <f t="shared" si="72"/>
        <v>0</v>
      </c>
      <c r="BV110" s="54">
        <f t="shared" si="73"/>
        <v>0</v>
      </c>
      <c r="BW110" s="54">
        <f t="shared" si="61"/>
        <v>0</v>
      </c>
      <c r="BX110" s="1"/>
      <c r="BY110" s="1"/>
      <c r="BZ110" s="1"/>
      <c r="CA110" s="1"/>
      <c r="CB110" s="1"/>
      <c r="CC110" s="1"/>
      <c r="CD110" s="1"/>
      <c r="CE110" s="1"/>
      <c r="CF110" s="1"/>
      <c r="CG110" s="1"/>
    </row>
    <row r="111" spans="1:85" ht="15.75" customHeight="1">
      <c r="A111" s="108"/>
      <c r="B111" s="416" t="s">
        <v>342</v>
      </c>
      <c r="C111" s="394" t="s">
        <v>343</v>
      </c>
      <c r="D111" s="44" t="s">
        <v>344</v>
      </c>
      <c r="E111" s="45"/>
      <c r="F111" s="46"/>
      <c r="G111" s="46">
        <f t="shared" si="77"/>
        <v>0</v>
      </c>
      <c r="H111" s="46"/>
      <c r="I111" s="47">
        <f t="shared" si="78"/>
        <v>0</v>
      </c>
      <c r="J111" s="47">
        <f t="shared" si="79"/>
        <v>0</v>
      </c>
      <c r="K111" s="49"/>
      <c r="L111" s="54">
        <v>3860</v>
      </c>
      <c r="M111" s="54"/>
      <c r="N111" s="49"/>
      <c r="O111" s="51">
        <f t="shared" si="80"/>
        <v>0</v>
      </c>
      <c r="P111" s="51">
        <f t="shared" si="81"/>
        <v>3860</v>
      </c>
      <c r="Q111" s="51">
        <f t="shared" si="82"/>
        <v>0</v>
      </c>
      <c r="R111" s="52">
        <f t="shared" si="83"/>
        <v>0</v>
      </c>
      <c r="S111" s="52">
        <f t="shared" si="84"/>
        <v>3860</v>
      </c>
      <c r="T111" s="52">
        <f t="shared" si="85"/>
        <v>0</v>
      </c>
      <c r="U111" s="369">
        <f t="shared" si="57"/>
        <v>0</v>
      </c>
      <c r="V111" s="369">
        <f t="shared" si="28"/>
        <v>0</v>
      </c>
      <c r="W111" s="369">
        <f t="shared" si="29"/>
        <v>0</v>
      </c>
      <c r="X111" s="53">
        <f t="shared" si="51"/>
        <v>0</v>
      </c>
      <c r="Y111" s="53">
        <f t="shared" si="52"/>
        <v>1</v>
      </c>
      <c r="Z111" s="53">
        <f t="shared" si="53"/>
        <v>0</v>
      </c>
      <c r="AA111" s="54"/>
      <c r="AB111" s="54"/>
      <c r="AC111" s="54"/>
      <c r="AD111" s="54"/>
      <c r="AE111" s="76">
        <v>3860</v>
      </c>
      <c r="AF111" s="55"/>
      <c r="AG111" s="55"/>
      <c r="AH111" s="55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>
        <f t="shared" si="68"/>
        <v>0</v>
      </c>
      <c r="BO111" s="58">
        <f t="shared" si="69"/>
        <v>0</v>
      </c>
      <c r="BP111" s="54">
        <f t="shared" si="70"/>
        <v>0</v>
      </c>
      <c r="BQ111" s="54">
        <f t="shared" si="58"/>
        <v>0</v>
      </c>
      <c r="BR111" s="54">
        <f t="shared" si="59"/>
        <v>0</v>
      </c>
      <c r="BS111" s="54">
        <f t="shared" si="60"/>
        <v>0</v>
      </c>
      <c r="BT111" s="54">
        <f t="shared" si="71"/>
        <v>0</v>
      </c>
      <c r="BU111" s="54">
        <f t="shared" si="72"/>
        <v>0</v>
      </c>
      <c r="BV111" s="54">
        <f t="shared" si="73"/>
        <v>0</v>
      </c>
      <c r="BW111" s="54">
        <f t="shared" si="61"/>
        <v>0</v>
      </c>
      <c r="BX111" s="1"/>
      <c r="BY111" s="1"/>
      <c r="BZ111" s="1"/>
      <c r="CA111" s="1"/>
      <c r="CB111" s="1"/>
      <c r="CC111" s="1"/>
      <c r="CD111" s="1"/>
      <c r="CE111" s="1"/>
      <c r="CF111" s="1"/>
      <c r="CG111" s="1"/>
    </row>
    <row r="112" spans="1:85" ht="15.75" customHeight="1">
      <c r="A112" s="56"/>
      <c r="B112" s="426"/>
      <c r="C112" s="394" t="s">
        <v>345</v>
      </c>
      <c r="D112" s="44" t="s">
        <v>346</v>
      </c>
      <c r="E112" s="45"/>
      <c r="F112" s="46"/>
      <c r="G112" s="46">
        <f t="shared" si="77"/>
        <v>0</v>
      </c>
      <c r="H112" s="46">
        <v>30000</v>
      </c>
      <c r="I112" s="47">
        <f t="shared" si="78"/>
        <v>0</v>
      </c>
      <c r="J112" s="47">
        <f t="shared" si="79"/>
        <v>0</v>
      </c>
      <c r="K112" s="49"/>
      <c r="L112" s="54"/>
      <c r="M112" s="54"/>
      <c r="N112" s="49"/>
      <c r="O112" s="51">
        <f t="shared" si="80"/>
        <v>0</v>
      </c>
      <c r="P112" s="51">
        <f t="shared" si="81"/>
        <v>0</v>
      </c>
      <c r="Q112" s="51">
        <f t="shared" si="82"/>
        <v>0</v>
      </c>
      <c r="R112" s="52">
        <f t="shared" si="83"/>
        <v>0</v>
      </c>
      <c r="S112" s="52">
        <f t="shared" si="84"/>
        <v>0</v>
      </c>
      <c r="T112" s="52">
        <f t="shared" si="85"/>
        <v>0</v>
      </c>
      <c r="U112" s="369">
        <f t="shared" si="57"/>
        <v>0</v>
      </c>
      <c r="V112" s="369">
        <f t="shared" si="28"/>
        <v>0</v>
      </c>
      <c r="W112" s="369">
        <f t="shared" si="29"/>
        <v>0</v>
      </c>
      <c r="X112" s="53">
        <f t="shared" si="51"/>
        <v>0</v>
      </c>
      <c r="Y112" s="53">
        <f t="shared" si="52"/>
        <v>0</v>
      </c>
      <c r="Z112" s="53">
        <f t="shared" si="53"/>
        <v>0</v>
      </c>
      <c r="AA112" s="54"/>
      <c r="AB112" s="54"/>
      <c r="AC112" s="54"/>
      <c r="AD112" s="54"/>
      <c r="AE112" s="55"/>
      <c r="AF112" s="55"/>
      <c r="AG112" s="55"/>
      <c r="AH112" s="55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>
        <f t="shared" si="68"/>
        <v>0</v>
      </c>
      <c r="BO112" s="58">
        <f t="shared" si="69"/>
        <v>0</v>
      </c>
      <c r="BP112" s="54">
        <f t="shared" si="70"/>
        <v>0</v>
      </c>
      <c r="BQ112" s="54">
        <f t="shared" si="58"/>
        <v>0</v>
      </c>
      <c r="BR112" s="54">
        <f t="shared" si="59"/>
        <v>0</v>
      </c>
      <c r="BS112" s="54">
        <f t="shared" si="60"/>
        <v>0</v>
      </c>
      <c r="BT112" s="54">
        <f t="shared" si="71"/>
        <v>0</v>
      </c>
      <c r="BU112" s="54">
        <f t="shared" si="72"/>
        <v>0</v>
      </c>
      <c r="BV112" s="54">
        <f t="shared" si="73"/>
        <v>0</v>
      </c>
      <c r="BW112" s="54">
        <f t="shared" si="61"/>
        <v>0</v>
      </c>
      <c r="BX112" s="1"/>
      <c r="BY112" s="1"/>
      <c r="BZ112" s="1"/>
      <c r="CA112" s="1"/>
      <c r="CB112" s="1"/>
      <c r="CC112" s="1"/>
      <c r="CD112" s="1"/>
      <c r="CE112" s="1"/>
      <c r="CF112" s="1"/>
      <c r="CG112" s="1"/>
    </row>
    <row r="113" spans="1:85" ht="15.75" customHeight="1">
      <c r="A113" s="83"/>
      <c r="B113" s="429" t="s">
        <v>347</v>
      </c>
      <c r="C113" s="458" t="s">
        <v>348</v>
      </c>
      <c r="D113" s="44" t="s">
        <v>349</v>
      </c>
      <c r="E113" s="45"/>
      <c r="F113" s="46"/>
      <c r="G113" s="46">
        <f t="shared" si="77"/>
        <v>0</v>
      </c>
      <c r="H113" s="46"/>
      <c r="I113" s="47">
        <f t="shared" si="78"/>
        <v>0</v>
      </c>
      <c r="J113" s="47">
        <f t="shared" si="79"/>
        <v>0</v>
      </c>
      <c r="K113" s="49"/>
      <c r="L113" s="54">
        <v>3839.07</v>
      </c>
      <c r="M113" s="54"/>
      <c r="N113" s="49"/>
      <c r="O113" s="51">
        <f t="shared" si="80"/>
        <v>0</v>
      </c>
      <c r="P113" s="51">
        <f t="shared" si="81"/>
        <v>3839.07</v>
      </c>
      <c r="Q113" s="51">
        <f t="shared" si="82"/>
        <v>0</v>
      </c>
      <c r="R113" s="52">
        <f t="shared" si="83"/>
        <v>0</v>
      </c>
      <c r="S113" s="52">
        <f t="shared" si="84"/>
        <v>3839.07</v>
      </c>
      <c r="T113" s="52">
        <f t="shared" si="85"/>
        <v>0</v>
      </c>
      <c r="U113" s="369">
        <f t="shared" si="57"/>
        <v>0</v>
      </c>
      <c r="V113" s="369">
        <f t="shared" si="28"/>
        <v>0</v>
      </c>
      <c r="W113" s="369">
        <f t="shared" si="29"/>
        <v>0</v>
      </c>
      <c r="X113" s="53">
        <f t="shared" si="51"/>
        <v>0</v>
      </c>
      <c r="Y113" s="53">
        <f t="shared" si="52"/>
        <v>1</v>
      </c>
      <c r="Z113" s="53">
        <f t="shared" si="53"/>
        <v>0</v>
      </c>
      <c r="AA113" s="54"/>
      <c r="AB113" s="48">
        <v>3839.07</v>
      </c>
      <c r="AC113" s="54"/>
      <c r="AD113" s="54"/>
      <c r="AE113" s="55"/>
      <c r="AF113" s="55"/>
      <c r="AG113" s="55"/>
      <c r="AH113" s="55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>
        <f t="shared" si="68"/>
        <v>0</v>
      </c>
      <c r="BO113" s="58">
        <f t="shared" si="69"/>
        <v>0</v>
      </c>
      <c r="BP113" s="54">
        <f t="shared" si="70"/>
        <v>0</v>
      </c>
      <c r="BQ113" s="54">
        <f t="shared" si="58"/>
        <v>0</v>
      </c>
      <c r="BR113" s="54">
        <f t="shared" si="59"/>
        <v>0</v>
      </c>
      <c r="BS113" s="54">
        <f t="shared" si="60"/>
        <v>0</v>
      </c>
      <c r="BT113" s="54">
        <f t="shared" si="71"/>
        <v>0</v>
      </c>
      <c r="BU113" s="54">
        <f t="shared" si="72"/>
        <v>0</v>
      </c>
      <c r="BV113" s="54">
        <f t="shared" si="73"/>
        <v>0</v>
      </c>
      <c r="BW113" s="54">
        <f t="shared" si="61"/>
        <v>0</v>
      </c>
      <c r="BX113" s="1"/>
      <c r="BY113" s="1"/>
      <c r="BZ113" s="1"/>
      <c r="CA113" s="1"/>
      <c r="CB113" s="1"/>
      <c r="CC113" s="1"/>
      <c r="CD113" s="1"/>
      <c r="CE113" s="1"/>
      <c r="CF113" s="1"/>
      <c r="CG113" s="1"/>
    </row>
    <row r="114" spans="1:85" ht="15.75" customHeight="1">
      <c r="A114" s="83"/>
      <c r="B114" s="429" t="s">
        <v>350</v>
      </c>
      <c r="C114" s="458" t="s">
        <v>348</v>
      </c>
      <c r="D114" s="44" t="s">
        <v>351</v>
      </c>
      <c r="E114" s="45"/>
      <c r="F114" s="46"/>
      <c r="G114" s="46">
        <f t="shared" si="77"/>
        <v>0</v>
      </c>
      <c r="H114" s="46"/>
      <c r="I114" s="47">
        <f t="shared" si="78"/>
        <v>0</v>
      </c>
      <c r="J114" s="47">
        <f t="shared" si="79"/>
        <v>0</v>
      </c>
      <c r="K114" s="49"/>
      <c r="L114" s="54">
        <v>57397.599999999999</v>
      </c>
      <c r="M114" s="54"/>
      <c r="N114" s="49"/>
      <c r="O114" s="51">
        <f t="shared" si="80"/>
        <v>0</v>
      </c>
      <c r="P114" s="51">
        <f t="shared" si="81"/>
        <v>57397.599999999999</v>
      </c>
      <c r="Q114" s="51">
        <f t="shared" si="82"/>
        <v>0</v>
      </c>
      <c r="R114" s="52">
        <f t="shared" si="83"/>
        <v>0</v>
      </c>
      <c r="S114" s="52">
        <f t="shared" si="84"/>
        <v>57397.599999999999</v>
      </c>
      <c r="T114" s="52">
        <f t="shared" si="85"/>
        <v>0</v>
      </c>
      <c r="U114" s="369">
        <f t="shared" si="57"/>
        <v>0</v>
      </c>
      <c r="V114" s="369">
        <f t="shared" si="28"/>
        <v>0</v>
      </c>
      <c r="W114" s="369">
        <f t="shared" si="29"/>
        <v>0</v>
      </c>
      <c r="X114" s="53">
        <f t="shared" si="51"/>
        <v>0</v>
      </c>
      <c r="Y114" s="53">
        <f t="shared" si="52"/>
        <v>1</v>
      </c>
      <c r="Z114" s="53">
        <f t="shared" si="53"/>
        <v>0</v>
      </c>
      <c r="AA114" s="54"/>
      <c r="AB114" s="54"/>
      <c r="AC114" s="54"/>
      <c r="AD114" s="54"/>
      <c r="AE114" s="55"/>
      <c r="AF114" s="55"/>
      <c r="AG114" s="55"/>
      <c r="AH114" s="55"/>
      <c r="AI114" s="54"/>
      <c r="AJ114" s="54"/>
      <c r="AK114" s="48">
        <v>57397.599999999999</v>
      </c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>
        <f t="shared" si="68"/>
        <v>0</v>
      </c>
      <c r="BO114" s="58">
        <f t="shared" si="69"/>
        <v>0</v>
      </c>
      <c r="BP114" s="54">
        <f t="shared" si="70"/>
        <v>0</v>
      </c>
      <c r="BQ114" s="54">
        <f t="shared" si="58"/>
        <v>0</v>
      </c>
      <c r="BR114" s="54">
        <f t="shared" si="59"/>
        <v>0</v>
      </c>
      <c r="BS114" s="54">
        <f t="shared" si="60"/>
        <v>0</v>
      </c>
      <c r="BT114" s="54">
        <f t="shared" si="71"/>
        <v>0</v>
      </c>
      <c r="BU114" s="54">
        <f t="shared" si="72"/>
        <v>0</v>
      </c>
      <c r="BV114" s="54">
        <f t="shared" si="73"/>
        <v>0</v>
      </c>
      <c r="BW114" s="54">
        <f t="shared" si="61"/>
        <v>0</v>
      </c>
      <c r="BX114" s="1"/>
      <c r="BY114" s="1"/>
      <c r="BZ114" s="1"/>
      <c r="CA114" s="1"/>
      <c r="CB114" s="1"/>
      <c r="CC114" s="1"/>
      <c r="CD114" s="1"/>
      <c r="CE114" s="1"/>
      <c r="CF114" s="1"/>
      <c r="CG114" s="1"/>
    </row>
    <row r="115" spans="1:85" ht="15.75" customHeight="1">
      <c r="A115" s="83"/>
      <c r="B115" s="429" t="s">
        <v>352</v>
      </c>
      <c r="C115" s="458" t="s">
        <v>348</v>
      </c>
      <c r="D115" s="44" t="s">
        <v>353</v>
      </c>
      <c r="E115" s="45"/>
      <c r="F115" s="46"/>
      <c r="G115" s="46">
        <f t="shared" si="77"/>
        <v>0</v>
      </c>
      <c r="H115" s="46"/>
      <c r="I115" s="47">
        <f t="shared" si="78"/>
        <v>0</v>
      </c>
      <c r="J115" s="47">
        <f t="shared" si="79"/>
        <v>0</v>
      </c>
      <c r="K115" s="49"/>
      <c r="L115" s="54">
        <v>4394</v>
      </c>
      <c r="M115" s="54"/>
      <c r="N115" s="49"/>
      <c r="O115" s="51">
        <f t="shared" si="80"/>
        <v>0</v>
      </c>
      <c r="P115" s="51">
        <f t="shared" si="81"/>
        <v>4394</v>
      </c>
      <c r="Q115" s="51">
        <f t="shared" si="82"/>
        <v>0</v>
      </c>
      <c r="R115" s="52">
        <f t="shared" si="83"/>
        <v>0</v>
      </c>
      <c r="S115" s="52">
        <f t="shared" si="84"/>
        <v>4394</v>
      </c>
      <c r="T115" s="52">
        <f t="shared" si="85"/>
        <v>0</v>
      </c>
      <c r="U115" s="369">
        <f t="shared" si="57"/>
        <v>0</v>
      </c>
      <c r="V115" s="369">
        <f t="shared" si="28"/>
        <v>0</v>
      </c>
      <c r="W115" s="369">
        <f t="shared" si="29"/>
        <v>0</v>
      </c>
      <c r="X115" s="53">
        <f t="shared" si="51"/>
        <v>0</v>
      </c>
      <c r="Y115" s="53">
        <f t="shared" si="52"/>
        <v>1</v>
      </c>
      <c r="Z115" s="53">
        <f t="shared" si="53"/>
        <v>0</v>
      </c>
      <c r="AA115" s="54"/>
      <c r="AB115" s="54"/>
      <c r="AC115" s="54"/>
      <c r="AD115" s="54"/>
      <c r="AE115" s="55"/>
      <c r="AF115" s="55"/>
      <c r="AG115" s="55"/>
      <c r="AH115" s="55"/>
      <c r="AI115" s="54"/>
      <c r="AJ115" s="54"/>
      <c r="AK115" s="48">
        <v>4394</v>
      </c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>
        <f t="shared" si="68"/>
        <v>0</v>
      </c>
      <c r="BO115" s="58">
        <f t="shared" si="69"/>
        <v>0</v>
      </c>
      <c r="BP115" s="54">
        <f t="shared" si="70"/>
        <v>0</v>
      </c>
      <c r="BQ115" s="54">
        <f t="shared" si="58"/>
        <v>0</v>
      </c>
      <c r="BR115" s="54">
        <f t="shared" si="59"/>
        <v>0</v>
      </c>
      <c r="BS115" s="54">
        <f t="shared" si="60"/>
        <v>0</v>
      </c>
      <c r="BT115" s="54">
        <f t="shared" si="71"/>
        <v>0</v>
      </c>
      <c r="BU115" s="54">
        <f t="shared" si="72"/>
        <v>0</v>
      </c>
      <c r="BV115" s="54">
        <f t="shared" si="73"/>
        <v>0</v>
      </c>
      <c r="BW115" s="54">
        <f t="shared" si="61"/>
        <v>0</v>
      </c>
      <c r="BX115" s="1"/>
      <c r="BY115" s="1"/>
      <c r="BZ115" s="1"/>
      <c r="CA115" s="1"/>
      <c r="CB115" s="1"/>
      <c r="CC115" s="1"/>
      <c r="CD115" s="1"/>
      <c r="CE115" s="1"/>
      <c r="CF115" s="1"/>
      <c r="CG115" s="1"/>
    </row>
    <row r="116" spans="1:85" ht="15.75" customHeight="1">
      <c r="A116" s="109"/>
      <c r="B116" s="433" t="s">
        <v>354</v>
      </c>
      <c r="C116" s="400"/>
      <c r="D116" s="38"/>
      <c r="E116" s="39">
        <f>E117+E138+E140+E142+E136+E151+E156+E160+E169</f>
        <v>417587.58</v>
      </c>
      <c r="F116" s="40">
        <f>F117+F138+F140+F142+F136+F151+F156+F160+F169</f>
        <v>156211.538</v>
      </c>
      <c r="G116" s="40">
        <f>G117+G138+G140+G142+G136+G151+G156+G160+G169</f>
        <v>261376.04200000002</v>
      </c>
      <c r="H116" s="40">
        <f>H117+H138+H140+H142+H136+H151+H156+H160+H169</f>
        <v>350000</v>
      </c>
      <c r="I116" s="62">
        <f>K116/G116</f>
        <v>0.56302195439932479</v>
      </c>
      <c r="J116" s="62">
        <f>O116/G116</f>
        <v>0.39900497077693137</v>
      </c>
      <c r="K116" s="40">
        <f t="shared" ref="K116:W116" si="86">K117+K138+K140+K142+K136+K151+K156+K160+K169</f>
        <v>147160.45000000001</v>
      </c>
      <c r="L116" s="40">
        <f t="shared" si="86"/>
        <v>940496.14999999991</v>
      </c>
      <c r="M116" s="40">
        <f t="shared" si="86"/>
        <v>19448.740000000002</v>
      </c>
      <c r="N116" s="40">
        <f t="shared" si="86"/>
        <v>0</v>
      </c>
      <c r="O116" s="40">
        <f t="shared" si="86"/>
        <v>104290.34</v>
      </c>
      <c r="P116" s="40">
        <f t="shared" si="86"/>
        <v>708364.78</v>
      </c>
      <c r="Q116" s="40">
        <f t="shared" si="86"/>
        <v>0</v>
      </c>
      <c r="R116" s="40">
        <f t="shared" si="86"/>
        <v>104290.34</v>
      </c>
      <c r="S116" s="40">
        <f t="shared" si="86"/>
        <v>708364.78</v>
      </c>
      <c r="T116" s="40">
        <f t="shared" si="86"/>
        <v>0</v>
      </c>
      <c r="U116" s="367">
        <f t="shared" si="86"/>
        <v>42870.11</v>
      </c>
      <c r="V116" s="367">
        <f t="shared" si="86"/>
        <v>212682.62999999998</v>
      </c>
      <c r="W116" s="367">
        <f t="shared" si="86"/>
        <v>0</v>
      </c>
      <c r="X116" s="41">
        <f t="shared" si="51"/>
        <v>0.70868456844213235</v>
      </c>
      <c r="Y116" s="41">
        <f t="shared" si="52"/>
        <v>0.75318200930434442</v>
      </c>
      <c r="Z116" s="41">
        <f t="shared" si="53"/>
        <v>0</v>
      </c>
      <c r="AA116" s="40">
        <f t="shared" ref="AA116:BW116" si="87">AA117+AA138+AA140+AA142+AA136+AA151+AA156+AA160+AA169</f>
        <v>0</v>
      </c>
      <c r="AB116" s="40">
        <f t="shared" si="87"/>
        <v>99398</v>
      </c>
      <c r="AC116" s="40">
        <f t="shared" si="87"/>
        <v>0</v>
      </c>
      <c r="AD116" s="40">
        <f t="shared" si="87"/>
        <v>8199.9</v>
      </c>
      <c r="AE116" s="40">
        <f t="shared" si="87"/>
        <v>40780.520000000004</v>
      </c>
      <c r="AF116" s="40">
        <f t="shared" si="87"/>
        <v>0</v>
      </c>
      <c r="AG116" s="40">
        <f t="shared" si="87"/>
        <v>1587.98</v>
      </c>
      <c r="AH116" s="40">
        <f t="shared" si="87"/>
        <v>386183.42</v>
      </c>
      <c r="AI116" s="40">
        <f t="shared" si="87"/>
        <v>0</v>
      </c>
      <c r="AJ116" s="40">
        <f t="shared" si="87"/>
        <v>10806.359999999999</v>
      </c>
      <c r="AK116" s="40">
        <f t="shared" si="87"/>
        <v>7976.24</v>
      </c>
      <c r="AL116" s="40">
        <f t="shared" si="87"/>
        <v>0</v>
      </c>
      <c r="AM116" s="40">
        <f t="shared" si="87"/>
        <v>9745.3599999999988</v>
      </c>
      <c r="AN116" s="40">
        <f t="shared" si="87"/>
        <v>1135.52</v>
      </c>
      <c r="AO116" s="40">
        <f t="shared" si="87"/>
        <v>0</v>
      </c>
      <c r="AP116" s="40">
        <f t="shared" si="87"/>
        <v>19933.68</v>
      </c>
      <c r="AQ116" s="40">
        <f t="shared" si="87"/>
        <v>3946.52</v>
      </c>
      <c r="AR116" s="40">
        <f t="shared" si="87"/>
        <v>0</v>
      </c>
      <c r="AS116" s="40">
        <f t="shared" si="87"/>
        <v>26737.43</v>
      </c>
      <c r="AT116" s="40">
        <f t="shared" si="87"/>
        <v>12654.52</v>
      </c>
      <c r="AU116" s="40">
        <f t="shared" si="87"/>
        <v>0</v>
      </c>
      <c r="AV116" s="40">
        <f t="shared" si="87"/>
        <v>20395.919999999998</v>
      </c>
      <c r="AW116" s="40">
        <f t="shared" si="87"/>
        <v>155735.51999999999</v>
      </c>
      <c r="AX116" s="40">
        <f t="shared" si="87"/>
        <v>0</v>
      </c>
      <c r="AY116" s="40">
        <f t="shared" si="87"/>
        <v>6883.71</v>
      </c>
      <c r="AZ116" s="40">
        <f t="shared" si="87"/>
        <v>554.52</v>
      </c>
      <c r="BA116" s="40">
        <f t="shared" si="87"/>
        <v>0</v>
      </c>
      <c r="BB116" s="40">
        <f t="shared" si="87"/>
        <v>0</v>
      </c>
      <c r="BC116" s="40">
        <f t="shared" si="87"/>
        <v>0</v>
      </c>
      <c r="BD116" s="40">
        <f t="shared" si="87"/>
        <v>0</v>
      </c>
      <c r="BE116" s="40">
        <f t="shared" si="87"/>
        <v>0</v>
      </c>
      <c r="BF116" s="40">
        <f t="shared" si="87"/>
        <v>0</v>
      </c>
      <c r="BG116" s="40">
        <f t="shared" si="87"/>
        <v>0</v>
      </c>
      <c r="BH116" s="40">
        <f t="shared" si="87"/>
        <v>0</v>
      </c>
      <c r="BI116" s="40">
        <f t="shared" si="87"/>
        <v>0</v>
      </c>
      <c r="BJ116" s="40">
        <f t="shared" si="87"/>
        <v>0</v>
      </c>
      <c r="BK116" s="40">
        <f t="shared" si="87"/>
        <v>0</v>
      </c>
      <c r="BL116" s="40">
        <f t="shared" si="87"/>
        <v>0</v>
      </c>
      <c r="BM116" s="40">
        <f t="shared" si="87"/>
        <v>0</v>
      </c>
      <c r="BN116" s="456">
        <f>BN117+BN138+BN140+BN142+BN136+BN151+BN156+BN160+BN169</f>
        <v>104290.34</v>
      </c>
      <c r="BO116" s="40">
        <f>BO117+BO138+BO140+BO142+BO136+BO151+BO156+BO160+BO169</f>
        <v>0</v>
      </c>
      <c r="BP116" s="40">
        <f t="shared" si="87"/>
        <v>104290.34</v>
      </c>
      <c r="BQ116" s="40">
        <f t="shared" si="87"/>
        <v>42870.11</v>
      </c>
      <c r="BR116" s="40">
        <f t="shared" si="87"/>
        <v>0</v>
      </c>
      <c r="BS116" s="40">
        <f t="shared" si="87"/>
        <v>42870.11</v>
      </c>
      <c r="BT116" s="40">
        <f t="shared" si="87"/>
        <v>212682.62999999998</v>
      </c>
      <c r="BU116" s="40">
        <f t="shared" si="87"/>
        <v>104290.34</v>
      </c>
      <c r="BV116" s="40">
        <f t="shared" si="87"/>
        <v>42870.11</v>
      </c>
      <c r="BW116" s="40">
        <f t="shared" si="87"/>
        <v>316972.96999999997</v>
      </c>
      <c r="BX116" s="1"/>
      <c r="BY116" s="1"/>
      <c r="BZ116" s="1"/>
      <c r="CA116" s="1"/>
      <c r="CB116" s="1"/>
      <c r="CC116" s="1"/>
      <c r="CD116" s="1"/>
      <c r="CE116" s="1"/>
      <c r="CF116" s="1"/>
      <c r="CG116" s="1"/>
    </row>
    <row r="117" spans="1:85" ht="15.75" customHeight="1">
      <c r="A117" s="110"/>
      <c r="B117" s="434"/>
      <c r="C117" s="401"/>
      <c r="D117" s="111" t="s">
        <v>355</v>
      </c>
      <c r="E117" s="112">
        <f>SUM(E118:E135)+SUM(E125:E136)</f>
        <v>28000</v>
      </c>
      <c r="F117" s="113">
        <f>SUM(F118:F135)+SUM(F125:F136)</f>
        <v>0</v>
      </c>
      <c r="G117" s="113">
        <f>SUM(G118:G135)+SUM(G125:G136)</f>
        <v>28000</v>
      </c>
      <c r="H117" s="113">
        <f>SUM(H118:H135)+SUM(H125:H136)</f>
        <v>350000</v>
      </c>
      <c r="I117" s="114">
        <f t="shared" ref="I117:I150" si="88">IF(G117&gt;0,K117/G117,0)</f>
        <v>1.4797142857142858</v>
      </c>
      <c r="J117" s="114">
        <f t="shared" ref="J117:J150" si="89">IF(G117&gt;0,O117/G117,0)</f>
        <v>1.2370532142857142</v>
      </c>
      <c r="K117" s="113">
        <f t="shared" ref="K117:W117" si="90">SUM(K118:K124)+SUM(K125:K136)</f>
        <v>41432</v>
      </c>
      <c r="L117" s="113">
        <f t="shared" si="90"/>
        <v>878039.34</v>
      </c>
      <c r="M117" s="113">
        <f t="shared" si="90"/>
        <v>648.74</v>
      </c>
      <c r="N117" s="113">
        <f t="shared" si="90"/>
        <v>0</v>
      </c>
      <c r="O117" s="113">
        <f t="shared" si="90"/>
        <v>34637.49</v>
      </c>
      <c r="P117" s="113">
        <f t="shared" si="90"/>
        <v>666537.49</v>
      </c>
      <c r="Q117" s="113">
        <f t="shared" si="90"/>
        <v>0</v>
      </c>
      <c r="R117" s="113">
        <f t="shared" si="90"/>
        <v>34637.49</v>
      </c>
      <c r="S117" s="113">
        <f t="shared" si="90"/>
        <v>666537.49</v>
      </c>
      <c r="T117" s="113">
        <f t="shared" si="90"/>
        <v>0</v>
      </c>
      <c r="U117" s="372">
        <f t="shared" si="90"/>
        <v>6794.51</v>
      </c>
      <c r="V117" s="372">
        <f t="shared" si="90"/>
        <v>210853.11</v>
      </c>
      <c r="W117" s="372">
        <f t="shared" si="90"/>
        <v>0</v>
      </c>
      <c r="X117" s="115">
        <f t="shared" si="51"/>
        <v>0.83600815794554928</v>
      </c>
      <c r="Y117" s="115">
        <f t="shared" si="52"/>
        <v>0.7591203031973488</v>
      </c>
      <c r="Z117" s="115">
        <f t="shared" si="53"/>
        <v>0</v>
      </c>
      <c r="AA117" s="113">
        <f t="shared" ref="AA117:BW117" si="91">SUM(AA118:AA124)+SUM(AA125:AA136)</f>
        <v>0</v>
      </c>
      <c r="AB117" s="113">
        <f t="shared" si="91"/>
        <v>97648</v>
      </c>
      <c r="AC117" s="113">
        <f t="shared" si="91"/>
        <v>0</v>
      </c>
      <c r="AD117" s="113">
        <f t="shared" si="91"/>
        <v>0</v>
      </c>
      <c r="AE117" s="113">
        <f t="shared" si="91"/>
        <v>25288.23</v>
      </c>
      <c r="AF117" s="113">
        <f t="shared" si="91"/>
        <v>0</v>
      </c>
      <c r="AG117" s="113">
        <f t="shared" si="91"/>
        <v>0</v>
      </c>
      <c r="AH117" s="113">
        <f t="shared" si="91"/>
        <v>390521.26</v>
      </c>
      <c r="AI117" s="113">
        <f t="shared" si="91"/>
        <v>0</v>
      </c>
      <c r="AJ117" s="113">
        <f t="shared" si="91"/>
        <v>0</v>
      </c>
      <c r="AK117" s="113">
        <f t="shared" si="91"/>
        <v>0</v>
      </c>
      <c r="AL117" s="113">
        <f t="shared" si="91"/>
        <v>0</v>
      </c>
      <c r="AM117" s="113">
        <f t="shared" si="91"/>
        <v>469.46</v>
      </c>
      <c r="AN117" s="113">
        <f t="shared" si="91"/>
        <v>0</v>
      </c>
      <c r="AO117" s="113">
        <f t="shared" si="91"/>
        <v>0</v>
      </c>
      <c r="AP117" s="113">
        <f t="shared" si="91"/>
        <v>67.680000000000007</v>
      </c>
      <c r="AQ117" s="113">
        <f t="shared" si="91"/>
        <v>0</v>
      </c>
      <c r="AR117" s="113">
        <f t="shared" si="91"/>
        <v>0</v>
      </c>
      <c r="AS117" s="113">
        <f t="shared" si="91"/>
        <v>20013.71</v>
      </c>
      <c r="AT117" s="113">
        <f t="shared" si="91"/>
        <v>0</v>
      </c>
      <c r="AU117" s="113">
        <f t="shared" si="91"/>
        <v>0</v>
      </c>
      <c r="AV117" s="113">
        <f t="shared" si="91"/>
        <v>13572.93</v>
      </c>
      <c r="AW117" s="113">
        <f t="shared" si="91"/>
        <v>153080</v>
      </c>
      <c r="AX117" s="113">
        <f t="shared" si="91"/>
        <v>0</v>
      </c>
      <c r="AY117" s="113">
        <f t="shared" si="91"/>
        <v>513.71</v>
      </c>
      <c r="AZ117" s="113">
        <f t="shared" si="91"/>
        <v>0</v>
      </c>
      <c r="BA117" s="113">
        <f t="shared" si="91"/>
        <v>0</v>
      </c>
      <c r="BB117" s="113">
        <f t="shared" si="91"/>
        <v>0</v>
      </c>
      <c r="BC117" s="113">
        <f t="shared" si="91"/>
        <v>0</v>
      </c>
      <c r="BD117" s="113">
        <f t="shared" si="91"/>
        <v>0</v>
      </c>
      <c r="BE117" s="113">
        <f t="shared" si="91"/>
        <v>0</v>
      </c>
      <c r="BF117" s="113">
        <f t="shared" si="91"/>
        <v>0</v>
      </c>
      <c r="BG117" s="113">
        <f t="shared" si="91"/>
        <v>0</v>
      </c>
      <c r="BH117" s="113">
        <f t="shared" si="91"/>
        <v>0</v>
      </c>
      <c r="BI117" s="113">
        <f t="shared" si="91"/>
        <v>0</v>
      </c>
      <c r="BJ117" s="113">
        <f t="shared" si="91"/>
        <v>0</v>
      </c>
      <c r="BK117" s="113">
        <f t="shared" si="91"/>
        <v>0</v>
      </c>
      <c r="BL117" s="113">
        <f t="shared" si="91"/>
        <v>0</v>
      </c>
      <c r="BM117" s="113">
        <f t="shared" si="91"/>
        <v>0</v>
      </c>
      <c r="BN117" s="113">
        <f t="shared" si="91"/>
        <v>34637.49</v>
      </c>
      <c r="BO117" s="113">
        <f t="shared" si="91"/>
        <v>0</v>
      </c>
      <c r="BP117" s="113">
        <f t="shared" si="91"/>
        <v>34637.49</v>
      </c>
      <c r="BQ117" s="113">
        <f t="shared" si="91"/>
        <v>6794.51</v>
      </c>
      <c r="BR117" s="113">
        <f t="shared" si="91"/>
        <v>0</v>
      </c>
      <c r="BS117" s="113">
        <f t="shared" si="91"/>
        <v>6794.51</v>
      </c>
      <c r="BT117" s="113">
        <f t="shared" si="91"/>
        <v>210853.11</v>
      </c>
      <c r="BU117" s="113">
        <f t="shared" si="91"/>
        <v>34637.49</v>
      </c>
      <c r="BV117" s="113">
        <f t="shared" si="91"/>
        <v>6794.51</v>
      </c>
      <c r="BW117" s="113">
        <f t="shared" si="91"/>
        <v>245490.59999999998</v>
      </c>
      <c r="BX117" s="1"/>
      <c r="BY117" s="1"/>
      <c r="BZ117" s="1"/>
      <c r="CA117" s="1"/>
      <c r="CB117" s="1"/>
      <c r="CC117" s="1"/>
      <c r="CD117" s="1"/>
      <c r="CE117" s="1"/>
      <c r="CF117" s="1"/>
      <c r="CG117" s="1"/>
    </row>
    <row r="118" spans="1:85" ht="15.75" customHeight="1">
      <c r="A118" s="116" t="s">
        <v>356</v>
      </c>
      <c r="B118" s="416"/>
      <c r="C118" s="394" t="s">
        <v>117</v>
      </c>
      <c r="D118" s="44" t="s">
        <v>118</v>
      </c>
      <c r="E118" s="45">
        <f>5000</f>
        <v>5000</v>
      </c>
      <c r="F118" s="46"/>
      <c r="G118" s="46">
        <f t="shared" ref="G118:G137" si="92">E118-F118</f>
        <v>5000</v>
      </c>
      <c r="H118" s="46"/>
      <c r="I118" s="47">
        <f t="shared" si="88"/>
        <v>1</v>
      </c>
      <c r="J118" s="47">
        <f t="shared" si="89"/>
        <v>0.64109799999999995</v>
      </c>
      <c r="K118" s="117">
        <f>2000+3000</f>
        <v>5000</v>
      </c>
      <c r="L118" s="54"/>
      <c r="M118" s="50"/>
      <c r="N118" s="50"/>
      <c r="O118" s="51">
        <f t="shared" ref="O118:O141" si="93">AA118+AD118+AG118+AJ118+AM118+AP118+AS118+AV118+AY118+BB118+BE118+BH118</f>
        <v>3205.49</v>
      </c>
      <c r="P118" s="51">
        <f t="shared" ref="P118:P141" si="94">AB118+AE118+AH118+AK118+AN118+AQ118+AT118+AW118+AZ118+BC118+BF118+BI118</f>
        <v>0</v>
      </c>
      <c r="Q118" s="51">
        <f t="shared" ref="Q118:Q141" si="95">AC118+AF118+AI118+AL118+AO118+AR118+AU118+AX118+BA118+BD118+BG118+BJ118</f>
        <v>0</v>
      </c>
      <c r="R118" s="52">
        <f t="shared" ref="R118:R141" si="96">IF(BK118=0,SUM(AA118+AD118+AG118+AJ118+AM118+AP118+AS118+AV118+AY118+BB118+BE118+BH118),BK118)</f>
        <v>3205.49</v>
      </c>
      <c r="S118" s="52">
        <f t="shared" ref="S118:S141" si="97">IF(BL118=0,SUM(AB118+AE118+AH118+AK118+AN118+AQ118+AT118+AW118+AZ118+BC118+BF118+BI118),BL118)</f>
        <v>0</v>
      </c>
      <c r="T118" s="52">
        <f t="shared" ref="T118:T141" si="98">IF(BM118=0,SUM(AC118+AF118+AI118+AL118+AO118+AR118+AU118+AX118+BA118+BD118+BG118+BJ118),BM118)</f>
        <v>0</v>
      </c>
      <c r="U118" s="368">
        <f t="shared" ref="U118:U141" si="99">K118-O118</f>
        <v>1794.5100000000002</v>
      </c>
      <c r="V118" s="369">
        <f t="shared" ref="V118:V141" si="100">L118-P118-M118</f>
        <v>0</v>
      </c>
      <c r="W118" s="369">
        <f t="shared" ref="W118:W141" si="101">N118-Q118</f>
        <v>0</v>
      </c>
      <c r="X118" s="53">
        <f t="shared" si="51"/>
        <v>0.64109799999999995</v>
      </c>
      <c r="Y118" s="53">
        <f t="shared" si="52"/>
        <v>0</v>
      </c>
      <c r="Z118" s="53">
        <f t="shared" si="53"/>
        <v>0</v>
      </c>
      <c r="AA118" s="54"/>
      <c r="AB118" s="54"/>
      <c r="AC118" s="54"/>
      <c r="AD118" s="54"/>
      <c r="AE118" s="55"/>
      <c r="AF118" s="55"/>
      <c r="AG118" s="55"/>
      <c r="AH118" s="55"/>
      <c r="AI118" s="54"/>
      <c r="AJ118" s="54"/>
      <c r="AK118" s="54"/>
      <c r="AL118" s="54"/>
      <c r="AM118" s="54">
        <f>156.64+312.82</f>
        <v>469.46</v>
      </c>
      <c r="AN118" s="54"/>
      <c r="AO118" s="54"/>
      <c r="AP118" s="48">
        <v>67.680000000000007</v>
      </c>
      <c r="AQ118" s="54"/>
      <c r="AR118" s="54"/>
      <c r="AS118" s="54">
        <f>129.63+62.41+129.63+129.63+62.41</f>
        <v>513.70999999999992</v>
      </c>
      <c r="AT118" s="54"/>
      <c r="AU118" s="54"/>
      <c r="AV118" s="54">
        <f>555.35+116.28+70.01+70.01+70.01+629.64+129.63</f>
        <v>1640.9299999999998</v>
      </c>
      <c r="AW118" s="49"/>
      <c r="AX118" s="49"/>
      <c r="AY118" s="54">
        <f>62.41+62.41+129.63+129.63+129.63</f>
        <v>513.71</v>
      </c>
      <c r="AZ118" s="49"/>
      <c r="BA118" s="49"/>
      <c r="BB118" s="54"/>
      <c r="BC118" s="49"/>
      <c r="BD118" s="49"/>
      <c r="BE118" s="54"/>
      <c r="BF118" s="49"/>
      <c r="BG118" s="49"/>
      <c r="BH118" s="54"/>
      <c r="BI118" s="49"/>
      <c r="BJ118" s="49"/>
      <c r="BK118" s="54"/>
      <c r="BL118" s="49"/>
      <c r="BM118" s="49"/>
      <c r="BN118" s="54">
        <f t="shared" ref="BN118" si="102">IF(O118-BK118&gt;0,O118-BK118,0)</f>
        <v>3205.49</v>
      </c>
      <c r="BO118" s="58">
        <f t="shared" ref="BO118" si="103">IF(Q118-BM118&gt;0,Q118-BM118,0)</f>
        <v>0</v>
      </c>
      <c r="BP118" s="54">
        <f t="shared" ref="BP118" si="104">IF(BN118+BO118&gt;0,BN118+BO118,0)</f>
        <v>3205.49</v>
      </c>
      <c r="BQ118" s="54">
        <f t="shared" ref="BQ118" si="105">IF(U118=0,0,U118)</f>
        <v>1794.5100000000002</v>
      </c>
      <c r="BR118" s="54">
        <f t="shared" ref="BR118" si="106">IF(W118=0,0,W118)</f>
        <v>0</v>
      </c>
      <c r="BS118" s="54">
        <f t="shared" ref="BS118" si="107">IF(BQ118+BR118&gt;0,BQ118+BR118,0)</f>
        <v>1794.5100000000002</v>
      </c>
      <c r="BT118" s="54">
        <f t="shared" ref="BT118" si="108">IF(V118&gt;0,V118,0)</f>
        <v>0</v>
      </c>
      <c r="BU118" s="54">
        <f t="shared" ref="BU118" si="109">IF(BP118=0,0,BP118)</f>
        <v>3205.49</v>
      </c>
      <c r="BV118" s="54">
        <f t="shared" ref="BV118" si="110">IF(BS118=0,0,BS118)</f>
        <v>1794.5100000000002</v>
      </c>
      <c r="BW118" s="54">
        <f t="shared" ref="BW118" si="111">IF(BP118+BT118&gt;0,BP118+BT118,0)</f>
        <v>3205.49</v>
      </c>
      <c r="BX118" s="1"/>
      <c r="BY118" s="1"/>
      <c r="BZ118" s="1"/>
      <c r="CA118" s="1"/>
      <c r="CB118" s="1"/>
      <c r="CC118" s="1"/>
      <c r="CD118" s="1"/>
      <c r="CE118" s="1"/>
      <c r="CF118" s="1"/>
      <c r="CG118" s="1"/>
    </row>
    <row r="119" spans="1:85" ht="15.75" customHeight="1">
      <c r="A119" s="56"/>
      <c r="B119" s="426"/>
      <c r="C119" s="394" t="s">
        <v>122</v>
      </c>
      <c r="D119" s="44" t="s">
        <v>123</v>
      </c>
      <c r="E119" s="45">
        <v>3000</v>
      </c>
      <c r="F119" s="57">
        <v>0</v>
      </c>
      <c r="G119" s="46">
        <f t="shared" si="92"/>
        <v>3000</v>
      </c>
      <c r="H119" s="46"/>
      <c r="I119" s="47">
        <f t="shared" si="88"/>
        <v>0</v>
      </c>
      <c r="J119" s="47">
        <f t="shared" si="89"/>
        <v>0</v>
      </c>
      <c r="K119" s="54"/>
      <c r="L119" s="54"/>
      <c r="M119" s="50"/>
      <c r="N119" s="50"/>
      <c r="O119" s="51">
        <f t="shared" si="93"/>
        <v>0</v>
      </c>
      <c r="P119" s="51">
        <f t="shared" si="94"/>
        <v>0</v>
      </c>
      <c r="Q119" s="51">
        <f t="shared" si="95"/>
        <v>0</v>
      </c>
      <c r="R119" s="52">
        <f t="shared" si="96"/>
        <v>0</v>
      </c>
      <c r="S119" s="52">
        <f t="shared" si="97"/>
        <v>0</v>
      </c>
      <c r="T119" s="52">
        <f t="shared" si="98"/>
        <v>0</v>
      </c>
      <c r="U119" s="369">
        <f t="shared" si="99"/>
        <v>0</v>
      </c>
      <c r="V119" s="369">
        <f t="shared" si="100"/>
        <v>0</v>
      </c>
      <c r="W119" s="369">
        <f t="shared" si="101"/>
        <v>0</v>
      </c>
      <c r="X119" s="53">
        <f t="shared" si="51"/>
        <v>0</v>
      </c>
      <c r="Y119" s="53">
        <f t="shared" si="52"/>
        <v>0</v>
      </c>
      <c r="Z119" s="53">
        <f t="shared" si="53"/>
        <v>0</v>
      </c>
      <c r="AA119" s="54"/>
      <c r="AB119" s="54"/>
      <c r="AC119" s="54"/>
      <c r="AD119" s="54"/>
      <c r="AE119" s="55"/>
      <c r="AF119" s="55"/>
      <c r="AG119" s="55"/>
      <c r="AH119" s="55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49"/>
      <c r="AX119" s="49"/>
      <c r="AY119" s="49"/>
      <c r="AZ119" s="49"/>
      <c r="BA119" s="49"/>
      <c r="BB119" s="49"/>
      <c r="BC119" s="49"/>
      <c r="BD119" s="49"/>
      <c r="BE119" s="54"/>
      <c r="BF119" s="49"/>
      <c r="BG119" s="49"/>
      <c r="BH119" s="49"/>
      <c r="BI119" s="49"/>
      <c r="BJ119" s="49"/>
      <c r="BK119" s="49"/>
      <c r="BL119" s="49"/>
      <c r="BM119" s="49"/>
      <c r="BN119" s="54">
        <f t="shared" ref="BN119:BN137" si="112">IF(O119-BK119&gt;0,O119-BK119,0)</f>
        <v>0</v>
      </c>
      <c r="BO119" s="58">
        <f t="shared" ref="BO119:BO137" si="113">IF(Q119-BM119&gt;0,Q119-BM119,0)</f>
        <v>0</v>
      </c>
      <c r="BP119" s="54">
        <f t="shared" ref="BP119:BP137" si="114">IF(BN119+BO119&gt;0,BN119+BO119,0)</f>
        <v>0</v>
      </c>
      <c r="BQ119" s="54">
        <f t="shared" ref="BQ119:BQ137" si="115">IF(U119=0,0,U119)</f>
        <v>0</v>
      </c>
      <c r="BR119" s="54">
        <f t="shared" ref="BR119:BR137" si="116">IF(W119=0,0,W119)</f>
        <v>0</v>
      </c>
      <c r="BS119" s="54">
        <f t="shared" ref="BS119:BS137" si="117">IF(BQ119+BR119&gt;0,BQ119+BR119,0)</f>
        <v>0</v>
      </c>
      <c r="BT119" s="54">
        <f t="shared" ref="BT119:BT137" si="118">IF(V119&gt;0,V119,0)</f>
        <v>0</v>
      </c>
      <c r="BU119" s="54">
        <f t="shared" ref="BU119:BU137" si="119">IF(BP119=0,0,BP119)</f>
        <v>0</v>
      </c>
      <c r="BV119" s="54">
        <f t="shared" ref="BV119:BV137" si="120">IF(BS119=0,0,BS119)</f>
        <v>0</v>
      </c>
      <c r="BW119" s="54">
        <f t="shared" ref="BW119:BW137" si="121">IF(BP119+BT119&gt;0,BP119+BT119,0)</f>
        <v>0</v>
      </c>
      <c r="BX119" s="1"/>
      <c r="BY119" s="1"/>
      <c r="BZ119" s="1"/>
      <c r="CA119" s="1"/>
      <c r="CB119" s="1"/>
      <c r="CC119" s="1"/>
      <c r="CD119" s="1"/>
      <c r="CE119" s="1"/>
      <c r="CF119" s="1"/>
      <c r="CG119" s="1"/>
    </row>
    <row r="120" spans="1:85" ht="15.75" customHeight="1">
      <c r="A120" s="56"/>
      <c r="B120" s="426"/>
      <c r="C120" s="394" t="s">
        <v>357</v>
      </c>
      <c r="D120" s="44" t="s">
        <v>358</v>
      </c>
      <c r="E120" s="45">
        <v>15000</v>
      </c>
      <c r="F120" s="46"/>
      <c r="G120" s="46">
        <f t="shared" si="92"/>
        <v>15000</v>
      </c>
      <c r="H120" s="46"/>
      <c r="I120" s="47">
        <f t="shared" si="88"/>
        <v>0</v>
      </c>
      <c r="J120" s="47">
        <f t="shared" si="89"/>
        <v>0</v>
      </c>
      <c r="K120" s="54"/>
      <c r="L120" s="54"/>
      <c r="M120" s="50"/>
      <c r="N120" s="50"/>
      <c r="O120" s="51">
        <f t="shared" si="93"/>
        <v>0</v>
      </c>
      <c r="P120" s="51">
        <f t="shared" si="94"/>
        <v>0</v>
      </c>
      <c r="Q120" s="51">
        <f t="shared" si="95"/>
        <v>0</v>
      </c>
      <c r="R120" s="52">
        <f t="shared" si="96"/>
        <v>0</v>
      </c>
      <c r="S120" s="52">
        <f t="shared" si="97"/>
        <v>0</v>
      </c>
      <c r="T120" s="52">
        <f t="shared" si="98"/>
        <v>0</v>
      </c>
      <c r="U120" s="369">
        <f t="shared" si="99"/>
        <v>0</v>
      </c>
      <c r="V120" s="369">
        <f t="shared" si="100"/>
        <v>0</v>
      </c>
      <c r="W120" s="369">
        <f t="shared" si="101"/>
        <v>0</v>
      </c>
      <c r="X120" s="53">
        <f t="shared" si="51"/>
        <v>0</v>
      </c>
      <c r="Y120" s="53">
        <f t="shared" si="52"/>
        <v>0</v>
      </c>
      <c r="Z120" s="53">
        <f t="shared" si="53"/>
        <v>0</v>
      </c>
      <c r="AA120" s="54"/>
      <c r="AB120" s="54"/>
      <c r="AC120" s="54"/>
      <c r="AD120" s="54"/>
      <c r="AE120" s="55"/>
      <c r="AF120" s="55"/>
      <c r="AG120" s="55"/>
      <c r="AH120" s="55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49"/>
      <c r="AX120" s="49"/>
      <c r="AY120" s="49"/>
      <c r="AZ120" s="49"/>
      <c r="BA120" s="49"/>
      <c r="BB120" s="49"/>
      <c r="BC120" s="49"/>
      <c r="BD120" s="49"/>
      <c r="BE120" s="54"/>
      <c r="BF120" s="49"/>
      <c r="BG120" s="49"/>
      <c r="BH120" s="49"/>
      <c r="BI120" s="49"/>
      <c r="BJ120" s="49"/>
      <c r="BK120" s="49"/>
      <c r="BL120" s="49"/>
      <c r="BM120" s="49"/>
      <c r="BN120" s="54">
        <f t="shared" si="112"/>
        <v>0</v>
      </c>
      <c r="BO120" s="58">
        <f t="shared" si="113"/>
        <v>0</v>
      </c>
      <c r="BP120" s="54">
        <f t="shared" si="114"/>
        <v>0</v>
      </c>
      <c r="BQ120" s="54">
        <f t="shared" si="115"/>
        <v>0</v>
      </c>
      <c r="BR120" s="54">
        <f t="shared" si="116"/>
        <v>0</v>
      </c>
      <c r="BS120" s="54">
        <f t="shared" si="117"/>
        <v>0</v>
      </c>
      <c r="BT120" s="54">
        <f t="shared" si="118"/>
        <v>0</v>
      </c>
      <c r="BU120" s="54">
        <f t="shared" si="119"/>
        <v>0</v>
      </c>
      <c r="BV120" s="54">
        <f t="shared" si="120"/>
        <v>0</v>
      </c>
      <c r="BW120" s="54">
        <f t="shared" si="121"/>
        <v>0</v>
      </c>
      <c r="BX120" s="1"/>
      <c r="BY120" s="1"/>
      <c r="BZ120" s="1"/>
      <c r="CA120" s="1"/>
      <c r="CB120" s="1"/>
      <c r="CC120" s="1"/>
      <c r="CD120" s="1"/>
      <c r="CE120" s="1"/>
      <c r="CF120" s="1"/>
      <c r="CG120" s="1"/>
    </row>
    <row r="121" spans="1:85" ht="15.75" customHeight="1">
      <c r="A121" s="118"/>
      <c r="B121" s="435"/>
      <c r="C121" s="394" t="s">
        <v>290</v>
      </c>
      <c r="D121" s="44" t="s">
        <v>291</v>
      </c>
      <c r="E121" s="45">
        <f>5000</f>
        <v>5000</v>
      </c>
      <c r="F121" s="46"/>
      <c r="G121" s="46">
        <f t="shared" si="92"/>
        <v>5000</v>
      </c>
      <c r="H121" s="46"/>
      <c r="I121" s="47">
        <f t="shared" si="88"/>
        <v>0</v>
      </c>
      <c r="J121" s="47">
        <f t="shared" si="89"/>
        <v>0</v>
      </c>
      <c r="K121" s="119"/>
      <c r="L121" s="120"/>
      <c r="M121" s="120"/>
      <c r="N121" s="119"/>
      <c r="O121" s="51">
        <f t="shared" si="93"/>
        <v>0</v>
      </c>
      <c r="P121" s="51">
        <f t="shared" si="94"/>
        <v>0</v>
      </c>
      <c r="Q121" s="51">
        <f t="shared" si="95"/>
        <v>0</v>
      </c>
      <c r="R121" s="52">
        <f t="shared" si="96"/>
        <v>0</v>
      </c>
      <c r="S121" s="52">
        <f t="shared" si="97"/>
        <v>0</v>
      </c>
      <c r="T121" s="52">
        <f t="shared" si="98"/>
        <v>0</v>
      </c>
      <c r="U121" s="369">
        <f t="shared" si="99"/>
        <v>0</v>
      </c>
      <c r="V121" s="369">
        <f t="shared" si="100"/>
        <v>0</v>
      </c>
      <c r="W121" s="369">
        <f t="shared" si="101"/>
        <v>0</v>
      </c>
      <c r="X121" s="53">
        <f t="shared" si="51"/>
        <v>0</v>
      </c>
      <c r="Y121" s="53">
        <f t="shared" si="52"/>
        <v>0</v>
      </c>
      <c r="Z121" s="53">
        <f t="shared" si="53"/>
        <v>0</v>
      </c>
      <c r="AA121" s="119"/>
      <c r="AB121" s="119"/>
      <c r="AC121" s="119"/>
      <c r="AD121" s="119"/>
      <c r="AE121" s="119"/>
      <c r="AF121" s="119"/>
      <c r="AG121" s="119"/>
      <c r="AH121" s="119"/>
      <c r="AI121" s="119"/>
      <c r="AJ121" s="119"/>
      <c r="AK121" s="119"/>
      <c r="AL121" s="119"/>
      <c r="AM121" s="119"/>
      <c r="AN121" s="119"/>
      <c r="AO121" s="119"/>
      <c r="AP121" s="119"/>
      <c r="AQ121" s="119"/>
      <c r="AR121" s="119"/>
      <c r="AS121" s="119"/>
      <c r="AT121" s="119"/>
      <c r="AU121" s="119"/>
      <c r="AV121" s="119"/>
      <c r="AW121" s="119"/>
      <c r="AX121" s="119"/>
      <c r="AY121" s="119"/>
      <c r="AZ121" s="119"/>
      <c r="BA121" s="119"/>
      <c r="BB121" s="119"/>
      <c r="BC121" s="119"/>
      <c r="BD121" s="119"/>
      <c r="BE121" s="119"/>
      <c r="BF121" s="119"/>
      <c r="BG121" s="119"/>
      <c r="BH121" s="119"/>
      <c r="BI121" s="119"/>
      <c r="BJ121" s="119"/>
      <c r="BK121" s="119"/>
      <c r="BL121" s="119"/>
      <c r="BM121" s="119"/>
      <c r="BN121" s="54">
        <f t="shared" si="112"/>
        <v>0</v>
      </c>
      <c r="BO121" s="58">
        <f t="shared" si="113"/>
        <v>0</v>
      </c>
      <c r="BP121" s="54">
        <f t="shared" si="114"/>
        <v>0</v>
      </c>
      <c r="BQ121" s="54">
        <f t="shared" si="115"/>
        <v>0</v>
      </c>
      <c r="BR121" s="54">
        <f t="shared" si="116"/>
        <v>0</v>
      </c>
      <c r="BS121" s="54">
        <f t="shared" si="117"/>
        <v>0</v>
      </c>
      <c r="BT121" s="54">
        <f t="shared" si="118"/>
        <v>0</v>
      </c>
      <c r="BU121" s="54">
        <f t="shared" si="119"/>
        <v>0</v>
      </c>
      <c r="BV121" s="54">
        <f t="shared" si="120"/>
        <v>0</v>
      </c>
      <c r="BW121" s="54">
        <f t="shared" si="121"/>
        <v>0</v>
      </c>
      <c r="BX121" s="1"/>
      <c r="BY121" s="1"/>
      <c r="BZ121" s="1"/>
      <c r="CA121" s="1"/>
      <c r="CB121" s="1"/>
      <c r="CC121" s="1"/>
      <c r="CD121" s="1"/>
      <c r="CE121" s="1"/>
      <c r="CF121" s="1"/>
      <c r="CG121" s="1"/>
    </row>
    <row r="122" spans="1:85" ht="15.75" customHeight="1">
      <c r="A122" s="121" t="s">
        <v>359</v>
      </c>
      <c r="B122" s="435"/>
      <c r="C122" s="394" t="s">
        <v>360</v>
      </c>
      <c r="D122" s="122" t="s">
        <v>361</v>
      </c>
      <c r="E122" s="45"/>
      <c r="F122" s="46"/>
      <c r="G122" s="46">
        <f t="shared" si="92"/>
        <v>0</v>
      </c>
      <c r="H122" s="46"/>
      <c r="I122" s="47">
        <f t="shared" si="88"/>
        <v>0</v>
      </c>
      <c r="J122" s="47">
        <f t="shared" si="89"/>
        <v>0</v>
      </c>
      <c r="K122" s="123">
        <v>11932</v>
      </c>
      <c r="L122" s="120"/>
      <c r="M122" s="120"/>
      <c r="N122" s="119"/>
      <c r="O122" s="51">
        <f t="shared" si="93"/>
        <v>11932</v>
      </c>
      <c r="P122" s="51">
        <f t="shared" si="94"/>
        <v>0</v>
      </c>
      <c r="Q122" s="51">
        <f t="shared" si="95"/>
        <v>0</v>
      </c>
      <c r="R122" s="52">
        <f t="shared" si="96"/>
        <v>11932</v>
      </c>
      <c r="S122" s="52">
        <f t="shared" si="97"/>
        <v>0</v>
      </c>
      <c r="T122" s="52">
        <f t="shared" si="98"/>
        <v>0</v>
      </c>
      <c r="U122" s="368">
        <f t="shared" si="99"/>
        <v>0</v>
      </c>
      <c r="V122" s="369">
        <f t="shared" si="100"/>
        <v>0</v>
      </c>
      <c r="W122" s="369">
        <f t="shared" si="101"/>
        <v>0</v>
      </c>
      <c r="X122" s="53">
        <f t="shared" si="51"/>
        <v>1</v>
      </c>
      <c r="Y122" s="53">
        <f t="shared" si="52"/>
        <v>0</v>
      </c>
      <c r="Z122" s="53">
        <f t="shared" si="53"/>
        <v>0</v>
      </c>
      <c r="AA122" s="119"/>
      <c r="AB122" s="119"/>
      <c r="AC122" s="119"/>
      <c r="AD122" s="119"/>
      <c r="AE122" s="119"/>
      <c r="AF122" s="119"/>
      <c r="AG122" s="119"/>
      <c r="AH122" s="119"/>
      <c r="AI122" s="119"/>
      <c r="AJ122" s="119"/>
      <c r="AK122" s="119"/>
      <c r="AL122" s="119"/>
      <c r="AM122" s="119"/>
      <c r="AN122" s="119"/>
      <c r="AO122" s="119"/>
      <c r="AP122" s="119"/>
      <c r="AQ122" s="119"/>
      <c r="AR122" s="119"/>
      <c r="AS122" s="119"/>
      <c r="AT122" s="119"/>
      <c r="AU122" s="119"/>
      <c r="AV122" s="124">
        <v>11932</v>
      </c>
      <c r="AW122" s="119"/>
      <c r="AX122" s="119"/>
      <c r="AY122" s="119"/>
      <c r="AZ122" s="119"/>
      <c r="BA122" s="119"/>
      <c r="BB122" s="119"/>
      <c r="BC122" s="119"/>
      <c r="BD122" s="119"/>
      <c r="BE122" s="119"/>
      <c r="BF122" s="119"/>
      <c r="BG122" s="119"/>
      <c r="BH122" s="119"/>
      <c r="BI122" s="119"/>
      <c r="BJ122" s="119"/>
      <c r="BK122" s="119"/>
      <c r="BL122" s="119"/>
      <c r="BM122" s="119"/>
      <c r="BN122" s="54">
        <f t="shared" si="112"/>
        <v>11932</v>
      </c>
      <c r="BO122" s="58">
        <f t="shared" si="113"/>
        <v>0</v>
      </c>
      <c r="BP122" s="54">
        <f t="shared" si="114"/>
        <v>11932</v>
      </c>
      <c r="BQ122" s="54">
        <f t="shared" si="115"/>
        <v>0</v>
      </c>
      <c r="BR122" s="54">
        <f t="shared" si="116"/>
        <v>0</v>
      </c>
      <c r="BS122" s="54">
        <f t="shared" si="117"/>
        <v>0</v>
      </c>
      <c r="BT122" s="54">
        <f t="shared" si="118"/>
        <v>0</v>
      </c>
      <c r="BU122" s="54">
        <f t="shared" si="119"/>
        <v>11932</v>
      </c>
      <c r="BV122" s="54">
        <f t="shared" si="120"/>
        <v>0</v>
      </c>
      <c r="BW122" s="54">
        <f t="shared" si="121"/>
        <v>11932</v>
      </c>
      <c r="BX122" s="1"/>
      <c r="BY122" s="1"/>
      <c r="BZ122" s="1"/>
      <c r="CA122" s="1"/>
      <c r="CB122" s="1"/>
      <c r="CC122" s="1"/>
      <c r="CD122" s="1"/>
      <c r="CE122" s="1"/>
      <c r="CF122" s="1"/>
      <c r="CG122" s="1"/>
    </row>
    <row r="123" spans="1:85" ht="15.75" customHeight="1">
      <c r="A123" s="121"/>
      <c r="B123" s="435"/>
      <c r="C123" s="394" t="s">
        <v>360</v>
      </c>
      <c r="D123" s="125" t="s">
        <v>362</v>
      </c>
      <c r="E123" s="45"/>
      <c r="F123" s="46"/>
      <c r="G123" s="46">
        <f t="shared" si="92"/>
        <v>0</v>
      </c>
      <c r="H123" s="46">
        <v>100000</v>
      </c>
      <c r="I123" s="47">
        <f t="shared" si="88"/>
        <v>0</v>
      </c>
      <c r="J123" s="47">
        <f t="shared" si="89"/>
        <v>0</v>
      </c>
      <c r="K123" s="119"/>
      <c r="L123" s="120"/>
      <c r="M123" s="120"/>
      <c r="N123" s="119"/>
      <c r="O123" s="51">
        <f t="shared" si="93"/>
        <v>0</v>
      </c>
      <c r="P123" s="51">
        <f t="shared" si="94"/>
        <v>0</v>
      </c>
      <c r="Q123" s="51">
        <f t="shared" si="95"/>
        <v>0</v>
      </c>
      <c r="R123" s="52">
        <f t="shared" si="96"/>
        <v>0</v>
      </c>
      <c r="S123" s="52">
        <f t="shared" si="97"/>
        <v>0</v>
      </c>
      <c r="T123" s="52">
        <f t="shared" si="98"/>
        <v>0</v>
      </c>
      <c r="U123" s="369">
        <f t="shared" si="99"/>
        <v>0</v>
      </c>
      <c r="V123" s="369">
        <f t="shared" si="100"/>
        <v>0</v>
      </c>
      <c r="W123" s="369">
        <f t="shared" si="101"/>
        <v>0</v>
      </c>
      <c r="X123" s="53">
        <f t="shared" si="51"/>
        <v>0</v>
      </c>
      <c r="Y123" s="53">
        <f t="shared" si="52"/>
        <v>0</v>
      </c>
      <c r="Z123" s="53">
        <f t="shared" si="53"/>
        <v>0</v>
      </c>
      <c r="AA123" s="119"/>
      <c r="AB123" s="119"/>
      <c r="AC123" s="119"/>
      <c r="AD123" s="119"/>
      <c r="AE123" s="119"/>
      <c r="AF123" s="119"/>
      <c r="AG123" s="119"/>
      <c r="AH123" s="119"/>
      <c r="AI123" s="119"/>
      <c r="AJ123" s="119"/>
      <c r="AK123" s="119"/>
      <c r="AL123" s="119"/>
      <c r="AM123" s="119"/>
      <c r="AN123" s="119"/>
      <c r="AO123" s="119"/>
      <c r="AP123" s="119"/>
      <c r="AQ123" s="119"/>
      <c r="AR123" s="119"/>
      <c r="AS123" s="119"/>
      <c r="AT123" s="119"/>
      <c r="AU123" s="119"/>
      <c r="AV123" s="119"/>
      <c r="AW123" s="119"/>
      <c r="AX123" s="119"/>
      <c r="AY123" s="119"/>
      <c r="AZ123" s="119"/>
      <c r="BA123" s="119"/>
      <c r="BB123" s="119"/>
      <c r="BC123" s="119"/>
      <c r="BD123" s="119"/>
      <c r="BE123" s="119"/>
      <c r="BF123" s="119"/>
      <c r="BG123" s="119"/>
      <c r="BH123" s="119"/>
      <c r="BI123" s="119"/>
      <c r="BJ123" s="119"/>
      <c r="BK123" s="119"/>
      <c r="BL123" s="119"/>
      <c r="BM123" s="119"/>
      <c r="BN123" s="54">
        <f t="shared" si="112"/>
        <v>0</v>
      </c>
      <c r="BO123" s="58">
        <f t="shared" si="113"/>
        <v>0</v>
      </c>
      <c r="BP123" s="54">
        <f t="shared" si="114"/>
        <v>0</v>
      </c>
      <c r="BQ123" s="54">
        <f t="shared" si="115"/>
        <v>0</v>
      </c>
      <c r="BR123" s="54">
        <f t="shared" si="116"/>
        <v>0</v>
      </c>
      <c r="BS123" s="54">
        <f t="shared" si="117"/>
        <v>0</v>
      </c>
      <c r="BT123" s="54">
        <f t="shared" si="118"/>
        <v>0</v>
      </c>
      <c r="BU123" s="54">
        <f t="shared" si="119"/>
        <v>0</v>
      </c>
      <c r="BV123" s="54">
        <f t="shared" si="120"/>
        <v>0</v>
      </c>
      <c r="BW123" s="54">
        <f t="shared" si="121"/>
        <v>0</v>
      </c>
      <c r="BX123" s="1"/>
      <c r="BY123" s="1"/>
      <c r="BZ123" s="1"/>
      <c r="CA123" s="1"/>
      <c r="CB123" s="1"/>
      <c r="CC123" s="1"/>
      <c r="CD123" s="1"/>
      <c r="CE123" s="1"/>
      <c r="CF123" s="1"/>
      <c r="CG123" s="1"/>
    </row>
    <row r="124" spans="1:85" ht="15.75" customHeight="1">
      <c r="A124" s="126"/>
      <c r="B124" s="435"/>
      <c r="C124" s="394" t="s">
        <v>360</v>
      </c>
      <c r="D124" s="125" t="s">
        <v>363</v>
      </c>
      <c r="E124" s="45"/>
      <c r="F124" s="46"/>
      <c r="G124" s="46">
        <f t="shared" si="92"/>
        <v>0</v>
      </c>
      <c r="H124" s="46">
        <v>250000</v>
      </c>
      <c r="I124" s="47">
        <f t="shared" si="88"/>
        <v>0</v>
      </c>
      <c r="J124" s="47">
        <f t="shared" si="89"/>
        <v>0</v>
      </c>
      <c r="K124" s="119"/>
      <c r="L124" s="120"/>
      <c r="M124" s="120"/>
      <c r="N124" s="119"/>
      <c r="O124" s="51">
        <f t="shared" si="93"/>
        <v>0</v>
      </c>
      <c r="P124" s="51">
        <f t="shared" si="94"/>
        <v>0</v>
      </c>
      <c r="Q124" s="51">
        <f t="shared" si="95"/>
        <v>0</v>
      </c>
      <c r="R124" s="52">
        <f t="shared" si="96"/>
        <v>0</v>
      </c>
      <c r="S124" s="52">
        <f t="shared" si="97"/>
        <v>0</v>
      </c>
      <c r="T124" s="52">
        <f t="shared" si="98"/>
        <v>0</v>
      </c>
      <c r="U124" s="369">
        <f t="shared" si="99"/>
        <v>0</v>
      </c>
      <c r="V124" s="369">
        <f t="shared" si="100"/>
        <v>0</v>
      </c>
      <c r="W124" s="369">
        <f t="shared" si="101"/>
        <v>0</v>
      </c>
      <c r="X124" s="53">
        <f t="shared" si="51"/>
        <v>0</v>
      </c>
      <c r="Y124" s="53">
        <f t="shared" si="52"/>
        <v>0</v>
      </c>
      <c r="Z124" s="53">
        <f t="shared" si="53"/>
        <v>0</v>
      </c>
      <c r="AA124" s="119"/>
      <c r="AB124" s="119"/>
      <c r="AC124" s="119"/>
      <c r="AD124" s="119"/>
      <c r="AE124" s="119"/>
      <c r="AF124" s="119"/>
      <c r="AG124" s="119"/>
      <c r="AH124" s="119"/>
      <c r="AI124" s="119"/>
      <c r="AJ124" s="119"/>
      <c r="AK124" s="119"/>
      <c r="AL124" s="119"/>
      <c r="AM124" s="119"/>
      <c r="AN124" s="119"/>
      <c r="AO124" s="119"/>
      <c r="AP124" s="119"/>
      <c r="AQ124" s="119"/>
      <c r="AR124" s="119"/>
      <c r="AS124" s="119"/>
      <c r="AT124" s="119"/>
      <c r="AU124" s="119"/>
      <c r="AV124" s="119"/>
      <c r="AW124" s="119"/>
      <c r="AX124" s="119"/>
      <c r="AY124" s="119"/>
      <c r="AZ124" s="119"/>
      <c r="BA124" s="119"/>
      <c r="BB124" s="119"/>
      <c r="BC124" s="119"/>
      <c r="BD124" s="119"/>
      <c r="BE124" s="119"/>
      <c r="BF124" s="119"/>
      <c r="BG124" s="119"/>
      <c r="BH124" s="119"/>
      <c r="BI124" s="119"/>
      <c r="BJ124" s="119"/>
      <c r="BK124" s="119"/>
      <c r="BL124" s="119"/>
      <c r="BM124" s="119"/>
      <c r="BN124" s="54">
        <f t="shared" si="112"/>
        <v>0</v>
      </c>
      <c r="BO124" s="58">
        <f t="shared" si="113"/>
        <v>0</v>
      </c>
      <c r="BP124" s="54">
        <f t="shared" si="114"/>
        <v>0</v>
      </c>
      <c r="BQ124" s="54">
        <f t="shared" si="115"/>
        <v>0</v>
      </c>
      <c r="BR124" s="54">
        <f t="shared" si="116"/>
        <v>0</v>
      </c>
      <c r="BS124" s="54">
        <f t="shared" si="117"/>
        <v>0</v>
      </c>
      <c r="BT124" s="54">
        <f t="shared" si="118"/>
        <v>0</v>
      </c>
      <c r="BU124" s="54">
        <f t="shared" si="119"/>
        <v>0</v>
      </c>
      <c r="BV124" s="54">
        <f t="shared" si="120"/>
        <v>0</v>
      </c>
      <c r="BW124" s="54">
        <f t="shared" si="121"/>
        <v>0</v>
      </c>
      <c r="BX124" s="1"/>
      <c r="BY124" s="1"/>
      <c r="BZ124" s="1"/>
      <c r="CA124" s="1"/>
      <c r="CB124" s="1"/>
      <c r="CC124" s="1"/>
      <c r="CD124" s="1"/>
      <c r="CE124" s="1"/>
      <c r="CF124" s="1"/>
      <c r="CG124" s="1"/>
    </row>
    <row r="125" spans="1:85" ht="15.75" customHeight="1">
      <c r="A125" s="83"/>
      <c r="B125" s="436" t="s">
        <v>364</v>
      </c>
      <c r="C125" s="394" t="s">
        <v>365</v>
      </c>
      <c r="D125" s="125" t="s">
        <v>366</v>
      </c>
      <c r="E125" s="45"/>
      <c r="F125" s="46"/>
      <c r="G125" s="46">
        <f t="shared" si="92"/>
        <v>0</v>
      </c>
      <c r="H125" s="127"/>
      <c r="I125" s="47">
        <f t="shared" si="88"/>
        <v>0</v>
      </c>
      <c r="J125" s="47">
        <f t="shared" si="89"/>
        <v>0</v>
      </c>
      <c r="K125" s="119"/>
      <c r="L125" s="120">
        <v>10048</v>
      </c>
      <c r="M125" s="120"/>
      <c r="N125" s="119"/>
      <c r="O125" s="128">
        <f t="shared" si="93"/>
        <v>0</v>
      </c>
      <c r="P125" s="128">
        <f t="shared" si="94"/>
        <v>10048</v>
      </c>
      <c r="Q125" s="128">
        <f t="shared" si="95"/>
        <v>0</v>
      </c>
      <c r="R125" s="52">
        <f t="shared" si="96"/>
        <v>0</v>
      </c>
      <c r="S125" s="52">
        <f t="shared" si="97"/>
        <v>10048</v>
      </c>
      <c r="T125" s="52">
        <f t="shared" si="98"/>
        <v>0</v>
      </c>
      <c r="U125" s="373">
        <f t="shared" si="99"/>
        <v>0</v>
      </c>
      <c r="V125" s="369">
        <f t="shared" si="100"/>
        <v>0</v>
      </c>
      <c r="W125" s="373">
        <f t="shared" si="101"/>
        <v>0</v>
      </c>
      <c r="X125" s="53">
        <f t="shared" si="51"/>
        <v>0</v>
      </c>
      <c r="Y125" s="53">
        <f t="shared" si="52"/>
        <v>1</v>
      </c>
      <c r="Z125" s="53">
        <f t="shared" si="53"/>
        <v>0</v>
      </c>
      <c r="AA125" s="119"/>
      <c r="AB125" s="123">
        <v>10048</v>
      </c>
      <c r="AC125" s="119"/>
      <c r="AD125" s="119"/>
      <c r="AE125" s="119"/>
      <c r="AF125" s="119"/>
      <c r="AG125" s="119"/>
      <c r="AH125" s="119"/>
      <c r="AI125" s="119"/>
      <c r="AJ125" s="119"/>
      <c r="AK125" s="119"/>
      <c r="AL125" s="119"/>
      <c r="AM125" s="119"/>
      <c r="AN125" s="119"/>
      <c r="AO125" s="119"/>
      <c r="AP125" s="119"/>
      <c r="AQ125" s="119"/>
      <c r="AR125" s="119"/>
      <c r="AS125" s="119"/>
      <c r="AT125" s="119"/>
      <c r="AU125" s="119"/>
      <c r="AV125" s="119"/>
      <c r="AW125" s="119"/>
      <c r="AX125" s="119"/>
      <c r="AY125" s="119"/>
      <c r="AZ125" s="119"/>
      <c r="BA125" s="119"/>
      <c r="BB125" s="119"/>
      <c r="BC125" s="119"/>
      <c r="BD125" s="119"/>
      <c r="BE125" s="119"/>
      <c r="BF125" s="119"/>
      <c r="BG125" s="119"/>
      <c r="BH125" s="119"/>
      <c r="BI125" s="119"/>
      <c r="BJ125" s="119"/>
      <c r="BK125" s="119"/>
      <c r="BL125" s="119"/>
      <c r="BM125" s="119"/>
      <c r="BN125" s="54">
        <f t="shared" si="112"/>
        <v>0</v>
      </c>
      <c r="BO125" s="58">
        <f t="shared" si="113"/>
        <v>0</v>
      </c>
      <c r="BP125" s="54">
        <f t="shared" si="114"/>
        <v>0</v>
      </c>
      <c r="BQ125" s="54">
        <f t="shared" si="115"/>
        <v>0</v>
      </c>
      <c r="BR125" s="54">
        <f t="shared" si="116"/>
        <v>0</v>
      </c>
      <c r="BS125" s="54">
        <f t="shared" si="117"/>
        <v>0</v>
      </c>
      <c r="BT125" s="54">
        <f t="shared" si="118"/>
        <v>0</v>
      </c>
      <c r="BU125" s="54">
        <f t="shared" si="119"/>
        <v>0</v>
      </c>
      <c r="BV125" s="54">
        <f t="shared" si="120"/>
        <v>0</v>
      </c>
      <c r="BW125" s="54">
        <f t="shared" si="121"/>
        <v>0</v>
      </c>
      <c r="BX125" s="1"/>
      <c r="BY125" s="1"/>
      <c r="BZ125" s="1"/>
      <c r="CA125" s="1"/>
      <c r="CB125" s="1"/>
      <c r="CC125" s="1"/>
      <c r="CD125" s="1"/>
      <c r="CE125" s="1"/>
      <c r="CF125" s="1"/>
      <c r="CG125" s="1"/>
    </row>
    <row r="126" spans="1:85" ht="15.75" customHeight="1">
      <c r="A126" s="83"/>
      <c r="B126" s="436" t="s">
        <v>367</v>
      </c>
      <c r="C126" s="394" t="s">
        <v>365</v>
      </c>
      <c r="D126" s="125" t="s">
        <v>368</v>
      </c>
      <c r="E126" s="45"/>
      <c r="F126" s="46"/>
      <c r="G126" s="46">
        <f t="shared" si="92"/>
        <v>0</v>
      </c>
      <c r="H126" s="127"/>
      <c r="I126" s="47">
        <f t="shared" si="88"/>
        <v>0</v>
      </c>
      <c r="J126" s="47">
        <f t="shared" si="89"/>
        <v>0</v>
      </c>
      <c r="K126" s="119"/>
      <c r="L126" s="120">
        <v>4512</v>
      </c>
      <c r="M126" s="120"/>
      <c r="N126" s="119"/>
      <c r="O126" s="128">
        <f t="shared" si="93"/>
        <v>0</v>
      </c>
      <c r="P126" s="128">
        <f t="shared" si="94"/>
        <v>4512</v>
      </c>
      <c r="Q126" s="128">
        <f t="shared" si="95"/>
        <v>0</v>
      </c>
      <c r="R126" s="52">
        <f t="shared" si="96"/>
        <v>0</v>
      </c>
      <c r="S126" s="52">
        <f t="shared" si="97"/>
        <v>4512</v>
      </c>
      <c r="T126" s="52">
        <f t="shared" si="98"/>
        <v>0</v>
      </c>
      <c r="U126" s="373">
        <f t="shared" si="99"/>
        <v>0</v>
      </c>
      <c r="V126" s="369">
        <f t="shared" si="100"/>
        <v>0</v>
      </c>
      <c r="W126" s="373">
        <f t="shared" si="101"/>
        <v>0</v>
      </c>
      <c r="X126" s="53">
        <f t="shared" si="51"/>
        <v>0</v>
      </c>
      <c r="Y126" s="53">
        <f t="shared" si="52"/>
        <v>1</v>
      </c>
      <c r="Z126" s="53">
        <f t="shared" si="53"/>
        <v>0</v>
      </c>
      <c r="AA126" s="119"/>
      <c r="AB126" s="119"/>
      <c r="AC126" s="119"/>
      <c r="AD126" s="119"/>
      <c r="AE126" s="123">
        <v>4512</v>
      </c>
      <c r="AF126" s="119"/>
      <c r="AG126" s="119"/>
      <c r="AH126" s="119"/>
      <c r="AI126" s="119"/>
      <c r="AJ126" s="119"/>
      <c r="AK126" s="119"/>
      <c r="AL126" s="119"/>
      <c r="AM126" s="119"/>
      <c r="AN126" s="119"/>
      <c r="AO126" s="119"/>
      <c r="AP126" s="119"/>
      <c r="AQ126" s="119"/>
      <c r="AR126" s="119"/>
      <c r="AS126" s="119"/>
      <c r="AT126" s="119"/>
      <c r="AU126" s="119"/>
      <c r="AV126" s="119"/>
      <c r="AW126" s="119"/>
      <c r="AX126" s="119"/>
      <c r="AY126" s="119"/>
      <c r="AZ126" s="119"/>
      <c r="BA126" s="119"/>
      <c r="BB126" s="119"/>
      <c r="BC126" s="119"/>
      <c r="BD126" s="119"/>
      <c r="BE126" s="119"/>
      <c r="BF126" s="119"/>
      <c r="BG126" s="119"/>
      <c r="BH126" s="119"/>
      <c r="BI126" s="119"/>
      <c r="BJ126" s="119"/>
      <c r="BK126" s="119"/>
      <c r="BL126" s="119"/>
      <c r="BM126" s="119"/>
      <c r="BN126" s="54">
        <f t="shared" si="112"/>
        <v>0</v>
      </c>
      <c r="BO126" s="58">
        <f t="shared" si="113"/>
        <v>0</v>
      </c>
      <c r="BP126" s="54">
        <f t="shared" si="114"/>
        <v>0</v>
      </c>
      <c r="BQ126" s="54">
        <f t="shared" si="115"/>
        <v>0</v>
      </c>
      <c r="BR126" s="54">
        <f t="shared" si="116"/>
        <v>0</v>
      </c>
      <c r="BS126" s="54">
        <f t="shared" si="117"/>
        <v>0</v>
      </c>
      <c r="BT126" s="54">
        <f t="shared" si="118"/>
        <v>0</v>
      </c>
      <c r="BU126" s="54">
        <f t="shared" si="119"/>
        <v>0</v>
      </c>
      <c r="BV126" s="54">
        <f t="shared" si="120"/>
        <v>0</v>
      </c>
      <c r="BW126" s="54">
        <f t="shared" si="121"/>
        <v>0</v>
      </c>
      <c r="BX126" s="1"/>
      <c r="BY126" s="1"/>
      <c r="BZ126" s="1"/>
      <c r="CA126" s="1"/>
      <c r="CB126" s="1"/>
      <c r="CC126" s="1"/>
      <c r="CD126" s="1"/>
      <c r="CE126" s="1"/>
      <c r="CF126" s="1"/>
      <c r="CG126" s="1"/>
    </row>
    <row r="127" spans="1:85" ht="15.75" customHeight="1">
      <c r="A127" s="83"/>
      <c r="B127" s="436" t="s">
        <v>369</v>
      </c>
      <c r="C127" s="394" t="s">
        <v>360</v>
      </c>
      <c r="D127" s="125" t="s">
        <v>370</v>
      </c>
      <c r="E127" s="45"/>
      <c r="F127" s="46"/>
      <c r="G127" s="46">
        <f t="shared" si="92"/>
        <v>0</v>
      </c>
      <c r="H127" s="127"/>
      <c r="I127" s="47">
        <f t="shared" si="88"/>
        <v>0</v>
      </c>
      <c r="J127" s="47">
        <f t="shared" si="89"/>
        <v>0</v>
      </c>
      <c r="K127" s="119"/>
      <c r="L127" s="120">
        <v>210853.11</v>
      </c>
      <c r="M127" s="120"/>
      <c r="N127" s="119"/>
      <c r="O127" s="128">
        <f t="shared" si="93"/>
        <v>0</v>
      </c>
      <c r="P127" s="128">
        <f t="shared" si="94"/>
        <v>0</v>
      </c>
      <c r="Q127" s="128">
        <f t="shared" si="95"/>
        <v>0</v>
      </c>
      <c r="R127" s="52">
        <f t="shared" si="96"/>
        <v>0</v>
      </c>
      <c r="S127" s="52">
        <f t="shared" si="97"/>
        <v>0</v>
      </c>
      <c r="T127" s="52">
        <f t="shared" si="98"/>
        <v>0</v>
      </c>
      <c r="U127" s="373">
        <f t="shared" si="99"/>
        <v>0</v>
      </c>
      <c r="V127" s="369">
        <f t="shared" si="100"/>
        <v>210853.11</v>
      </c>
      <c r="W127" s="373">
        <f t="shared" si="101"/>
        <v>0</v>
      </c>
      <c r="X127" s="53">
        <f t="shared" si="51"/>
        <v>0</v>
      </c>
      <c r="Y127" s="53">
        <f t="shared" si="52"/>
        <v>0</v>
      </c>
      <c r="Z127" s="53">
        <f t="shared" si="53"/>
        <v>0</v>
      </c>
      <c r="AA127" s="119"/>
      <c r="AB127" s="119"/>
      <c r="AC127" s="119"/>
      <c r="AD127" s="119"/>
      <c r="AE127" s="119"/>
      <c r="AF127" s="119"/>
      <c r="AG127" s="119"/>
      <c r="AH127" s="119"/>
      <c r="AI127" s="119"/>
      <c r="AJ127" s="119"/>
      <c r="AK127" s="119"/>
      <c r="AL127" s="119"/>
      <c r="AM127" s="119"/>
      <c r="AN127" s="119"/>
      <c r="AO127" s="119"/>
      <c r="AP127" s="119"/>
      <c r="AQ127" s="119"/>
      <c r="AR127" s="119"/>
      <c r="AS127" s="119"/>
      <c r="AT127" s="119"/>
      <c r="AU127" s="119"/>
      <c r="AV127" s="119"/>
      <c r="AW127" s="119"/>
      <c r="AX127" s="119"/>
      <c r="AY127" s="119"/>
      <c r="AZ127" s="119"/>
      <c r="BA127" s="119"/>
      <c r="BB127" s="119"/>
      <c r="BC127" s="119"/>
      <c r="BD127" s="119"/>
      <c r="BE127" s="119"/>
      <c r="BF127" s="119"/>
      <c r="BG127" s="119"/>
      <c r="BH127" s="119"/>
      <c r="BI127" s="119"/>
      <c r="BJ127" s="119"/>
      <c r="BK127" s="119"/>
      <c r="BL127" s="119"/>
      <c r="BM127" s="119"/>
      <c r="BN127" s="54">
        <f t="shared" si="112"/>
        <v>0</v>
      </c>
      <c r="BO127" s="58">
        <f t="shared" si="113"/>
        <v>0</v>
      </c>
      <c r="BP127" s="54">
        <f t="shared" si="114"/>
        <v>0</v>
      </c>
      <c r="BQ127" s="54">
        <f t="shared" si="115"/>
        <v>0</v>
      </c>
      <c r="BR127" s="54">
        <f t="shared" si="116"/>
        <v>0</v>
      </c>
      <c r="BS127" s="54">
        <f t="shared" si="117"/>
        <v>0</v>
      </c>
      <c r="BT127" s="54">
        <f t="shared" si="118"/>
        <v>210853.11</v>
      </c>
      <c r="BU127" s="54">
        <f t="shared" si="119"/>
        <v>0</v>
      </c>
      <c r="BV127" s="54">
        <f t="shared" si="120"/>
        <v>0</v>
      </c>
      <c r="BW127" s="54">
        <f t="shared" si="121"/>
        <v>210853.11</v>
      </c>
      <c r="BX127" s="1"/>
      <c r="BY127" s="1"/>
      <c r="BZ127" s="1"/>
      <c r="CA127" s="1"/>
      <c r="CB127" s="1"/>
      <c r="CC127" s="1"/>
      <c r="CD127" s="1"/>
      <c r="CE127" s="1"/>
      <c r="CF127" s="1"/>
      <c r="CG127" s="1"/>
    </row>
    <row r="128" spans="1:85" ht="15.75" customHeight="1">
      <c r="A128" s="83"/>
      <c r="B128" s="436" t="s">
        <v>371</v>
      </c>
      <c r="C128" s="394" t="s">
        <v>360</v>
      </c>
      <c r="D128" s="125" t="s">
        <v>372</v>
      </c>
      <c r="E128" s="45"/>
      <c r="F128" s="46"/>
      <c r="G128" s="46">
        <f t="shared" si="92"/>
        <v>0</v>
      </c>
      <c r="H128" s="127"/>
      <c r="I128" s="47">
        <f t="shared" si="88"/>
        <v>0</v>
      </c>
      <c r="J128" s="47">
        <f t="shared" si="89"/>
        <v>0</v>
      </c>
      <c r="K128" s="119"/>
      <c r="L128" s="120">
        <v>15200</v>
      </c>
      <c r="M128" s="120"/>
      <c r="N128" s="119"/>
      <c r="O128" s="128">
        <f t="shared" si="93"/>
        <v>0</v>
      </c>
      <c r="P128" s="128">
        <f t="shared" si="94"/>
        <v>15200</v>
      </c>
      <c r="Q128" s="128">
        <f t="shared" si="95"/>
        <v>0</v>
      </c>
      <c r="R128" s="52">
        <f t="shared" si="96"/>
        <v>0</v>
      </c>
      <c r="S128" s="52">
        <f t="shared" si="97"/>
        <v>15200</v>
      </c>
      <c r="T128" s="52">
        <f t="shared" si="98"/>
        <v>0</v>
      </c>
      <c r="U128" s="373">
        <f t="shared" si="99"/>
        <v>0</v>
      </c>
      <c r="V128" s="369">
        <f t="shared" si="100"/>
        <v>0</v>
      </c>
      <c r="W128" s="373">
        <f t="shared" si="101"/>
        <v>0</v>
      </c>
      <c r="X128" s="53">
        <f t="shared" si="51"/>
        <v>0</v>
      </c>
      <c r="Y128" s="53">
        <f t="shared" si="52"/>
        <v>1</v>
      </c>
      <c r="Z128" s="53">
        <f t="shared" si="53"/>
        <v>0</v>
      </c>
      <c r="AA128" s="119"/>
      <c r="AB128" s="119"/>
      <c r="AC128" s="119"/>
      <c r="AD128" s="119"/>
      <c r="AE128" s="119"/>
      <c r="AF128" s="119"/>
      <c r="AG128" s="119"/>
      <c r="AH128" s="119"/>
      <c r="AI128" s="119"/>
      <c r="AJ128" s="119"/>
      <c r="AK128" s="119"/>
      <c r="AL128" s="119"/>
      <c r="AM128" s="119"/>
      <c r="AN128" s="119"/>
      <c r="AO128" s="119"/>
      <c r="AP128" s="119"/>
      <c r="AQ128" s="119"/>
      <c r="AR128" s="119"/>
      <c r="AS128" s="119"/>
      <c r="AT128" s="119"/>
      <c r="AU128" s="119"/>
      <c r="AV128" s="119"/>
      <c r="AW128" s="123">
        <v>15200</v>
      </c>
      <c r="AX128" s="119"/>
      <c r="AY128" s="119"/>
      <c r="AZ128" s="119"/>
      <c r="BA128" s="119"/>
      <c r="BB128" s="119"/>
      <c r="BC128" s="119"/>
      <c r="BD128" s="119"/>
      <c r="BE128" s="119"/>
      <c r="BF128" s="119"/>
      <c r="BG128" s="119"/>
      <c r="BH128" s="119"/>
      <c r="BI128" s="119"/>
      <c r="BJ128" s="119"/>
      <c r="BK128" s="119"/>
      <c r="BL128" s="119"/>
      <c r="BM128" s="119"/>
      <c r="BN128" s="54">
        <f t="shared" si="112"/>
        <v>0</v>
      </c>
      <c r="BO128" s="58">
        <f t="shared" si="113"/>
        <v>0</v>
      </c>
      <c r="BP128" s="54">
        <f t="shared" si="114"/>
        <v>0</v>
      </c>
      <c r="BQ128" s="54">
        <f t="shared" si="115"/>
        <v>0</v>
      </c>
      <c r="BR128" s="54">
        <f t="shared" si="116"/>
        <v>0</v>
      </c>
      <c r="BS128" s="54">
        <f t="shared" si="117"/>
        <v>0</v>
      </c>
      <c r="BT128" s="54">
        <f t="shared" si="118"/>
        <v>0</v>
      </c>
      <c r="BU128" s="54">
        <f t="shared" si="119"/>
        <v>0</v>
      </c>
      <c r="BV128" s="54">
        <f t="shared" si="120"/>
        <v>0</v>
      </c>
      <c r="BW128" s="54">
        <f t="shared" si="121"/>
        <v>0</v>
      </c>
      <c r="BX128" s="1"/>
      <c r="BY128" s="1"/>
      <c r="BZ128" s="1"/>
      <c r="CA128" s="1"/>
      <c r="CB128" s="1"/>
      <c r="CC128" s="1"/>
      <c r="CD128" s="1"/>
      <c r="CE128" s="1"/>
      <c r="CF128" s="1"/>
      <c r="CG128" s="1"/>
    </row>
    <row r="129" spans="1:85" ht="15.75" customHeight="1">
      <c r="A129" s="108"/>
      <c r="B129" s="437" t="s">
        <v>373</v>
      </c>
      <c r="C129" s="394" t="s">
        <v>374</v>
      </c>
      <c r="D129" s="125" t="s">
        <v>375</v>
      </c>
      <c r="E129" s="45"/>
      <c r="F129" s="46"/>
      <c r="G129" s="46">
        <f t="shared" si="92"/>
        <v>0</v>
      </c>
      <c r="H129" s="127"/>
      <c r="I129" s="47">
        <f t="shared" si="88"/>
        <v>0</v>
      </c>
      <c r="J129" s="47">
        <f t="shared" si="89"/>
        <v>0</v>
      </c>
      <c r="K129" s="119"/>
      <c r="L129" s="120">
        <v>109523</v>
      </c>
      <c r="M129" s="120"/>
      <c r="N129" s="119"/>
      <c r="O129" s="128">
        <f t="shared" si="93"/>
        <v>0</v>
      </c>
      <c r="P129" s="128">
        <f t="shared" si="94"/>
        <v>109523</v>
      </c>
      <c r="Q129" s="128">
        <f t="shared" si="95"/>
        <v>0</v>
      </c>
      <c r="R129" s="52">
        <f t="shared" si="96"/>
        <v>0</v>
      </c>
      <c r="S129" s="52">
        <f t="shared" si="97"/>
        <v>109523</v>
      </c>
      <c r="T129" s="52">
        <f t="shared" si="98"/>
        <v>0</v>
      </c>
      <c r="U129" s="373">
        <f t="shared" si="99"/>
        <v>0</v>
      </c>
      <c r="V129" s="369">
        <f t="shared" si="100"/>
        <v>0</v>
      </c>
      <c r="W129" s="373">
        <f t="shared" si="101"/>
        <v>0</v>
      </c>
      <c r="X129" s="53">
        <f t="shared" si="51"/>
        <v>0</v>
      </c>
      <c r="Y129" s="53">
        <f t="shared" si="52"/>
        <v>1</v>
      </c>
      <c r="Z129" s="53">
        <f t="shared" si="53"/>
        <v>0</v>
      </c>
      <c r="AA129" s="119"/>
      <c r="AB129" s="119"/>
      <c r="AC129" s="119"/>
      <c r="AD129" s="119"/>
      <c r="AE129" s="119"/>
      <c r="AF129" s="119"/>
      <c r="AG129" s="119"/>
      <c r="AH129" s="123">
        <v>109523</v>
      </c>
      <c r="AI129" s="119"/>
      <c r="AJ129" s="119"/>
      <c r="AK129" s="119"/>
      <c r="AL129" s="119"/>
      <c r="AM129" s="119"/>
      <c r="AN129" s="119"/>
      <c r="AO129" s="119"/>
      <c r="AP129" s="119"/>
      <c r="AQ129" s="119"/>
      <c r="AR129" s="119"/>
      <c r="AS129" s="119"/>
      <c r="AT129" s="119"/>
      <c r="AU129" s="119"/>
      <c r="AV129" s="119"/>
      <c r="AW129" s="119"/>
      <c r="AX129" s="119"/>
      <c r="AY129" s="119"/>
      <c r="AZ129" s="119"/>
      <c r="BA129" s="119"/>
      <c r="BB129" s="119"/>
      <c r="BC129" s="119"/>
      <c r="BD129" s="119"/>
      <c r="BE129" s="119"/>
      <c r="BF129" s="119"/>
      <c r="BG129" s="119"/>
      <c r="BH129" s="119"/>
      <c r="BI129" s="119"/>
      <c r="BJ129" s="119"/>
      <c r="BK129" s="119"/>
      <c r="BL129" s="119"/>
      <c r="BM129" s="119"/>
      <c r="BN129" s="54">
        <f t="shared" si="112"/>
        <v>0</v>
      </c>
      <c r="BO129" s="58">
        <f t="shared" si="113"/>
        <v>0</v>
      </c>
      <c r="BP129" s="54">
        <f t="shared" si="114"/>
        <v>0</v>
      </c>
      <c r="BQ129" s="54">
        <f t="shared" si="115"/>
        <v>0</v>
      </c>
      <c r="BR129" s="54">
        <f t="shared" si="116"/>
        <v>0</v>
      </c>
      <c r="BS129" s="54">
        <f t="shared" si="117"/>
        <v>0</v>
      </c>
      <c r="BT129" s="54">
        <f t="shared" si="118"/>
        <v>0</v>
      </c>
      <c r="BU129" s="54">
        <f t="shared" si="119"/>
        <v>0</v>
      </c>
      <c r="BV129" s="54">
        <f t="shared" si="120"/>
        <v>0</v>
      </c>
      <c r="BW129" s="54">
        <f t="shared" si="121"/>
        <v>0</v>
      </c>
      <c r="BX129" s="1"/>
      <c r="BY129" s="1"/>
      <c r="BZ129" s="1"/>
      <c r="CA129" s="1"/>
      <c r="CB129" s="1"/>
      <c r="CC129" s="1"/>
      <c r="CD129" s="1"/>
      <c r="CE129" s="1"/>
      <c r="CF129" s="1"/>
      <c r="CG129" s="1"/>
    </row>
    <row r="130" spans="1:85" ht="15.75" customHeight="1">
      <c r="A130" s="81" t="s">
        <v>376</v>
      </c>
      <c r="B130" s="436" t="s">
        <v>377</v>
      </c>
      <c r="C130" s="394" t="s">
        <v>374</v>
      </c>
      <c r="D130" s="129" t="s">
        <v>378</v>
      </c>
      <c r="E130" s="45"/>
      <c r="F130" s="46"/>
      <c r="G130" s="46">
        <f t="shared" si="92"/>
        <v>0</v>
      </c>
      <c r="H130" s="127"/>
      <c r="I130" s="47">
        <f t="shared" si="88"/>
        <v>0</v>
      </c>
      <c r="J130" s="47">
        <f t="shared" si="89"/>
        <v>0</v>
      </c>
      <c r="K130" s="123">
        <f>44500-25000</f>
        <v>19500</v>
      </c>
      <c r="L130" s="120">
        <v>31797</v>
      </c>
      <c r="M130" s="124">
        <v>648.74</v>
      </c>
      <c r="N130" s="119"/>
      <c r="O130" s="128">
        <f t="shared" si="93"/>
        <v>19500</v>
      </c>
      <c r="P130" s="128">
        <f t="shared" si="94"/>
        <v>31148.26</v>
      </c>
      <c r="Q130" s="128">
        <f t="shared" si="95"/>
        <v>0</v>
      </c>
      <c r="R130" s="52">
        <f t="shared" si="96"/>
        <v>19500</v>
      </c>
      <c r="S130" s="52">
        <f t="shared" si="97"/>
        <v>31148.26</v>
      </c>
      <c r="T130" s="52">
        <f t="shared" si="98"/>
        <v>0</v>
      </c>
      <c r="U130" s="374">
        <f t="shared" si="99"/>
        <v>0</v>
      </c>
      <c r="V130" s="369">
        <f t="shared" si="100"/>
        <v>1.5916157281026244E-12</v>
      </c>
      <c r="W130" s="373">
        <f t="shared" si="101"/>
        <v>0</v>
      </c>
      <c r="X130" s="53">
        <f t="shared" si="51"/>
        <v>1</v>
      </c>
      <c r="Y130" s="53">
        <f t="shared" si="52"/>
        <v>0.97959744629996537</v>
      </c>
      <c r="Z130" s="53">
        <f t="shared" si="53"/>
        <v>0</v>
      </c>
      <c r="AA130" s="119"/>
      <c r="AB130" s="119"/>
      <c r="AC130" s="119"/>
      <c r="AD130" s="119"/>
      <c r="AE130" s="119"/>
      <c r="AF130" s="119"/>
      <c r="AG130" s="119"/>
      <c r="AH130" s="123">
        <v>31148.26</v>
      </c>
      <c r="AI130" s="123"/>
      <c r="AJ130" s="119"/>
      <c r="AK130" s="119"/>
      <c r="AL130" s="119"/>
      <c r="AM130" s="119"/>
      <c r="AN130" s="119"/>
      <c r="AO130" s="119"/>
      <c r="AP130" s="119"/>
      <c r="AQ130" s="119"/>
      <c r="AR130" s="119"/>
      <c r="AS130" s="123">
        <v>19500</v>
      </c>
      <c r="AT130" s="119"/>
      <c r="AU130" s="119"/>
      <c r="AV130" s="119"/>
      <c r="AW130" s="119"/>
      <c r="AX130" s="119"/>
      <c r="AY130" s="119"/>
      <c r="AZ130" s="119"/>
      <c r="BA130" s="119"/>
      <c r="BB130" s="119"/>
      <c r="BC130" s="119"/>
      <c r="BD130" s="119"/>
      <c r="BE130" s="119"/>
      <c r="BF130" s="119"/>
      <c r="BG130" s="119"/>
      <c r="BH130" s="119"/>
      <c r="BI130" s="119"/>
      <c r="BJ130" s="119"/>
      <c r="BK130" s="119"/>
      <c r="BL130" s="119"/>
      <c r="BM130" s="119"/>
      <c r="BN130" s="54">
        <f t="shared" si="112"/>
        <v>19500</v>
      </c>
      <c r="BO130" s="58">
        <f t="shared" si="113"/>
        <v>0</v>
      </c>
      <c r="BP130" s="54">
        <f t="shared" si="114"/>
        <v>19500</v>
      </c>
      <c r="BQ130" s="54">
        <f t="shared" si="115"/>
        <v>0</v>
      </c>
      <c r="BR130" s="54">
        <f t="shared" si="116"/>
        <v>0</v>
      </c>
      <c r="BS130" s="54">
        <f t="shared" si="117"/>
        <v>0</v>
      </c>
      <c r="BT130" s="54">
        <f t="shared" si="118"/>
        <v>1.5916157281026244E-12</v>
      </c>
      <c r="BU130" s="54">
        <f t="shared" si="119"/>
        <v>19500</v>
      </c>
      <c r="BV130" s="54">
        <f t="shared" si="120"/>
        <v>0</v>
      </c>
      <c r="BW130" s="54">
        <f t="shared" si="121"/>
        <v>19500</v>
      </c>
      <c r="BX130" s="1"/>
      <c r="BY130" s="1"/>
      <c r="BZ130" s="1"/>
      <c r="CA130" s="1"/>
      <c r="CB130" s="1"/>
      <c r="CC130" s="1"/>
      <c r="CD130" s="1"/>
      <c r="CE130" s="1"/>
      <c r="CF130" s="1"/>
      <c r="CG130" s="1"/>
    </row>
    <row r="131" spans="1:85" ht="15.75" customHeight="1">
      <c r="A131" s="83"/>
      <c r="B131" s="436" t="s">
        <v>379</v>
      </c>
      <c r="C131" s="394" t="s">
        <v>374</v>
      </c>
      <c r="D131" s="125" t="s">
        <v>380</v>
      </c>
      <c r="E131" s="45"/>
      <c r="F131" s="46"/>
      <c r="G131" s="46">
        <f t="shared" si="92"/>
        <v>0</v>
      </c>
      <c r="H131" s="127"/>
      <c r="I131" s="47">
        <f t="shared" si="88"/>
        <v>0</v>
      </c>
      <c r="J131" s="47">
        <f t="shared" si="89"/>
        <v>0</v>
      </c>
      <c r="K131" s="119"/>
      <c r="L131" s="120">
        <v>137880</v>
      </c>
      <c r="M131" s="120"/>
      <c r="N131" s="119"/>
      <c r="O131" s="128">
        <f t="shared" si="93"/>
        <v>0</v>
      </c>
      <c r="P131" s="128">
        <f t="shared" si="94"/>
        <v>137880</v>
      </c>
      <c r="Q131" s="128">
        <f t="shared" si="95"/>
        <v>0</v>
      </c>
      <c r="R131" s="52">
        <f t="shared" si="96"/>
        <v>0</v>
      </c>
      <c r="S131" s="52">
        <f t="shared" si="97"/>
        <v>137880</v>
      </c>
      <c r="T131" s="52">
        <f t="shared" si="98"/>
        <v>0</v>
      </c>
      <c r="U131" s="373">
        <f t="shared" si="99"/>
        <v>0</v>
      </c>
      <c r="V131" s="369">
        <f t="shared" si="100"/>
        <v>0</v>
      </c>
      <c r="W131" s="373">
        <f t="shared" si="101"/>
        <v>0</v>
      </c>
      <c r="X131" s="53">
        <f t="shared" ref="X131:X194" si="122">IF(O131&gt;0,O131/K131,0)</f>
        <v>0</v>
      </c>
      <c r="Y131" s="53">
        <f t="shared" ref="Y131:Y194" si="123">IF(P131&gt;0,P131/L131,0)</f>
        <v>1</v>
      </c>
      <c r="Z131" s="53">
        <f t="shared" ref="Z131:Z194" si="124">IF(Q131&gt;0,Q131/N131,0)</f>
        <v>0</v>
      </c>
      <c r="AA131" s="119"/>
      <c r="AB131" s="119"/>
      <c r="AC131" s="119"/>
      <c r="AD131" s="119"/>
      <c r="AE131" s="119"/>
      <c r="AF131" s="119"/>
      <c r="AG131" s="119"/>
      <c r="AH131" s="119"/>
      <c r="AI131" s="119"/>
      <c r="AJ131" s="119"/>
      <c r="AK131" s="119"/>
      <c r="AL131" s="119"/>
      <c r="AM131" s="119"/>
      <c r="AN131" s="119"/>
      <c r="AO131" s="119"/>
      <c r="AP131" s="119"/>
      <c r="AQ131" s="119"/>
      <c r="AR131" s="119"/>
      <c r="AS131" s="119"/>
      <c r="AT131" s="119"/>
      <c r="AU131" s="119"/>
      <c r="AV131" s="119"/>
      <c r="AW131" s="123">
        <v>137880</v>
      </c>
      <c r="AX131" s="119"/>
      <c r="AY131" s="119"/>
      <c r="AZ131" s="119"/>
      <c r="BA131" s="119"/>
      <c r="BB131" s="119"/>
      <c r="BC131" s="119"/>
      <c r="BD131" s="119"/>
      <c r="BE131" s="119"/>
      <c r="BF131" s="119"/>
      <c r="BG131" s="119"/>
      <c r="BH131" s="119"/>
      <c r="BI131" s="119"/>
      <c r="BJ131" s="119"/>
      <c r="BK131" s="119"/>
      <c r="BL131" s="119"/>
      <c r="BM131" s="119"/>
      <c r="BN131" s="54">
        <f t="shared" si="112"/>
        <v>0</v>
      </c>
      <c r="BO131" s="58">
        <f t="shared" si="113"/>
        <v>0</v>
      </c>
      <c r="BP131" s="54">
        <f t="shared" si="114"/>
        <v>0</v>
      </c>
      <c r="BQ131" s="54">
        <f t="shared" si="115"/>
        <v>0</v>
      </c>
      <c r="BR131" s="54">
        <f t="shared" si="116"/>
        <v>0</v>
      </c>
      <c r="BS131" s="54">
        <f t="shared" si="117"/>
        <v>0</v>
      </c>
      <c r="BT131" s="54">
        <f t="shared" si="118"/>
        <v>0</v>
      </c>
      <c r="BU131" s="54">
        <f t="shared" si="119"/>
        <v>0</v>
      </c>
      <c r="BV131" s="54">
        <f t="shared" si="120"/>
        <v>0</v>
      </c>
      <c r="BW131" s="54">
        <f t="shared" si="121"/>
        <v>0</v>
      </c>
      <c r="BX131" s="1"/>
      <c r="BY131" s="1"/>
      <c r="BZ131" s="1"/>
      <c r="CA131" s="1"/>
      <c r="CB131" s="1"/>
      <c r="CC131" s="1"/>
      <c r="CD131" s="1"/>
      <c r="CE131" s="1"/>
      <c r="CF131" s="1"/>
      <c r="CG131" s="1"/>
    </row>
    <row r="132" spans="1:85" ht="15.75" customHeight="1">
      <c r="A132" s="83"/>
      <c r="B132" s="436" t="s">
        <v>381</v>
      </c>
      <c r="C132" s="394" t="s">
        <v>374</v>
      </c>
      <c r="D132" s="125" t="s">
        <v>382</v>
      </c>
      <c r="E132" s="45"/>
      <c r="F132" s="46"/>
      <c r="G132" s="46">
        <f t="shared" si="92"/>
        <v>0</v>
      </c>
      <c r="H132" s="127"/>
      <c r="I132" s="47">
        <f t="shared" si="88"/>
        <v>0</v>
      </c>
      <c r="J132" s="47">
        <f t="shared" si="89"/>
        <v>0</v>
      </c>
      <c r="K132" s="119"/>
      <c r="L132" s="120">
        <v>249850</v>
      </c>
      <c r="M132" s="120"/>
      <c r="N132" s="119"/>
      <c r="O132" s="128">
        <f t="shared" si="93"/>
        <v>0</v>
      </c>
      <c r="P132" s="128">
        <f t="shared" si="94"/>
        <v>249850</v>
      </c>
      <c r="Q132" s="128">
        <f t="shared" si="95"/>
        <v>0</v>
      </c>
      <c r="R132" s="52">
        <f t="shared" si="96"/>
        <v>0</v>
      </c>
      <c r="S132" s="52">
        <f t="shared" si="97"/>
        <v>249850</v>
      </c>
      <c r="T132" s="52">
        <f t="shared" si="98"/>
        <v>0</v>
      </c>
      <c r="U132" s="373">
        <f t="shared" si="99"/>
        <v>0</v>
      </c>
      <c r="V132" s="369">
        <f t="shared" si="100"/>
        <v>0</v>
      </c>
      <c r="W132" s="373">
        <f t="shared" si="101"/>
        <v>0</v>
      </c>
      <c r="X132" s="53">
        <f t="shared" si="122"/>
        <v>0</v>
      </c>
      <c r="Y132" s="53">
        <f t="shared" si="123"/>
        <v>1</v>
      </c>
      <c r="Z132" s="53">
        <f t="shared" si="124"/>
        <v>0</v>
      </c>
      <c r="AA132" s="119"/>
      <c r="AB132" s="119"/>
      <c r="AC132" s="119"/>
      <c r="AD132" s="119"/>
      <c r="AE132" s="119"/>
      <c r="AF132" s="119"/>
      <c r="AG132" s="119"/>
      <c r="AH132" s="123">
        <v>249850</v>
      </c>
      <c r="AI132" s="123"/>
      <c r="AJ132" s="119"/>
      <c r="AK132" s="119"/>
      <c r="AL132" s="119"/>
      <c r="AM132" s="119"/>
      <c r="AN132" s="119"/>
      <c r="AO132" s="119"/>
      <c r="AP132" s="119"/>
      <c r="AQ132" s="119"/>
      <c r="AR132" s="119"/>
      <c r="AS132" s="119"/>
      <c r="AT132" s="119"/>
      <c r="AU132" s="119"/>
      <c r="AV132" s="119"/>
      <c r="AW132" s="119"/>
      <c r="AX132" s="119"/>
      <c r="AY132" s="119"/>
      <c r="AZ132" s="119"/>
      <c r="BA132" s="119"/>
      <c r="BB132" s="119"/>
      <c r="BC132" s="119"/>
      <c r="BD132" s="119"/>
      <c r="BE132" s="119"/>
      <c r="BF132" s="119"/>
      <c r="BG132" s="119"/>
      <c r="BH132" s="119"/>
      <c r="BI132" s="119"/>
      <c r="BJ132" s="119"/>
      <c r="BK132" s="119"/>
      <c r="BL132" s="119"/>
      <c r="BM132" s="119"/>
      <c r="BN132" s="54">
        <f t="shared" si="112"/>
        <v>0</v>
      </c>
      <c r="BO132" s="58">
        <f t="shared" si="113"/>
        <v>0</v>
      </c>
      <c r="BP132" s="54">
        <f t="shared" si="114"/>
        <v>0</v>
      </c>
      <c r="BQ132" s="54">
        <f t="shared" si="115"/>
        <v>0</v>
      </c>
      <c r="BR132" s="54">
        <f t="shared" si="116"/>
        <v>0</v>
      </c>
      <c r="BS132" s="54">
        <f t="shared" si="117"/>
        <v>0</v>
      </c>
      <c r="BT132" s="54">
        <f t="shared" si="118"/>
        <v>0</v>
      </c>
      <c r="BU132" s="54">
        <f t="shared" si="119"/>
        <v>0</v>
      </c>
      <c r="BV132" s="54">
        <f t="shared" si="120"/>
        <v>0</v>
      </c>
      <c r="BW132" s="54">
        <f t="shared" si="121"/>
        <v>0</v>
      </c>
      <c r="BX132" s="1"/>
      <c r="BY132" s="1"/>
      <c r="BZ132" s="1"/>
      <c r="CA132" s="1"/>
      <c r="CB132" s="1"/>
      <c r="CC132" s="1"/>
      <c r="CD132" s="1"/>
      <c r="CE132" s="1"/>
      <c r="CF132" s="1"/>
      <c r="CG132" s="1"/>
    </row>
    <row r="133" spans="1:85" ht="15.75" customHeight="1">
      <c r="A133" s="130"/>
      <c r="B133" s="437" t="s">
        <v>383</v>
      </c>
      <c r="C133" s="394" t="s">
        <v>374</v>
      </c>
      <c r="D133" s="129" t="s">
        <v>384</v>
      </c>
      <c r="E133" s="45"/>
      <c r="F133" s="46"/>
      <c r="G133" s="46">
        <f t="shared" si="92"/>
        <v>0</v>
      </c>
      <c r="H133" s="127"/>
      <c r="I133" s="47">
        <f t="shared" si="88"/>
        <v>0</v>
      </c>
      <c r="J133" s="47">
        <f t="shared" si="89"/>
        <v>0</v>
      </c>
      <c r="K133" s="119"/>
      <c r="L133" s="120">
        <v>87600</v>
      </c>
      <c r="M133" s="120"/>
      <c r="N133" s="119"/>
      <c r="O133" s="128">
        <f t="shared" si="93"/>
        <v>0</v>
      </c>
      <c r="P133" s="128">
        <f t="shared" si="94"/>
        <v>87600</v>
      </c>
      <c r="Q133" s="128">
        <f t="shared" si="95"/>
        <v>0</v>
      </c>
      <c r="R133" s="52">
        <f t="shared" si="96"/>
        <v>0</v>
      </c>
      <c r="S133" s="52">
        <f t="shared" si="97"/>
        <v>87600</v>
      </c>
      <c r="T133" s="52">
        <f t="shared" si="98"/>
        <v>0</v>
      </c>
      <c r="U133" s="373">
        <f t="shared" si="99"/>
        <v>0</v>
      </c>
      <c r="V133" s="369">
        <f t="shared" si="100"/>
        <v>0</v>
      </c>
      <c r="W133" s="373">
        <f t="shared" si="101"/>
        <v>0</v>
      </c>
      <c r="X133" s="53">
        <f t="shared" si="122"/>
        <v>0</v>
      </c>
      <c r="Y133" s="53">
        <f t="shared" si="123"/>
        <v>1</v>
      </c>
      <c r="Z133" s="53">
        <f t="shared" si="124"/>
        <v>0</v>
      </c>
      <c r="AA133" s="119"/>
      <c r="AB133" s="123">
        <v>87600</v>
      </c>
      <c r="AC133" s="119"/>
      <c r="AD133" s="119"/>
      <c r="AE133" s="119"/>
      <c r="AF133" s="119"/>
      <c r="AG133" s="119"/>
      <c r="AH133" s="119"/>
      <c r="AI133" s="119"/>
      <c r="AJ133" s="119"/>
      <c r="AK133" s="119"/>
      <c r="AL133" s="119"/>
      <c r="AM133" s="119"/>
      <c r="AN133" s="119"/>
      <c r="AO133" s="119"/>
      <c r="AP133" s="119"/>
      <c r="AQ133" s="119"/>
      <c r="AR133" s="119"/>
      <c r="AS133" s="119"/>
      <c r="AT133" s="119"/>
      <c r="AU133" s="119"/>
      <c r="AV133" s="119"/>
      <c r="AW133" s="119"/>
      <c r="AX133" s="119"/>
      <c r="AY133" s="119"/>
      <c r="AZ133" s="119"/>
      <c r="BA133" s="119"/>
      <c r="BB133" s="119"/>
      <c r="BC133" s="119"/>
      <c r="BD133" s="119"/>
      <c r="BE133" s="119"/>
      <c r="BF133" s="119"/>
      <c r="BG133" s="119"/>
      <c r="BH133" s="119"/>
      <c r="BI133" s="119"/>
      <c r="BJ133" s="119"/>
      <c r="BK133" s="119"/>
      <c r="BL133" s="119"/>
      <c r="BM133" s="119"/>
      <c r="BN133" s="54">
        <f t="shared" si="112"/>
        <v>0</v>
      </c>
      <c r="BO133" s="58">
        <f t="shared" si="113"/>
        <v>0</v>
      </c>
      <c r="BP133" s="54">
        <f t="shared" si="114"/>
        <v>0</v>
      </c>
      <c r="BQ133" s="54">
        <f t="shared" si="115"/>
        <v>0</v>
      </c>
      <c r="BR133" s="54">
        <f t="shared" si="116"/>
        <v>0</v>
      </c>
      <c r="BS133" s="54">
        <f t="shared" si="117"/>
        <v>0</v>
      </c>
      <c r="BT133" s="54">
        <f t="shared" si="118"/>
        <v>0</v>
      </c>
      <c r="BU133" s="54">
        <f t="shared" si="119"/>
        <v>0</v>
      </c>
      <c r="BV133" s="54">
        <f t="shared" si="120"/>
        <v>0</v>
      </c>
      <c r="BW133" s="54">
        <f t="shared" si="121"/>
        <v>0</v>
      </c>
      <c r="BX133" s="1"/>
      <c r="BY133" s="1"/>
      <c r="BZ133" s="1"/>
      <c r="CA133" s="1"/>
      <c r="CB133" s="1"/>
      <c r="CC133" s="1"/>
      <c r="CD133" s="1"/>
      <c r="CE133" s="1"/>
      <c r="CF133" s="1"/>
      <c r="CG133" s="1"/>
    </row>
    <row r="134" spans="1:85" ht="15.75" customHeight="1">
      <c r="A134" s="81" t="s">
        <v>385</v>
      </c>
      <c r="B134" s="437"/>
      <c r="C134" s="458" t="s">
        <v>386</v>
      </c>
      <c r="D134" s="122" t="s">
        <v>387</v>
      </c>
      <c r="E134" s="45"/>
      <c r="F134" s="46"/>
      <c r="G134" s="46">
        <f t="shared" si="92"/>
        <v>0</v>
      </c>
      <c r="H134" s="127"/>
      <c r="I134" s="47">
        <f t="shared" si="88"/>
        <v>0</v>
      </c>
      <c r="J134" s="47">
        <f t="shared" si="89"/>
        <v>0</v>
      </c>
      <c r="K134" s="131">
        <v>5000</v>
      </c>
      <c r="L134" s="132"/>
      <c r="M134" s="132"/>
      <c r="N134" s="133"/>
      <c r="O134" s="128">
        <f t="shared" si="93"/>
        <v>0</v>
      </c>
      <c r="P134" s="128">
        <f t="shared" si="94"/>
        <v>0</v>
      </c>
      <c r="Q134" s="128">
        <f t="shared" si="95"/>
        <v>0</v>
      </c>
      <c r="R134" s="52">
        <f t="shared" si="96"/>
        <v>0</v>
      </c>
      <c r="S134" s="52">
        <f t="shared" si="97"/>
        <v>0</v>
      </c>
      <c r="T134" s="52">
        <f t="shared" si="98"/>
        <v>0</v>
      </c>
      <c r="U134" s="374">
        <f t="shared" si="99"/>
        <v>5000</v>
      </c>
      <c r="V134" s="369">
        <f t="shared" si="100"/>
        <v>0</v>
      </c>
      <c r="W134" s="373">
        <f t="shared" si="101"/>
        <v>0</v>
      </c>
      <c r="X134" s="53">
        <f t="shared" si="122"/>
        <v>0</v>
      </c>
      <c r="Y134" s="53">
        <f t="shared" si="123"/>
        <v>0</v>
      </c>
      <c r="Z134" s="53">
        <f t="shared" si="124"/>
        <v>0</v>
      </c>
      <c r="AA134" s="132"/>
      <c r="AB134" s="132"/>
      <c r="AC134" s="132"/>
      <c r="AD134" s="132"/>
      <c r="AE134" s="134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5"/>
      <c r="BI134" s="132"/>
      <c r="BJ134" s="132"/>
      <c r="BK134" s="135"/>
      <c r="BL134" s="132"/>
      <c r="BM134" s="132"/>
      <c r="BN134" s="54">
        <f t="shared" si="112"/>
        <v>0</v>
      </c>
      <c r="BO134" s="58">
        <f t="shared" si="113"/>
        <v>0</v>
      </c>
      <c r="BP134" s="54">
        <f t="shared" si="114"/>
        <v>0</v>
      </c>
      <c r="BQ134" s="54">
        <f t="shared" si="115"/>
        <v>5000</v>
      </c>
      <c r="BR134" s="54">
        <f t="shared" si="116"/>
        <v>0</v>
      </c>
      <c r="BS134" s="54">
        <f t="shared" si="117"/>
        <v>5000</v>
      </c>
      <c r="BT134" s="54">
        <f t="shared" si="118"/>
        <v>0</v>
      </c>
      <c r="BU134" s="54">
        <f t="shared" si="119"/>
        <v>0</v>
      </c>
      <c r="BV134" s="54">
        <f t="shared" si="120"/>
        <v>5000</v>
      </c>
      <c r="BW134" s="54">
        <f t="shared" si="121"/>
        <v>0</v>
      </c>
      <c r="BX134" s="1"/>
      <c r="BY134" s="1"/>
      <c r="BZ134" s="1"/>
      <c r="CA134" s="1"/>
      <c r="CB134" s="1"/>
      <c r="CC134" s="1"/>
      <c r="CD134" s="1"/>
      <c r="CE134" s="1"/>
      <c r="CF134" s="1"/>
      <c r="CG134" s="1"/>
    </row>
    <row r="135" spans="1:85" ht="15.75" customHeight="1">
      <c r="A135" s="81"/>
      <c r="B135" s="436" t="s">
        <v>388</v>
      </c>
      <c r="C135" s="394" t="s">
        <v>389</v>
      </c>
      <c r="D135" s="125" t="s">
        <v>390</v>
      </c>
      <c r="E135" s="45"/>
      <c r="F135" s="46"/>
      <c r="G135" s="46">
        <f t="shared" si="92"/>
        <v>0</v>
      </c>
      <c r="H135" s="127"/>
      <c r="I135" s="47">
        <f t="shared" si="88"/>
        <v>0</v>
      </c>
      <c r="J135" s="47">
        <f t="shared" si="89"/>
        <v>0</v>
      </c>
      <c r="K135" s="131"/>
      <c r="L135" s="132">
        <v>20776.23</v>
      </c>
      <c r="M135" s="132"/>
      <c r="N135" s="133"/>
      <c r="O135" s="128">
        <f t="shared" si="93"/>
        <v>0</v>
      </c>
      <c r="P135" s="128">
        <f t="shared" si="94"/>
        <v>20776.23</v>
      </c>
      <c r="Q135" s="128">
        <f t="shared" si="95"/>
        <v>0</v>
      </c>
      <c r="R135" s="52">
        <f t="shared" si="96"/>
        <v>0</v>
      </c>
      <c r="S135" s="52">
        <f t="shared" si="97"/>
        <v>20776.23</v>
      </c>
      <c r="T135" s="52">
        <f t="shared" si="98"/>
        <v>0</v>
      </c>
      <c r="U135" s="373">
        <f t="shared" si="99"/>
        <v>0</v>
      </c>
      <c r="V135" s="369">
        <f t="shared" si="100"/>
        <v>0</v>
      </c>
      <c r="W135" s="373">
        <f t="shared" si="101"/>
        <v>0</v>
      </c>
      <c r="X135" s="53">
        <f t="shared" si="122"/>
        <v>0</v>
      </c>
      <c r="Y135" s="53">
        <f t="shared" si="123"/>
        <v>1</v>
      </c>
      <c r="Z135" s="53">
        <f t="shared" si="124"/>
        <v>0</v>
      </c>
      <c r="AA135" s="132"/>
      <c r="AB135" s="132"/>
      <c r="AC135" s="132"/>
      <c r="AD135" s="132"/>
      <c r="AE135" s="134">
        <v>20776.23</v>
      </c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5"/>
      <c r="BI135" s="132"/>
      <c r="BJ135" s="132"/>
      <c r="BK135" s="135"/>
      <c r="BL135" s="132"/>
      <c r="BM135" s="132"/>
      <c r="BN135" s="54">
        <f t="shared" si="112"/>
        <v>0</v>
      </c>
      <c r="BO135" s="58">
        <f t="shared" si="113"/>
        <v>0</v>
      </c>
      <c r="BP135" s="54">
        <f t="shared" si="114"/>
        <v>0</v>
      </c>
      <c r="BQ135" s="54">
        <f t="shared" si="115"/>
        <v>0</v>
      </c>
      <c r="BR135" s="54">
        <f t="shared" si="116"/>
        <v>0</v>
      </c>
      <c r="BS135" s="54">
        <f t="shared" si="117"/>
        <v>0</v>
      </c>
      <c r="BT135" s="54">
        <f t="shared" si="118"/>
        <v>0</v>
      </c>
      <c r="BU135" s="54">
        <f t="shared" si="119"/>
        <v>0</v>
      </c>
      <c r="BV135" s="54">
        <f t="shared" si="120"/>
        <v>0</v>
      </c>
      <c r="BW135" s="54">
        <f t="shared" si="121"/>
        <v>0</v>
      </c>
      <c r="BX135" s="1"/>
      <c r="BY135" s="1"/>
      <c r="BZ135" s="1"/>
      <c r="CA135" s="1"/>
      <c r="CB135" s="1"/>
      <c r="CC135" s="1"/>
      <c r="CD135" s="1"/>
      <c r="CE135" s="1"/>
      <c r="CF135" s="1"/>
      <c r="CG135" s="1"/>
    </row>
    <row r="136" spans="1:85" ht="15.75" customHeight="1">
      <c r="A136" s="136"/>
      <c r="B136" s="435"/>
      <c r="C136" s="402"/>
      <c r="D136" s="125" t="s">
        <v>391</v>
      </c>
      <c r="E136" s="45"/>
      <c r="F136" s="46"/>
      <c r="G136" s="46">
        <f t="shared" si="92"/>
        <v>0</v>
      </c>
      <c r="H136" s="137"/>
      <c r="I136" s="47">
        <f t="shared" si="88"/>
        <v>0</v>
      </c>
      <c r="J136" s="47">
        <f t="shared" si="89"/>
        <v>0</v>
      </c>
      <c r="K136" s="133"/>
      <c r="L136" s="132"/>
      <c r="M136" s="132"/>
      <c r="N136" s="133"/>
      <c r="O136" s="128">
        <f t="shared" si="93"/>
        <v>0</v>
      </c>
      <c r="P136" s="128">
        <f t="shared" si="94"/>
        <v>0</v>
      </c>
      <c r="Q136" s="128">
        <f t="shared" si="95"/>
        <v>0</v>
      </c>
      <c r="R136" s="52">
        <f t="shared" si="96"/>
        <v>0</v>
      </c>
      <c r="S136" s="52">
        <f t="shared" si="97"/>
        <v>0</v>
      </c>
      <c r="T136" s="52">
        <f t="shared" si="98"/>
        <v>0</v>
      </c>
      <c r="U136" s="373">
        <f t="shared" si="99"/>
        <v>0</v>
      </c>
      <c r="V136" s="369">
        <f t="shared" si="100"/>
        <v>0</v>
      </c>
      <c r="W136" s="373">
        <f t="shared" si="101"/>
        <v>0</v>
      </c>
      <c r="X136" s="53">
        <f t="shared" si="122"/>
        <v>0</v>
      </c>
      <c r="Y136" s="53">
        <f t="shared" si="123"/>
        <v>0</v>
      </c>
      <c r="Z136" s="53">
        <f t="shared" si="124"/>
        <v>0</v>
      </c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5"/>
      <c r="BI136" s="132"/>
      <c r="BJ136" s="132"/>
      <c r="BK136" s="135"/>
      <c r="BL136" s="132"/>
      <c r="BM136" s="132"/>
      <c r="BN136" s="54">
        <f t="shared" si="112"/>
        <v>0</v>
      </c>
      <c r="BO136" s="58">
        <f t="shared" si="113"/>
        <v>0</v>
      </c>
      <c r="BP136" s="54">
        <f t="shared" si="114"/>
        <v>0</v>
      </c>
      <c r="BQ136" s="54">
        <f t="shared" si="115"/>
        <v>0</v>
      </c>
      <c r="BR136" s="54">
        <f t="shared" si="116"/>
        <v>0</v>
      </c>
      <c r="BS136" s="54">
        <f t="shared" si="117"/>
        <v>0</v>
      </c>
      <c r="BT136" s="54">
        <f t="shared" si="118"/>
        <v>0</v>
      </c>
      <c r="BU136" s="54">
        <f t="shared" si="119"/>
        <v>0</v>
      </c>
      <c r="BV136" s="54">
        <f t="shared" si="120"/>
        <v>0</v>
      </c>
      <c r="BW136" s="54">
        <f t="shared" si="121"/>
        <v>0</v>
      </c>
      <c r="BX136" s="1"/>
      <c r="BY136" s="1"/>
      <c r="BZ136" s="1"/>
      <c r="CA136" s="1"/>
      <c r="CB136" s="1"/>
      <c r="CC136" s="1"/>
      <c r="CD136" s="1"/>
      <c r="CE136" s="1"/>
      <c r="CF136" s="1"/>
      <c r="CG136" s="1"/>
    </row>
    <row r="137" spans="1:85" ht="15.75" customHeight="1">
      <c r="A137" s="118"/>
      <c r="B137" s="435"/>
      <c r="C137" s="402"/>
      <c r="D137" s="125"/>
      <c r="E137" s="45"/>
      <c r="F137" s="46"/>
      <c r="G137" s="46">
        <f t="shared" si="92"/>
        <v>0</v>
      </c>
      <c r="H137" s="137"/>
      <c r="I137" s="47">
        <f t="shared" si="88"/>
        <v>0</v>
      </c>
      <c r="J137" s="47">
        <f t="shared" si="89"/>
        <v>0</v>
      </c>
      <c r="K137" s="133"/>
      <c r="L137" s="132"/>
      <c r="M137" s="132"/>
      <c r="N137" s="133"/>
      <c r="O137" s="128">
        <f t="shared" si="93"/>
        <v>0</v>
      </c>
      <c r="P137" s="128">
        <f t="shared" si="94"/>
        <v>0</v>
      </c>
      <c r="Q137" s="128">
        <f t="shared" si="95"/>
        <v>0</v>
      </c>
      <c r="R137" s="52">
        <f t="shared" si="96"/>
        <v>0</v>
      </c>
      <c r="S137" s="52">
        <f t="shared" si="97"/>
        <v>0</v>
      </c>
      <c r="T137" s="52">
        <f t="shared" si="98"/>
        <v>0</v>
      </c>
      <c r="U137" s="373">
        <f t="shared" si="99"/>
        <v>0</v>
      </c>
      <c r="V137" s="369">
        <f t="shared" si="100"/>
        <v>0</v>
      </c>
      <c r="W137" s="373">
        <f t="shared" si="101"/>
        <v>0</v>
      </c>
      <c r="X137" s="53">
        <f t="shared" si="122"/>
        <v>0</v>
      </c>
      <c r="Y137" s="53">
        <f t="shared" si="123"/>
        <v>0</v>
      </c>
      <c r="Z137" s="53">
        <f t="shared" si="124"/>
        <v>0</v>
      </c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5"/>
      <c r="BI137" s="132"/>
      <c r="BJ137" s="132"/>
      <c r="BK137" s="135"/>
      <c r="BL137" s="132"/>
      <c r="BM137" s="132"/>
      <c r="BN137" s="54">
        <f t="shared" si="112"/>
        <v>0</v>
      </c>
      <c r="BO137" s="58">
        <f t="shared" si="113"/>
        <v>0</v>
      </c>
      <c r="BP137" s="54">
        <f t="shared" si="114"/>
        <v>0</v>
      </c>
      <c r="BQ137" s="54">
        <f t="shared" si="115"/>
        <v>0</v>
      </c>
      <c r="BR137" s="54">
        <f t="shared" si="116"/>
        <v>0</v>
      </c>
      <c r="BS137" s="54">
        <f t="shared" si="117"/>
        <v>0</v>
      </c>
      <c r="BT137" s="54">
        <f t="shared" si="118"/>
        <v>0</v>
      </c>
      <c r="BU137" s="54">
        <f t="shared" si="119"/>
        <v>0</v>
      </c>
      <c r="BV137" s="54">
        <f t="shared" si="120"/>
        <v>0</v>
      </c>
      <c r="BW137" s="54">
        <f t="shared" si="121"/>
        <v>0</v>
      </c>
      <c r="BX137" s="1"/>
      <c r="BY137" s="1"/>
      <c r="BZ137" s="1"/>
      <c r="CA137" s="1"/>
      <c r="CB137" s="1"/>
      <c r="CC137" s="1"/>
      <c r="CD137" s="1"/>
      <c r="CE137" s="1"/>
      <c r="CF137" s="1"/>
      <c r="CG137" s="1"/>
    </row>
    <row r="138" spans="1:85" s="463" customFormat="1" ht="15.75" customHeight="1">
      <c r="A138" s="473"/>
      <c r="B138" s="474"/>
      <c r="C138" s="475"/>
      <c r="D138" s="476" t="s">
        <v>392</v>
      </c>
      <c r="E138" s="477">
        <f>E139</f>
        <v>46288.65</v>
      </c>
      <c r="F138" s="477">
        <f>F139</f>
        <v>5045.4579999999987</v>
      </c>
      <c r="G138" s="477">
        <f>G139</f>
        <v>41243.192000000003</v>
      </c>
      <c r="H138" s="477">
        <f>H139</f>
        <v>0</v>
      </c>
      <c r="I138" s="478">
        <f t="shared" si="88"/>
        <v>0</v>
      </c>
      <c r="J138" s="478">
        <f t="shared" si="89"/>
        <v>0</v>
      </c>
      <c r="K138" s="477">
        <f>K139</f>
        <v>0</v>
      </c>
      <c r="L138" s="477">
        <f>L139</f>
        <v>0</v>
      </c>
      <c r="M138" s="477">
        <f>M139</f>
        <v>0</v>
      </c>
      <c r="N138" s="477">
        <f>N139</f>
        <v>0</v>
      </c>
      <c r="O138" s="479">
        <f t="shared" si="93"/>
        <v>0</v>
      </c>
      <c r="P138" s="479">
        <f t="shared" si="94"/>
        <v>0</v>
      </c>
      <c r="Q138" s="479">
        <f t="shared" si="95"/>
        <v>0</v>
      </c>
      <c r="R138" s="480">
        <f t="shared" si="96"/>
        <v>0</v>
      </c>
      <c r="S138" s="480">
        <f t="shared" si="97"/>
        <v>0</v>
      </c>
      <c r="T138" s="480">
        <f t="shared" si="98"/>
        <v>0</v>
      </c>
      <c r="U138" s="481">
        <f t="shared" si="99"/>
        <v>0</v>
      </c>
      <c r="V138" s="481">
        <f t="shared" si="100"/>
        <v>0</v>
      </c>
      <c r="W138" s="481">
        <f t="shared" si="101"/>
        <v>0</v>
      </c>
      <c r="X138" s="482">
        <f t="shared" si="122"/>
        <v>0</v>
      </c>
      <c r="Y138" s="482">
        <f t="shared" si="123"/>
        <v>0</v>
      </c>
      <c r="Z138" s="482">
        <f t="shared" si="124"/>
        <v>0</v>
      </c>
      <c r="AA138" s="483"/>
      <c r="AB138" s="483"/>
      <c r="AC138" s="483"/>
      <c r="AD138" s="483"/>
      <c r="AE138" s="483"/>
      <c r="AF138" s="483"/>
      <c r="AG138" s="483"/>
      <c r="AH138" s="483"/>
      <c r="AI138" s="483"/>
      <c r="AJ138" s="483"/>
      <c r="AK138" s="483"/>
      <c r="AL138" s="483"/>
      <c r="AM138" s="483"/>
      <c r="AN138" s="483"/>
      <c r="AO138" s="483"/>
      <c r="AP138" s="483"/>
      <c r="AQ138" s="483"/>
      <c r="AR138" s="483"/>
      <c r="AS138" s="483"/>
      <c r="AT138" s="483"/>
      <c r="AU138" s="483"/>
      <c r="AV138" s="483"/>
      <c r="AW138" s="483"/>
      <c r="AX138" s="483"/>
      <c r="AY138" s="483"/>
      <c r="AZ138" s="483"/>
      <c r="BA138" s="483"/>
      <c r="BB138" s="483"/>
      <c r="BC138" s="483"/>
      <c r="BD138" s="483"/>
      <c r="BE138" s="483"/>
      <c r="BF138" s="483"/>
      <c r="BG138" s="483"/>
      <c r="BH138" s="483"/>
      <c r="BI138" s="483"/>
      <c r="BJ138" s="483"/>
      <c r="BK138" s="483"/>
      <c r="BL138" s="483"/>
      <c r="BM138" s="483"/>
      <c r="BN138" s="479">
        <f>BN139</f>
        <v>0</v>
      </c>
      <c r="BO138" s="479">
        <f t="shared" ref="BO138:BW138" si="125">BO139</f>
        <v>0</v>
      </c>
      <c r="BP138" s="479">
        <f t="shared" si="125"/>
        <v>0</v>
      </c>
      <c r="BQ138" s="479">
        <f t="shared" si="125"/>
        <v>0</v>
      </c>
      <c r="BR138" s="479">
        <f t="shared" si="125"/>
        <v>0</v>
      </c>
      <c r="BS138" s="479">
        <f t="shared" si="125"/>
        <v>0</v>
      </c>
      <c r="BT138" s="479">
        <f t="shared" si="125"/>
        <v>0</v>
      </c>
      <c r="BU138" s="479">
        <f t="shared" si="125"/>
        <v>0</v>
      </c>
      <c r="BV138" s="479">
        <f t="shared" si="125"/>
        <v>0</v>
      </c>
      <c r="BW138" s="479">
        <f t="shared" si="125"/>
        <v>0</v>
      </c>
      <c r="BX138" s="462"/>
      <c r="BY138" s="462"/>
      <c r="BZ138" s="462"/>
      <c r="CA138" s="462"/>
      <c r="CB138" s="462"/>
      <c r="CC138" s="462"/>
      <c r="CD138" s="462"/>
      <c r="CE138" s="462"/>
      <c r="CF138" s="462"/>
      <c r="CG138" s="462"/>
    </row>
    <row r="139" spans="1:85" s="463" customFormat="1" ht="15.75" customHeight="1">
      <c r="A139" s="464"/>
      <c r="B139" s="465"/>
      <c r="C139" s="466" t="s">
        <v>393</v>
      </c>
      <c r="D139" s="467" t="s">
        <v>392</v>
      </c>
      <c r="E139" s="485">
        <v>46288.65</v>
      </c>
      <c r="F139" s="486">
        <f>E139-(4124319.2*1%)</f>
        <v>5045.4579999999987</v>
      </c>
      <c r="G139" s="487">
        <f>E139-F139</f>
        <v>41243.192000000003</v>
      </c>
      <c r="H139" s="487"/>
      <c r="I139" s="468">
        <f t="shared" si="88"/>
        <v>0</v>
      </c>
      <c r="J139" s="468">
        <f t="shared" si="89"/>
        <v>0</v>
      </c>
      <c r="K139" s="461"/>
      <c r="L139" s="461"/>
      <c r="M139" s="469"/>
      <c r="N139" s="461"/>
      <c r="O139" s="488">
        <f t="shared" si="93"/>
        <v>0</v>
      </c>
      <c r="P139" s="488">
        <f t="shared" si="94"/>
        <v>0</v>
      </c>
      <c r="Q139" s="488">
        <f t="shared" si="95"/>
        <v>0</v>
      </c>
      <c r="R139" s="480">
        <f t="shared" si="96"/>
        <v>0</v>
      </c>
      <c r="S139" s="480">
        <f t="shared" si="97"/>
        <v>0</v>
      </c>
      <c r="T139" s="480">
        <f t="shared" si="98"/>
        <v>0</v>
      </c>
      <c r="U139" s="489">
        <f t="shared" si="99"/>
        <v>0</v>
      </c>
      <c r="V139" s="490">
        <f t="shared" si="100"/>
        <v>0</v>
      </c>
      <c r="W139" s="489">
        <f t="shared" si="101"/>
        <v>0</v>
      </c>
      <c r="X139" s="491">
        <f t="shared" si="122"/>
        <v>0</v>
      </c>
      <c r="Y139" s="491">
        <f t="shared" si="123"/>
        <v>0</v>
      </c>
      <c r="Z139" s="491">
        <f t="shared" si="124"/>
        <v>0</v>
      </c>
      <c r="AA139" s="469"/>
      <c r="AB139" s="469"/>
      <c r="AC139" s="469"/>
      <c r="AD139" s="469"/>
      <c r="AE139" s="469"/>
      <c r="AF139" s="469"/>
      <c r="AG139" s="469"/>
      <c r="AH139" s="469"/>
      <c r="AI139" s="469"/>
      <c r="AJ139" s="469"/>
      <c r="AK139" s="469"/>
      <c r="AL139" s="469"/>
      <c r="AM139" s="469"/>
      <c r="AN139" s="469"/>
      <c r="AO139" s="469"/>
      <c r="AP139" s="469"/>
      <c r="AQ139" s="469"/>
      <c r="AR139" s="469"/>
      <c r="AS139" s="469"/>
      <c r="AT139" s="469"/>
      <c r="AU139" s="469"/>
      <c r="AV139" s="469"/>
      <c r="AW139" s="469"/>
      <c r="AX139" s="469"/>
      <c r="AY139" s="469"/>
      <c r="AZ139" s="469"/>
      <c r="BA139" s="469"/>
      <c r="BB139" s="469"/>
      <c r="BC139" s="469"/>
      <c r="BD139" s="469"/>
      <c r="BE139" s="469"/>
      <c r="BF139" s="469"/>
      <c r="BG139" s="469"/>
      <c r="BH139" s="470"/>
      <c r="BI139" s="469"/>
      <c r="BJ139" s="469"/>
      <c r="BK139" s="470"/>
      <c r="BL139" s="469"/>
      <c r="BM139" s="469"/>
      <c r="BN139" s="471">
        <f t="shared" ref="BN139" si="126">IF(O139-BK139&gt;0,O139-BK139,0)</f>
        <v>0</v>
      </c>
      <c r="BO139" s="471">
        <f t="shared" ref="BO139" si="127">IF(Q139-BM139&gt;0,Q139-BM139,0)</f>
        <v>0</v>
      </c>
      <c r="BP139" s="471">
        <f t="shared" ref="BP139" si="128">IF(BN139+BO139&gt;0,BN139+BO139,0)</f>
        <v>0</v>
      </c>
      <c r="BQ139" s="471">
        <f t="shared" ref="BQ139" si="129">IF(U139=0,0,U139)</f>
        <v>0</v>
      </c>
      <c r="BR139" s="471">
        <f t="shared" ref="BR139" si="130">IF(W139=0,0,W139)</f>
        <v>0</v>
      </c>
      <c r="BS139" s="471">
        <f t="shared" ref="BS139" si="131">IF(BQ139+BR139&gt;0,BQ139+BR139,0)</f>
        <v>0</v>
      </c>
      <c r="BT139" s="471">
        <f t="shared" ref="BT139" si="132">IF(V139&gt;0,V139,0)</f>
        <v>0</v>
      </c>
      <c r="BU139" s="471">
        <f t="shared" ref="BU139" si="133">IF(BP139=0,0,BP139)</f>
        <v>0</v>
      </c>
      <c r="BV139" s="471">
        <f t="shared" ref="BV139" si="134">IF(BS139=0,0,BS139)</f>
        <v>0</v>
      </c>
      <c r="BW139" s="471">
        <f t="shared" ref="BW139" si="135">IF(BP139+BT139&gt;0,BP139+BT139,0)</f>
        <v>0</v>
      </c>
      <c r="BX139" s="472"/>
      <c r="BY139" s="472"/>
      <c r="BZ139" s="472"/>
      <c r="CA139" s="472"/>
      <c r="CB139" s="472"/>
      <c r="CC139" s="472"/>
      <c r="CD139" s="472"/>
      <c r="CE139" s="472"/>
      <c r="CF139" s="472"/>
      <c r="CG139" s="472"/>
    </row>
    <row r="140" spans="1:85" s="463" customFormat="1" ht="15.75" customHeight="1">
      <c r="A140" s="473"/>
      <c r="B140" s="474"/>
      <c r="C140" s="475"/>
      <c r="D140" s="476" t="s">
        <v>394</v>
      </c>
      <c r="E140" s="477">
        <f>E141</f>
        <v>46288.65</v>
      </c>
      <c r="F140" s="477">
        <f>F141</f>
        <v>35248.78</v>
      </c>
      <c r="G140" s="477">
        <f>G141</f>
        <v>11039.870000000003</v>
      </c>
      <c r="H140" s="483">
        <f>H141</f>
        <v>0</v>
      </c>
      <c r="I140" s="478">
        <f t="shared" si="88"/>
        <v>0</v>
      </c>
      <c r="J140" s="478">
        <f t="shared" si="89"/>
        <v>0</v>
      </c>
      <c r="K140" s="477">
        <f>K141</f>
        <v>0</v>
      </c>
      <c r="L140" s="477">
        <f>L141</f>
        <v>0</v>
      </c>
      <c r="M140" s="477">
        <f>M141</f>
        <v>0</v>
      </c>
      <c r="N140" s="477">
        <f>N141</f>
        <v>0</v>
      </c>
      <c r="O140" s="479">
        <f t="shared" si="93"/>
        <v>0</v>
      </c>
      <c r="P140" s="479">
        <f t="shared" si="94"/>
        <v>0</v>
      </c>
      <c r="Q140" s="479">
        <f t="shared" si="95"/>
        <v>0</v>
      </c>
      <c r="R140" s="480">
        <f t="shared" si="96"/>
        <v>0</v>
      </c>
      <c r="S140" s="480">
        <f t="shared" si="97"/>
        <v>0</v>
      </c>
      <c r="T140" s="480">
        <f t="shared" si="98"/>
        <v>0</v>
      </c>
      <c r="U140" s="481">
        <f t="shared" si="99"/>
        <v>0</v>
      </c>
      <c r="V140" s="481">
        <f t="shared" si="100"/>
        <v>0</v>
      </c>
      <c r="W140" s="481">
        <f t="shared" si="101"/>
        <v>0</v>
      </c>
      <c r="X140" s="482">
        <f t="shared" si="122"/>
        <v>0</v>
      </c>
      <c r="Y140" s="482">
        <f t="shared" si="123"/>
        <v>0</v>
      </c>
      <c r="Z140" s="482">
        <f t="shared" si="124"/>
        <v>0</v>
      </c>
      <c r="AA140" s="483"/>
      <c r="AB140" s="483"/>
      <c r="AC140" s="483"/>
      <c r="AD140" s="483"/>
      <c r="AE140" s="483"/>
      <c r="AF140" s="483"/>
      <c r="AG140" s="483"/>
      <c r="AH140" s="483"/>
      <c r="AI140" s="483"/>
      <c r="AJ140" s="483"/>
      <c r="AK140" s="483"/>
      <c r="AL140" s="483"/>
      <c r="AM140" s="483"/>
      <c r="AN140" s="483"/>
      <c r="AO140" s="483"/>
      <c r="AP140" s="483"/>
      <c r="AQ140" s="483"/>
      <c r="AR140" s="483"/>
      <c r="AS140" s="483"/>
      <c r="AT140" s="483"/>
      <c r="AU140" s="483"/>
      <c r="AV140" s="483"/>
      <c r="AW140" s="483"/>
      <c r="AX140" s="483"/>
      <c r="AY140" s="483"/>
      <c r="AZ140" s="483"/>
      <c r="BA140" s="483"/>
      <c r="BB140" s="483"/>
      <c r="BC140" s="483"/>
      <c r="BD140" s="483"/>
      <c r="BE140" s="483"/>
      <c r="BF140" s="483"/>
      <c r="BG140" s="483"/>
      <c r="BH140" s="483"/>
      <c r="BI140" s="483"/>
      <c r="BJ140" s="483"/>
      <c r="BK140" s="483"/>
      <c r="BL140" s="483"/>
      <c r="BM140" s="483"/>
      <c r="BN140" s="479">
        <f>BN141</f>
        <v>0</v>
      </c>
      <c r="BO140" s="479">
        <f t="shared" ref="BO140" si="136">BO141</f>
        <v>0</v>
      </c>
      <c r="BP140" s="479">
        <f t="shared" ref="BP140" si="137">BP141</f>
        <v>0</v>
      </c>
      <c r="BQ140" s="479">
        <f t="shared" ref="BQ140" si="138">BQ141</f>
        <v>0</v>
      </c>
      <c r="BR140" s="479">
        <f t="shared" ref="BR140" si="139">BR141</f>
        <v>0</v>
      </c>
      <c r="BS140" s="479">
        <f t="shared" ref="BS140" si="140">BS141</f>
        <v>0</v>
      </c>
      <c r="BT140" s="479">
        <f t="shared" ref="BT140" si="141">BT141</f>
        <v>0</v>
      </c>
      <c r="BU140" s="479">
        <f t="shared" ref="BU140" si="142">BU141</f>
        <v>0</v>
      </c>
      <c r="BV140" s="479">
        <f t="shared" ref="BV140" si="143">BV141</f>
        <v>0</v>
      </c>
      <c r="BW140" s="479">
        <f t="shared" ref="BW140" si="144">BW141</f>
        <v>0</v>
      </c>
      <c r="BX140" s="462"/>
      <c r="BY140" s="462"/>
      <c r="BZ140" s="462"/>
      <c r="CA140" s="462"/>
      <c r="CB140" s="462"/>
      <c r="CC140" s="462"/>
      <c r="CD140" s="462"/>
      <c r="CE140" s="462"/>
      <c r="CF140" s="462"/>
      <c r="CG140" s="462"/>
    </row>
    <row r="141" spans="1:85" s="463" customFormat="1" ht="15.75" customHeight="1">
      <c r="A141" s="464"/>
      <c r="B141" s="465"/>
      <c r="C141" s="466" t="s">
        <v>393</v>
      </c>
      <c r="D141" s="467" t="s">
        <v>394</v>
      </c>
      <c r="E141" s="485">
        <v>46288.65</v>
      </c>
      <c r="F141" s="486">
        <v>35248.78</v>
      </c>
      <c r="G141" s="487">
        <f>E141-F141</f>
        <v>11039.870000000003</v>
      </c>
      <c r="H141" s="487"/>
      <c r="I141" s="468">
        <f t="shared" si="88"/>
        <v>0</v>
      </c>
      <c r="J141" s="468">
        <f t="shared" si="89"/>
        <v>0</v>
      </c>
      <c r="K141" s="461"/>
      <c r="L141" s="461"/>
      <c r="M141" s="469"/>
      <c r="N141" s="461"/>
      <c r="O141" s="488">
        <f t="shared" si="93"/>
        <v>0</v>
      </c>
      <c r="P141" s="488">
        <f t="shared" si="94"/>
        <v>0</v>
      </c>
      <c r="Q141" s="488">
        <f t="shared" si="95"/>
        <v>0</v>
      </c>
      <c r="R141" s="480">
        <f t="shared" si="96"/>
        <v>0</v>
      </c>
      <c r="S141" s="480">
        <f t="shared" si="97"/>
        <v>0</v>
      </c>
      <c r="T141" s="480">
        <f t="shared" si="98"/>
        <v>0</v>
      </c>
      <c r="U141" s="489">
        <f t="shared" si="99"/>
        <v>0</v>
      </c>
      <c r="V141" s="490">
        <f t="shared" si="100"/>
        <v>0</v>
      </c>
      <c r="W141" s="489">
        <f t="shared" si="101"/>
        <v>0</v>
      </c>
      <c r="X141" s="491">
        <f t="shared" si="122"/>
        <v>0</v>
      </c>
      <c r="Y141" s="491">
        <f t="shared" si="123"/>
        <v>0</v>
      </c>
      <c r="Z141" s="491">
        <f t="shared" si="124"/>
        <v>0</v>
      </c>
      <c r="AA141" s="469"/>
      <c r="AB141" s="469"/>
      <c r="AC141" s="469"/>
      <c r="AD141" s="469"/>
      <c r="AE141" s="469"/>
      <c r="AF141" s="469"/>
      <c r="AG141" s="469"/>
      <c r="AH141" s="469"/>
      <c r="AI141" s="469"/>
      <c r="AJ141" s="469"/>
      <c r="AK141" s="469"/>
      <c r="AL141" s="469"/>
      <c r="AM141" s="469"/>
      <c r="AN141" s="469"/>
      <c r="AO141" s="469"/>
      <c r="AP141" s="469"/>
      <c r="AQ141" s="469"/>
      <c r="AR141" s="469"/>
      <c r="AS141" s="469"/>
      <c r="AT141" s="469"/>
      <c r="AU141" s="469"/>
      <c r="AV141" s="469"/>
      <c r="AW141" s="469"/>
      <c r="AX141" s="469"/>
      <c r="AY141" s="469"/>
      <c r="AZ141" s="469"/>
      <c r="BA141" s="469"/>
      <c r="BB141" s="469"/>
      <c r="BC141" s="469"/>
      <c r="BD141" s="469"/>
      <c r="BE141" s="469"/>
      <c r="BF141" s="469"/>
      <c r="BG141" s="469"/>
      <c r="BH141" s="470"/>
      <c r="BI141" s="469"/>
      <c r="BJ141" s="469"/>
      <c r="BK141" s="470"/>
      <c r="BL141" s="469"/>
      <c r="BM141" s="469"/>
      <c r="BN141" s="471">
        <f t="shared" ref="BN141" si="145">IF(O141-BK141&gt;0,O141-BK141,0)</f>
        <v>0</v>
      </c>
      <c r="BO141" s="471">
        <f t="shared" ref="BO141" si="146">IF(Q141-BM141&gt;0,Q141-BM141,0)</f>
        <v>0</v>
      </c>
      <c r="BP141" s="471">
        <f t="shared" ref="BP141" si="147">IF(BN141+BO141&gt;0,BN141+BO141,0)</f>
        <v>0</v>
      </c>
      <c r="BQ141" s="471">
        <f t="shared" ref="BQ141" si="148">IF(U141=0,0,U141)</f>
        <v>0</v>
      </c>
      <c r="BR141" s="471">
        <f t="shared" ref="BR141" si="149">IF(W141=0,0,W141)</f>
        <v>0</v>
      </c>
      <c r="BS141" s="471">
        <f t="shared" ref="BS141" si="150">IF(BQ141+BR141&gt;0,BQ141+BR141,0)</f>
        <v>0</v>
      </c>
      <c r="BT141" s="471">
        <f t="shared" ref="BT141" si="151">IF(V141&gt;0,V141,0)</f>
        <v>0</v>
      </c>
      <c r="BU141" s="471">
        <f t="shared" ref="BU141" si="152">IF(BP141=0,0,BP141)</f>
        <v>0</v>
      </c>
      <c r="BV141" s="471">
        <f t="shared" ref="BV141" si="153">IF(BS141=0,0,BS141)</f>
        <v>0</v>
      </c>
      <c r="BW141" s="471">
        <f t="shared" ref="BW141" si="154">IF(BP141+BT141&gt;0,BP141+BT141,0)</f>
        <v>0</v>
      </c>
      <c r="BX141" s="472"/>
      <c r="BY141" s="472"/>
      <c r="BZ141" s="472"/>
      <c r="CA141" s="472"/>
      <c r="CB141" s="472"/>
      <c r="CC141" s="472"/>
      <c r="CD141" s="472"/>
      <c r="CE141" s="472"/>
      <c r="CF141" s="472"/>
      <c r="CG141" s="472"/>
    </row>
    <row r="142" spans="1:85" s="463" customFormat="1" ht="15.75" customHeight="1">
      <c r="A142" s="473"/>
      <c r="B142" s="474"/>
      <c r="C142" s="475"/>
      <c r="D142" s="476" t="s">
        <v>395</v>
      </c>
      <c r="E142" s="477">
        <f>SUM(E143:E150)</f>
        <v>115721.63</v>
      </c>
      <c r="F142" s="483">
        <f>SUM(F143:F150)</f>
        <v>69628.649999999994</v>
      </c>
      <c r="G142" s="483">
        <f>SUM(G143:G150)</f>
        <v>46092.98</v>
      </c>
      <c r="H142" s="483">
        <f>SUM(H143:H150)</f>
        <v>0</v>
      </c>
      <c r="I142" s="478">
        <f t="shared" si="88"/>
        <v>0</v>
      </c>
      <c r="J142" s="478">
        <f t="shared" si="89"/>
        <v>0</v>
      </c>
      <c r="K142" s="483">
        <f t="shared" ref="K142:W142" si="155">SUM(K143:K150)</f>
        <v>0</v>
      </c>
      <c r="L142" s="483">
        <f t="shared" si="155"/>
        <v>0</v>
      </c>
      <c r="M142" s="483">
        <f t="shared" si="155"/>
        <v>0</v>
      </c>
      <c r="N142" s="483">
        <f t="shared" si="155"/>
        <v>0</v>
      </c>
      <c r="O142" s="483">
        <f t="shared" si="155"/>
        <v>0</v>
      </c>
      <c r="P142" s="483">
        <f t="shared" si="155"/>
        <v>0</v>
      </c>
      <c r="Q142" s="483">
        <f t="shared" si="155"/>
        <v>0</v>
      </c>
      <c r="R142" s="483">
        <f t="shared" si="155"/>
        <v>0</v>
      </c>
      <c r="S142" s="483">
        <f t="shared" si="155"/>
        <v>0</v>
      </c>
      <c r="T142" s="483">
        <f t="shared" si="155"/>
        <v>0</v>
      </c>
      <c r="U142" s="484">
        <f t="shared" si="155"/>
        <v>0</v>
      </c>
      <c r="V142" s="484">
        <f t="shared" si="155"/>
        <v>0</v>
      </c>
      <c r="W142" s="484">
        <f t="shared" si="155"/>
        <v>0</v>
      </c>
      <c r="X142" s="482">
        <f t="shared" si="122"/>
        <v>0</v>
      </c>
      <c r="Y142" s="482">
        <f t="shared" si="123"/>
        <v>0</v>
      </c>
      <c r="Z142" s="482">
        <f t="shared" si="124"/>
        <v>0</v>
      </c>
      <c r="AA142" s="483">
        <f t="shared" ref="AA142:BW142" si="156">SUM(AA143:AA150)</f>
        <v>0</v>
      </c>
      <c r="AB142" s="483">
        <f t="shared" si="156"/>
        <v>0</v>
      </c>
      <c r="AC142" s="483">
        <f t="shared" si="156"/>
        <v>0</v>
      </c>
      <c r="AD142" s="483">
        <f t="shared" si="156"/>
        <v>0</v>
      </c>
      <c r="AE142" s="483">
        <f t="shared" si="156"/>
        <v>0</v>
      </c>
      <c r="AF142" s="483">
        <f t="shared" si="156"/>
        <v>0</v>
      </c>
      <c r="AG142" s="483">
        <f t="shared" si="156"/>
        <v>0</v>
      </c>
      <c r="AH142" s="483">
        <f t="shared" si="156"/>
        <v>0</v>
      </c>
      <c r="AI142" s="483">
        <f t="shared" si="156"/>
        <v>0</v>
      </c>
      <c r="AJ142" s="483">
        <f t="shared" si="156"/>
        <v>0</v>
      </c>
      <c r="AK142" s="483">
        <f t="shared" si="156"/>
        <v>0</v>
      </c>
      <c r="AL142" s="483">
        <f t="shared" si="156"/>
        <v>0</v>
      </c>
      <c r="AM142" s="483">
        <f t="shared" si="156"/>
        <v>0</v>
      </c>
      <c r="AN142" s="483">
        <f t="shared" si="156"/>
        <v>0</v>
      </c>
      <c r="AO142" s="483">
        <f t="shared" si="156"/>
        <v>0</v>
      </c>
      <c r="AP142" s="483">
        <f t="shared" si="156"/>
        <v>0</v>
      </c>
      <c r="AQ142" s="483">
        <f t="shared" si="156"/>
        <v>0</v>
      </c>
      <c r="AR142" s="483">
        <f t="shared" si="156"/>
        <v>0</v>
      </c>
      <c r="AS142" s="483">
        <f t="shared" si="156"/>
        <v>0</v>
      </c>
      <c r="AT142" s="483">
        <f t="shared" si="156"/>
        <v>0</v>
      </c>
      <c r="AU142" s="483">
        <f t="shared" si="156"/>
        <v>0</v>
      </c>
      <c r="AV142" s="483">
        <f t="shared" si="156"/>
        <v>0</v>
      </c>
      <c r="AW142" s="483">
        <f t="shared" si="156"/>
        <v>0</v>
      </c>
      <c r="AX142" s="483">
        <f t="shared" si="156"/>
        <v>0</v>
      </c>
      <c r="AY142" s="483">
        <f t="shared" si="156"/>
        <v>0</v>
      </c>
      <c r="AZ142" s="483">
        <f t="shared" si="156"/>
        <v>0</v>
      </c>
      <c r="BA142" s="483">
        <f t="shared" si="156"/>
        <v>0</v>
      </c>
      <c r="BB142" s="483">
        <f t="shared" si="156"/>
        <v>0</v>
      </c>
      <c r="BC142" s="483">
        <f t="shared" si="156"/>
        <v>0</v>
      </c>
      <c r="BD142" s="483">
        <f t="shared" si="156"/>
        <v>0</v>
      </c>
      <c r="BE142" s="483">
        <f t="shared" si="156"/>
        <v>0</v>
      </c>
      <c r="BF142" s="483">
        <f t="shared" si="156"/>
        <v>0</v>
      </c>
      <c r="BG142" s="483">
        <f t="shared" si="156"/>
        <v>0</v>
      </c>
      <c r="BH142" s="483">
        <f t="shared" si="156"/>
        <v>0</v>
      </c>
      <c r="BI142" s="483">
        <f t="shared" si="156"/>
        <v>0</v>
      </c>
      <c r="BJ142" s="483">
        <f t="shared" si="156"/>
        <v>0</v>
      </c>
      <c r="BK142" s="483">
        <f t="shared" si="156"/>
        <v>0</v>
      </c>
      <c r="BL142" s="483">
        <f t="shared" si="156"/>
        <v>0</v>
      </c>
      <c r="BM142" s="483">
        <f t="shared" si="156"/>
        <v>0</v>
      </c>
      <c r="BN142" s="483">
        <f t="shared" si="156"/>
        <v>0</v>
      </c>
      <c r="BO142" s="483">
        <f t="shared" si="156"/>
        <v>0</v>
      </c>
      <c r="BP142" s="483">
        <f t="shared" si="156"/>
        <v>0</v>
      </c>
      <c r="BQ142" s="483">
        <f t="shared" si="156"/>
        <v>0</v>
      </c>
      <c r="BR142" s="483">
        <f t="shared" si="156"/>
        <v>0</v>
      </c>
      <c r="BS142" s="483">
        <f t="shared" si="156"/>
        <v>0</v>
      </c>
      <c r="BT142" s="483">
        <f t="shared" si="156"/>
        <v>0</v>
      </c>
      <c r="BU142" s="483">
        <f t="shared" si="156"/>
        <v>0</v>
      </c>
      <c r="BV142" s="483">
        <f t="shared" si="156"/>
        <v>0</v>
      </c>
      <c r="BW142" s="483">
        <f t="shared" si="156"/>
        <v>0</v>
      </c>
      <c r="BX142" s="462"/>
      <c r="BY142" s="462"/>
      <c r="BZ142" s="462"/>
      <c r="CA142" s="462"/>
      <c r="CB142" s="462"/>
      <c r="CC142" s="462"/>
      <c r="CD142" s="462"/>
      <c r="CE142" s="462"/>
      <c r="CF142" s="462"/>
      <c r="CG142" s="462"/>
    </row>
    <row r="143" spans="1:85" ht="15.75" customHeight="1">
      <c r="A143" s="140"/>
      <c r="B143" s="438"/>
      <c r="C143" s="394" t="s">
        <v>117</v>
      </c>
      <c r="D143" s="44" t="s">
        <v>118</v>
      </c>
      <c r="E143" s="45">
        <v>5000</v>
      </c>
      <c r="F143" s="57">
        <v>0</v>
      </c>
      <c r="G143" s="46">
        <f t="shared" ref="G143:G150" si="157">E143-F143</f>
        <v>5000</v>
      </c>
      <c r="H143" s="46"/>
      <c r="I143" s="47">
        <f t="shared" si="88"/>
        <v>0</v>
      </c>
      <c r="J143" s="47">
        <f t="shared" si="89"/>
        <v>0</v>
      </c>
      <c r="K143" s="141"/>
      <c r="L143" s="141"/>
      <c r="M143" s="142"/>
      <c r="N143" s="141"/>
      <c r="O143" s="128">
        <f t="shared" ref="O143:Q150" si="158">AA143+AD143+AG143+AJ143+AM143+AP143+AS143+AV143+AY143+BB143+BE143+BH143</f>
        <v>0</v>
      </c>
      <c r="P143" s="128">
        <f t="shared" si="158"/>
        <v>0</v>
      </c>
      <c r="Q143" s="128">
        <f t="shared" si="158"/>
        <v>0</v>
      </c>
      <c r="R143" s="52">
        <f t="shared" ref="R143:T150" si="159">IF(BK143=0,SUM(AA143+AD143+AG143+AJ143+AM143+AP143+AS143+AV143+AY143+BB143+BE143+BH143),BK143)</f>
        <v>0</v>
      </c>
      <c r="S143" s="52">
        <f t="shared" si="159"/>
        <v>0</v>
      </c>
      <c r="T143" s="52">
        <f t="shared" si="159"/>
        <v>0</v>
      </c>
      <c r="U143" s="373">
        <f t="shared" ref="U143:U150" si="160">K143-O143</f>
        <v>0</v>
      </c>
      <c r="V143" s="369">
        <f t="shared" ref="V143:V150" si="161">L143-P143-M143</f>
        <v>0</v>
      </c>
      <c r="W143" s="373">
        <f t="shared" ref="W143:W150" si="162">N143-Q143</f>
        <v>0</v>
      </c>
      <c r="X143" s="53">
        <f t="shared" si="122"/>
        <v>0</v>
      </c>
      <c r="Y143" s="53">
        <f t="shared" si="123"/>
        <v>0</v>
      </c>
      <c r="Z143" s="53">
        <f t="shared" si="124"/>
        <v>0</v>
      </c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  <c r="AU143" s="141"/>
      <c r="AV143" s="141"/>
      <c r="AW143" s="141"/>
      <c r="AX143" s="141"/>
      <c r="AY143" s="141"/>
      <c r="AZ143" s="141"/>
      <c r="BA143" s="141"/>
      <c r="BB143" s="141"/>
      <c r="BC143" s="141"/>
      <c r="BD143" s="141"/>
      <c r="BE143" s="141"/>
      <c r="BF143" s="141"/>
      <c r="BG143" s="141"/>
      <c r="BH143" s="141"/>
      <c r="BI143" s="141"/>
      <c r="BJ143" s="141"/>
      <c r="BK143" s="141"/>
      <c r="BL143" s="141"/>
      <c r="BM143" s="141"/>
      <c r="BN143" s="54">
        <f t="shared" ref="BN143" si="163">IF(O143-BK143&gt;0,O143-BK143,0)</f>
        <v>0</v>
      </c>
      <c r="BO143" s="58">
        <f t="shared" ref="BO143" si="164">IF(Q143-BM143&gt;0,Q143-BM143,0)</f>
        <v>0</v>
      </c>
      <c r="BP143" s="54">
        <f t="shared" ref="BP143" si="165">IF(BN143+BO143&gt;0,BN143+BO143,0)</f>
        <v>0</v>
      </c>
      <c r="BQ143" s="54">
        <f t="shared" ref="BQ143" si="166">IF(U143=0,0,U143)</f>
        <v>0</v>
      </c>
      <c r="BR143" s="54">
        <f t="shared" ref="BR143" si="167">IF(W143=0,0,W143)</f>
        <v>0</v>
      </c>
      <c r="BS143" s="54">
        <f t="shared" ref="BS143" si="168">IF(BQ143+BR143&gt;0,BQ143+BR143,0)</f>
        <v>0</v>
      </c>
      <c r="BT143" s="54">
        <f t="shared" ref="BT143" si="169">IF(V143&gt;0,V143,0)</f>
        <v>0</v>
      </c>
      <c r="BU143" s="54">
        <f t="shared" ref="BU143" si="170">IF(BP143=0,0,BP143)</f>
        <v>0</v>
      </c>
      <c r="BV143" s="54">
        <f t="shared" ref="BV143" si="171">IF(BS143=0,0,BS143)</f>
        <v>0</v>
      </c>
      <c r="BW143" s="54">
        <f t="shared" ref="BW143" si="172">IF(BP143+BT143&gt;0,BP143+BT143,0)</f>
        <v>0</v>
      </c>
      <c r="BX143" s="143"/>
      <c r="BY143" s="143"/>
      <c r="BZ143" s="143"/>
      <c r="CA143" s="143"/>
      <c r="CB143" s="143"/>
      <c r="CC143" s="143"/>
      <c r="CD143" s="143"/>
      <c r="CE143" s="143"/>
      <c r="CF143" s="143"/>
      <c r="CG143" s="143"/>
    </row>
    <row r="144" spans="1:85" ht="15.75" customHeight="1">
      <c r="A144" s="140"/>
      <c r="B144" s="438"/>
      <c r="C144" s="403" t="s">
        <v>396</v>
      </c>
      <c r="D144" s="144" t="s">
        <v>397</v>
      </c>
      <c r="E144" s="75">
        <v>15000</v>
      </c>
      <c r="F144" s="46"/>
      <c r="G144" s="46">
        <f t="shared" si="157"/>
        <v>15000</v>
      </c>
      <c r="H144" s="46"/>
      <c r="I144" s="47">
        <f t="shared" si="88"/>
        <v>0</v>
      </c>
      <c r="J144" s="47">
        <f t="shared" si="89"/>
        <v>0</v>
      </c>
      <c r="K144" s="141"/>
      <c r="L144" s="141"/>
      <c r="M144" s="142"/>
      <c r="N144" s="141"/>
      <c r="O144" s="128">
        <f t="shared" si="158"/>
        <v>0</v>
      </c>
      <c r="P144" s="128">
        <f t="shared" si="158"/>
        <v>0</v>
      </c>
      <c r="Q144" s="128">
        <f t="shared" si="158"/>
        <v>0</v>
      </c>
      <c r="R144" s="52">
        <f t="shared" si="159"/>
        <v>0</v>
      </c>
      <c r="S144" s="52">
        <f t="shared" si="159"/>
        <v>0</v>
      </c>
      <c r="T144" s="52">
        <f t="shared" si="159"/>
        <v>0</v>
      </c>
      <c r="U144" s="373">
        <f t="shared" si="160"/>
        <v>0</v>
      </c>
      <c r="V144" s="369">
        <f t="shared" si="161"/>
        <v>0</v>
      </c>
      <c r="W144" s="373">
        <f t="shared" si="162"/>
        <v>0</v>
      </c>
      <c r="X144" s="53">
        <f t="shared" si="122"/>
        <v>0</v>
      </c>
      <c r="Y144" s="53">
        <f t="shared" si="123"/>
        <v>0</v>
      </c>
      <c r="Z144" s="53">
        <f t="shared" si="124"/>
        <v>0</v>
      </c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  <c r="AU144" s="141"/>
      <c r="AV144" s="141"/>
      <c r="AW144" s="141"/>
      <c r="AX144" s="141"/>
      <c r="AY144" s="141"/>
      <c r="AZ144" s="141"/>
      <c r="BA144" s="141"/>
      <c r="BB144" s="141"/>
      <c r="BC144" s="141"/>
      <c r="BD144" s="141"/>
      <c r="BE144" s="141"/>
      <c r="BF144" s="141"/>
      <c r="BG144" s="141"/>
      <c r="BH144" s="141"/>
      <c r="BI144" s="141"/>
      <c r="BJ144" s="141"/>
      <c r="BK144" s="141"/>
      <c r="BL144" s="141"/>
      <c r="BM144" s="141"/>
      <c r="BN144" s="54">
        <f t="shared" ref="BN144:BN150" si="173">IF(O144-BK144&gt;0,O144-BK144,0)</f>
        <v>0</v>
      </c>
      <c r="BO144" s="58">
        <f t="shared" ref="BO144:BO150" si="174">IF(Q144-BM144&gt;0,Q144-BM144,0)</f>
        <v>0</v>
      </c>
      <c r="BP144" s="54">
        <f t="shared" ref="BP144:BP150" si="175">IF(BN144+BO144&gt;0,BN144+BO144,0)</f>
        <v>0</v>
      </c>
      <c r="BQ144" s="54">
        <f t="shared" ref="BQ144:BQ150" si="176">IF(U144=0,0,U144)</f>
        <v>0</v>
      </c>
      <c r="BR144" s="54">
        <f t="shared" ref="BR144:BR150" si="177">IF(W144=0,0,W144)</f>
        <v>0</v>
      </c>
      <c r="BS144" s="54">
        <f t="shared" ref="BS144:BS150" si="178">IF(BQ144+BR144&gt;0,BQ144+BR144,0)</f>
        <v>0</v>
      </c>
      <c r="BT144" s="54">
        <f t="shared" ref="BT144:BT150" si="179">IF(V144&gt;0,V144,0)</f>
        <v>0</v>
      </c>
      <c r="BU144" s="54">
        <f t="shared" ref="BU144:BU150" si="180">IF(BP144=0,0,BP144)</f>
        <v>0</v>
      </c>
      <c r="BV144" s="54">
        <f t="shared" ref="BV144:BV150" si="181">IF(BS144=0,0,BS144)</f>
        <v>0</v>
      </c>
      <c r="BW144" s="54">
        <f t="shared" ref="BW144:BW150" si="182">IF(BP144+BT144&gt;0,BP144+BT144,0)</f>
        <v>0</v>
      </c>
      <c r="BX144" s="143"/>
      <c r="BY144" s="143"/>
      <c r="BZ144" s="143"/>
      <c r="CA144" s="143"/>
      <c r="CB144" s="143"/>
      <c r="CC144" s="143"/>
      <c r="CD144" s="143"/>
      <c r="CE144" s="143"/>
      <c r="CF144" s="143"/>
      <c r="CG144" s="143"/>
    </row>
    <row r="145" spans="1:85" ht="15.75" customHeight="1">
      <c r="A145" s="140"/>
      <c r="B145" s="438"/>
      <c r="C145" s="394" t="s">
        <v>209</v>
      </c>
      <c r="D145" s="78" t="s">
        <v>398</v>
      </c>
      <c r="E145" s="45">
        <v>1200</v>
      </c>
      <c r="F145" s="46"/>
      <c r="G145" s="46">
        <f t="shared" si="157"/>
        <v>1200</v>
      </c>
      <c r="H145" s="46"/>
      <c r="I145" s="47">
        <f t="shared" si="88"/>
        <v>0</v>
      </c>
      <c r="J145" s="47">
        <f t="shared" si="89"/>
        <v>0</v>
      </c>
      <c r="K145" s="141"/>
      <c r="L145" s="141"/>
      <c r="M145" s="142"/>
      <c r="N145" s="141"/>
      <c r="O145" s="128">
        <f t="shared" si="158"/>
        <v>0</v>
      </c>
      <c r="P145" s="128">
        <f t="shared" si="158"/>
        <v>0</v>
      </c>
      <c r="Q145" s="128">
        <f t="shared" si="158"/>
        <v>0</v>
      </c>
      <c r="R145" s="52">
        <f t="shared" si="159"/>
        <v>0</v>
      </c>
      <c r="S145" s="52">
        <f t="shared" si="159"/>
        <v>0</v>
      </c>
      <c r="T145" s="52">
        <f t="shared" si="159"/>
        <v>0</v>
      </c>
      <c r="U145" s="373">
        <f t="shared" si="160"/>
        <v>0</v>
      </c>
      <c r="V145" s="369">
        <f t="shared" si="161"/>
        <v>0</v>
      </c>
      <c r="W145" s="373">
        <f t="shared" si="162"/>
        <v>0</v>
      </c>
      <c r="X145" s="53">
        <f t="shared" si="122"/>
        <v>0</v>
      </c>
      <c r="Y145" s="53">
        <f t="shared" si="123"/>
        <v>0</v>
      </c>
      <c r="Z145" s="53">
        <f t="shared" si="124"/>
        <v>0</v>
      </c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  <c r="AU145" s="141"/>
      <c r="AV145" s="141"/>
      <c r="AW145" s="141"/>
      <c r="AX145" s="141"/>
      <c r="AY145" s="141"/>
      <c r="AZ145" s="141"/>
      <c r="BA145" s="141"/>
      <c r="BB145" s="141"/>
      <c r="BC145" s="141"/>
      <c r="BD145" s="141"/>
      <c r="BE145" s="141"/>
      <c r="BF145" s="141"/>
      <c r="BG145" s="141"/>
      <c r="BH145" s="141"/>
      <c r="BI145" s="141"/>
      <c r="BJ145" s="141"/>
      <c r="BK145" s="141"/>
      <c r="BL145" s="141"/>
      <c r="BM145" s="141"/>
      <c r="BN145" s="54">
        <f t="shared" si="173"/>
        <v>0</v>
      </c>
      <c r="BO145" s="58">
        <f t="shared" si="174"/>
        <v>0</v>
      </c>
      <c r="BP145" s="54">
        <f t="shared" si="175"/>
        <v>0</v>
      </c>
      <c r="BQ145" s="54">
        <f t="shared" si="176"/>
        <v>0</v>
      </c>
      <c r="BR145" s="54">
        <f t="shared" si="177"/>
        <v>0</v>
      </c>
      <c r="BS145" s="54">
        <f t="shared" si="178"/>
        <v>0</v>
      </c>
      <c r="BT145" s="54">
        <f t="shared" si="179"/>
        <v>0</v>
      </c>
      <c r="BU145" s="54">
        <f t="shared" si="180"/>
        <v>0</v>
      </c>
      <c r="BV145" s="54">
        <f t="shared" si="181"/>
        <v>0</v>
      </c>
      <c r="BW145" s="54">
        <f t="shared" si="182"/>
        <v>0</v>
      </c>
      <c r="BX145" s="143"/>
      <c r="BY145" s="143"/>
      <c r="BZ145" s="143"/>
      <c r="CA145" s="143"/>
      <c r="CB145" s="143"/>
      <c r="CC145" s="143"/>
      <c r="CD145" s="143"/>
      <c r="CE145" s="143"/>
      <c r="CF145" s="143"/>
      <c r="CG145" s="143"/>
    </row>
    <row r="146" spans="1:85" ht="15.75" customHeight="1">
      <c r="A146" s="140"/>
      <c r="B146" s="438"/>
      <c r="C146" s="394" t="s">
        <v>399</v>
      </c>
      <c r="D146" s="78" t="s">
        <v>400</v>
      </c>
      <c r="E146" s="45">
        <v>3800</v>
      </c>
      <c r="F146" s="46"/>
      <c r="G146" s="46">
        <f t="shared" si="157"/>
        <v>3800</v>
      </c>
      <c r="H146" s="46"/>
      <c r="I146" s="47">
        <f t="shared" si="88"/>
        <v>0</v>
      </c>
      <c r="J146" s="47">
        <f t="shared" si="89"/>
        <v>0</v>
      </c>
      <c r="K146" s="141"/>
      <c r="L146" s="141"/>
      <c r="M146" s="142"/>
      <c r="N146" s="141"/>
      <c r="O146" s="128">
        <f t="shared" si="158"/>
        <v>0</v>
      </c>
      <c r="P146" s="128">
        <f t="shared" si="158"/>
        <v>0</v>
      </c>
      <c r="Q146" s="128">
        <f t="shared" si="158"/>
        <v>0</v>
      </c>
      <c r="R146" s="52">
        <f t="shared" si="159"/>
        <v>0</v>
      </c>
      <c r="S146" s="52">
        <f t="shared" si="159"/>
        <v>0</v>
      </c>
      <c r="T146" s="52">
        <f t="shared" si="159"/>
        <v>0</v>
      </c>
      <c r="U146" s="373">
        <f t="shared" si="160"/>
        <v>0</v>
      </c>
      <c r="V146" s="369">
        <f t="shared" si="161"/>
        <v>0</v>
      </c>
      <c r="W146" s="373">
        <f t="shared" si="162"/>
        <v>0</v>
      </c>
      <c r="X146" s="53">
        <f t="shared" si="122"/>
        <v>0</v>
      </c>
      <c r="Y146" s="53">
        <f t="shared" si="123"/>
        <v>0</v>
      </c>
      <c r="Z146" s="53">
        <f t="shared" si="124"/>
        <v>0</v>
      </c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  <c r="AU146" s="141"/>
      <c r="AV146" s="141"/>
      <c r="AW146" s="141"/>
      <c r="AX146" s="141"/>
      <c r="AY146" s="141"/>
      <c r="AZ146" s="141"/>
      <c r="BA146" s="141"/>
      <c r="BB146" s="141"/>
      <c r="BC146" s="141"/>
      <c r="BD146" s="141"/>
      <c r="BE146" s="141"/>
      <c r="BF146" s="141"/>
      <c r="BG146" s="141"/>
      <c r="BH146" s="141"/>
      <c r="BI146" s="141"/>
      <c r="BJ146" s="141"/>
      <c r="BK146" s="141"/>
      <c r="BL146" s="141"/>
      <c r="BM146" s="141"/>
      <c r="BN146" s="54">
        <f t="shared" si="173"/>
        <v>0</v>
      </c>
      <c r="BO146" s="58">
        <f t="shared" si="174"/>
        <v>0</v>
      </c>
      <c r="BP146" s="54">
        <f t="shared" si="175"/>
        <v>0</v>
      </c>
      <c r="BQ146" s="54">
        <f t="shared" si="176"/>
        <v>0</v>
      </c>
      <c r="BR146" s="54">
        <f t="shared" si="177"/>
        <v>0</v>
      </c>
      <c r="BS146" s="54">
        <f t="shared" si="178"/>
        <v>0</v>
      </c>
      <c r="BT146" s="54">
        <f t="shared" si="179"/>
        <v>0</v>
      </c>
      <c r="BU146" s="54">
        <f t="shared" si="180"/>
        <v>0</v>
      </c>
      <c r="BV146" s="54">
        <f t="shared" si="181"/>
        <v>0</v>
      </c>
      <c r="BW146" s="54">
        <f t="shared" si="182"/>
        <v>0</v>
      </c>
      <c r="BX146" s="143"/>
      <c r="BY146" s="143"/>
      <c r="BZ146" s="143"/>
      <c r="CA146" s="143"/>
      <c r="CB146" s="143"/>
      <c r="CC146" s="143"/>
      <c r="CD146" s="143"/>
      <c r="CE146" s="143"/>
      <c r="CF146" s="143"/>
      <c r="CG146" s="143"/>
    </row>
    <row r="147" spans="1:85" ht="15.75" customHeight="1">
      <c r="A147" s="140"/>
      <c r="B147" s="438"/>
      <c r="C147" s="394" t="s">
        <v>240</v>
      </c>
      <c r="D147" s="44" t="s">
        <v>401</v>
      </c>
      <c r="E147" s="45">
        <v>30000</v>
      </c>
      <c r="F147" s="46">
        <f>69628.65-60721.63</f>
        <v>8907.0199999999968</v>
      </c>
      <c r="G147" s="46">
        <f t="shared" si="157"/>
        <v>21092.980000000003</v>
      </c>
      <c r="H147" s="46"/>
      <c r="I147" s="47">
        <f t="shared" si="88"/>
        <v>0</v>
      </c>
      <c r="J147" s="47">
        <f t="shared" si="89"/>
        <v>0</v>
      </c>
      <c r="K147" s="141"/>
      <c r="L147" s="141"/>
      <c r="M147" s="142"/>
      <c r="N147" s="141"/>
      <c r="O147" s="128">
        <f t="shared" si="158"/>
        <v>0</v>
      </c>
      <c r="P147" s="128">
        <f t="shared" si="158"/>
        <v>0</v>
      </c>
      <c r="Q147" s="128">
        <f t="shared" si="158"/>
        <v>0</v>
      </c>
      <c r="R147" s="52">
        <f t="shared" si="159"/>
        <v>0</v>
      </c>
      <c r="S147" s="52">
        <f t="shared" si="159"/>
        <v>0</v>
      </c>
      <c r="T147" s="52">
        <f t="shared" si="159"/>
        <v>0</v>
      </c>
      <c r="U147" s="373">
        <f t="shared" si="160"/>
        <v>0</v>
      </c>
      <c r="V147" s="369">
        <f t="shared" si="161"/>
        <v>0</v>
      </c>
      <c r="W147" s="373">
        <f t="shared" si="162"/>
        <v>0</v>
      </c>
      <c r="X147" s="53">
        <f t="shared" si="122"/>
        <v>0</v>
      </c>
      <c r="Y147" s="53">
        <f t="shared" si="123"/>
        <v>0</v>
      </c>
      <c r="Z147" s="53">
        <f t="shared" si="124"/>
        <v>0</v>
      </c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  <c r="AU147" s="141"/>
      <c r="AV147" s="141"/>
      <c r="AW147" s="141"/>
      <c r="AX147" s="141"/>
      <c r="AY147" s="141"/>
      <c r="AZ147" s="141"/>
      <c r="BA147" s="141"/>
      <c r="BB147" s="141"/>
      <c r="BC147" s="141"/>
      <c r="BD147" s="141"/>
      <c r="BE147" s="141"/>
      <c r="BF147" s="141"/>
      <c r="BG147" s="141"/>
      <c r="BH147" s="141"/>
      <c r="BI147" s="141"/>
      <c r="BJ147" s="141"/>
      <c r="BK147" s="141"/>
      <c r="BL147" s="141"/>
      <c r="BM147" s="141"/>
      <c r="BN147" s="54">
        <f t="shared" si="173"/>
        <v>0</v>
      </c>
      <c r="BO147" s="58">
        <f t="shared" si="174"/>
        <v>0</v>
      </c>
      <c r="BP147" s="54">
        <f t="shared" si="175"/>
        <v>0</v>
      </c>
      <c r="BQ147" s="54">
        <f t="shared" si="176"/>
        <v>0</v>
      </c>
      <c r="BR147" s="54">
        <f t="shared" si="177"/>
        <v>0</v>
      </c>
      <c r="BS147" s="54">
        <f t="shared" si="178"/>
        <v>0</v>
      </c>
      <c r="BT147" s="54">
        <f t="shared" si="179"/>
        <v>0</v>
      </c>
      <c r="BU147" s="54">
        <f t="shared" si="180"/>
        <v>0</v>
      </c>
      <c r="BV147" s="54">
        <f t="shared" si="181"/>
        <v>0</v>
      </c>
      <c r="BW147" s="54">
        <f t="shared" si="182"/>
        <v>0</v>
      </c>
      <c r="BX147" s="143"/>
      <c r="BY147" s="143"/>
      <c r="BZ147" s="143"/>
      <c r="CA147" s="143"/>
      <c r="CB147" s="143"/>
      <c r="CC147" s="143"/>
      <c r="CD147" s="143"/>
      <c r="CE147" s="143"/>
      <c r="CF147" s="143"/>
      <c r="CG147" s="143"/>
    </row>
    <row r="148" spans="1:85" ht="15.75" customHeight="1">
      <c r="A148" s="118"/>
      <c r="B148" s="435"/>
      <c r="C148" s="394" t="s">
        <v>402</v>
      </c>
      <c r="D148" s="125" t="s">
        <v>403</v>
      </c>
      <c r="E148" s="45">
        <v>3000</v>
      </c>
      <c r="F148" s="57">
        <v>3000</v>
      </c>
      <c r="G148" s="46">
        <f t="shared" si="157"/>
        <v>0</v>
      </c>
      <c r="H148" s="46"/>
      <c r="I148" s="47">
        <f t="shared" si="88"/>
        <v>0</v>
      </c>
      <c r="J148" s="47">
        <f t="shared" si="89"/>
        <v>0</v>
      </c>
      <c r="K148" s="119"/>
      <c r="L148" s="119"/>
      <c r="M148" s="120"/>
      <c r="N148" s="119"/>
      <c r="O148" s="128">
        <f t="shared" si="158"/>
        <v>0</v>
      </c>
      <c r="P148" s="128">
        <f t="shared" si="158"/>
        <v>0</v>
      </c>
      <c r="Q148" s="128">
        <f t="shared" si="158"/>
        <v>0</v>
      </c>
      <c r="R148" s="52">
        <f t="shared" si="159"/>
        <v>0</v>
      </c>
      <c r="S148" s="52">
        <f t="shared" si="159"/>
        <v>0</v>
      </c>
      <c r="T148" s="52">
        <f t="shared" si="159"/>
        <v>0</v>
      </c>
      <c r="U148" s="373">
        <f t="shared" si="160"/>
        <v>0</v>
      </c>
      <c r="V148" s="369">
        <f t="shared" si="161"/>
        <v>0</v>
      </c>
      <c r="W148" s="373">
        <f t="shared" si="162"/>
        <v>0</v>
      </c>
      <c r="X148" s="53">
        <f t="shared" si="122"/>
        <v>0</v>
      </c>
      <c r="Y148" s="53">
        <f t="shared" si="123"/>
        <v>0</v>
      </c>
      <c r="Z148" s="53">
        <f t="shared" si="124"/>
        <v>0</v>
      </c>
      <c r="AA148" s="119"/>
      <c r="AB148" s="119"/>
      <c r="AC148" s="119"/>
      <c r="AD148" s="119"/>
      <c r="AE148" s="119"/>
      <c r="AF148" s="119"/>
      <c r="AG148" s="119"/>
      <c r="AH148" s="119"/>
      <c r="AI148" s="119"/>
      <c r="AJ148" s="119"/>
      <c r="AK148" s="119"/>
      <c r="AL148" s="119"/>
      <c r="AM148" s="119"/>
      <c r="AN148" s="119"/>
      <c r="AO148" s="119"/>
      <c r="AP148" s="119"/>
      <c r="AQ148" s="119"/>
      <c r="AR148" s="119"/>
      <c r="AS148" s="119"/>
      <c r="AT148" s="119"/>
      <c r="AU148" s="119"/>
      <c r="AV148" s="119"/>
      <c r="AW148" s="119"/>
      <c r="AX148" s="119"/>
      <c r="AY148" s="119"/>
      <c r="AZ148" s="119"/>
      <c r="BA148" s="119"/>
      <c r="BB148" s="119"/>
      <c r="BC148" s="119"/>
      <c r="BD148" s="119"/>
      <c r="BE148" s="119"/>
      <c r="BF148" s="119"/>
      <c r="BG148" s="119"/>
      <c r="BH148" s="119"/>
      <c r="BI148" s="119"/>
      <c r="BJ148" s="119"/>
      <c r="BK148" s="119"/>
      <c r="BL148" s="119"/>
      <c r="BM148" s="119"/>
      <c r="BN148" s="54">
        <f t="shared" si="173"/>
        <v>0</v>
      </c>
      <c r="BO148" s="58">
        <f t="shared" si="174"/>
        <v>0</v>
      </c>
      <c r="BP148" s="54">
        <f t="shared" si="175"/>
        <v>0</v>
      </c>
      <c r="BQ148" s="54">
        <f t="shared" si="176"/>
        <v>0</v>
      </c>
      <c r="BR148" s="54">
        <f t="shared" si="177"/>
        <v>0</v>
      </c>
      <c r="BS148" s="54">
        <f t="shared" si="178"/>
        <v>0</v>
      </c>
      <c r="BT148" s="54">
        <f t="shared" si="179"/>
        <v>0</v>
      </c>
      <c r="BU148" s="54">
        <f t="shared" si="180"/>
        <v>0</v>
      </c>
      <c r="BV148" s="54">
        <f t="shared" si="181"/>
        <v>0</v>
      </c>
      <c r="BW148" s="54">
        <f t="shared" si="182"/>
        <v>0</v>
      </c>
      <c r="BX148" s="1"/>
      <c r="BY148" s="1"/>
      <c r="BZ148" s="1"/>
      <c r="CA148" s="1"/>
      <c r="CB148" s="1"/>
      <c r="CC148" s="1"/>
      <c r="CD148" s="1"/>
      <c r="CE148" s="1"/>
      <c r="CF148" s="1"/>
      <c r="CG148" s="1"/>
    </row>
    <row r="149" spans="1:85" ht="15.75" customHeight="1">
      <c r="A149" s="118"/>
      <c r="B149" s="435"/>
      <c r="C149" s="394" t="s">
        <v>404</v>
      </c>
      <c r="D149" s="125" t="s">
        <v>405</v>
      </c>
      <c r="E149" s="45">
        <v>17000</v>
      </c>
      <c r="F149" s="57">
        <v>17000</v>
      </c>
      <c r="G149" s="46">
        <f t="shared" si="157"/>
        <v>0</v>
      </c>
      <c r="H149" s="46"/>
      <c r="I149" s="47">
        <f t="shared" si="88"/>
        <v>0</v>
      </c>
      <c r="J149" s="47">
        <f t="shared" si="89"/>
        <v>0</v>
      </c>
      <c r="K149" s="119"/>
      <c r="L149" s="119"/>
      <c r="M149" s="120"/>
      <c r="N149" s="119"/>
      <c r="O149" s="128">
        <f t="shared" si="158"/>
        <v>0</v>
      </c>
      <c r="P149" s="128">
        <f t="shared" si="158"/>
        <v>0</v>
      </c>
      <c r="Q149" s="128">
        <f t="shared" si="158"/>
        <v>0</v>
      </c>
      <c r="R149" s="52">
        <f t="shared" si="159"/>
        <v>0</v>
      </c>
      <c r="S149" s="52">
        <f t="shared" si="159"/>
        <v>0</v>
      </c>
      <c r="T149" s="52">
        <f t="shared" si="159"/>
        <v>0</v>
      </c>
      <c r="U149" s="373">
        <f t="shared" si="160"/>
        <v>0</v>
      </c>
      <c r="V149" s="369">
        <f t="shared" si="161"/>
        <v>0</v>
      </c>
      <c r="W149" s="373">
        <f t="shared" si="162"/>
        <v>0</v>
      </c>
      <c r="X149" s="53">
        <f t="shared" si="122"/>
        <v>0</v>
      </c>
      <c r="Y149" s="53">
        <f t="shared" si="123"/>
        <v>0</v>
      </c>
      <c r="Z149" s="53">
        <f t="shared" si="124"/>
        <v>0</v>
      </c>
      <c r="AA149" s="119"/>
      <c r="AB149" s="119"/>
      <c r="AC149" s="119"/>
      <c r="AD149" s="119"/>
      <c r="AE149" s="119"/>
      <c r="AF149" s="119"/>
      <c r="AG149" s="119"/>
      <c r="AH149" s="119"/>
      <c r="AI149" s="119"/>
      <c r="AJ149" s="119"/>
      <c r="AK149" s="119"/>
      <c r="AL149" s="119"/>
      <c r="AM149" s="119"/>
      <c r="AN149" s="119"/>
      <c r="AO149" s="119"/>
      <c r="AP149" s="119"/>
      <c r="AQ149" s="119"/>
      <c r="AR149" s="119"/>
      <c r="AS149" s="119"/>
      <c r="AT149" s="119"/>
      <c r="AU149" s="119"/>
      <c r="AV149" s="119"/>
      <c r="AW149" s="119"/>
      <c r="AX149" s="119"/>
      <c r="AY149" s="119"/>
      <c r="AZ149" s="119"/>
      <c r="BA149" s="119"/>
      <c r="BB149" s="119"/>
      <c r="BC149" s="119"/>
      <c r="BD149" s="119"/>
      <c r="BE149" s="119"/>
      <c r="BF149" s="119"/>
      <c r="BG149" s="119"/>
      <c r="BH149" s="119"/>
      <c r="BI149" s="119"/>
      <c r="BJ149" s="119"/>
      <c r="BK149" s="119"/>
      <c r="BL149" s="119"/>
      <c r="BM149" s="119"/>
      <c r="BN149" s="54">
        <f t="shared" si="173"/>
        <v>0</v>
      </c>
      <c r="BO149" s="58">
        <f t="shared" si="174"/>
        <v>0</v>
      </c>
      <c r="BP149" s="54">
        <f t="shared" si="175"/>
        <v>0</v>
      </c>
      <c r="BQ149" s="54">
        <f t="shared" si="176"/>
        <v>0</v>
      </c>
      <c r="BR149" s="54">
        <f t="shared" si="177"/>
        <v>0</v>
      </c>
      <c r="BS149" s="54">
        <f t="shared" si="178"/>
        <v>0</v>
      </c>
      <c r="BT149" s="54">
        <f t="shared" si="179"/>
        <v>0</v>
      </c>
      <c r="BU149" s="54">
        <f t="shared" si="180"/>
        <v>0</v>
      </c>
      <c r="BV149" s="54">
        <f t="shared" si="181"/>
        <v>0</v>
      </c>
      <c r="BW149" s="54">
        <f t="shared" si="182"/>
        <v>0</v>
      </c>
      <c r="BX149" s="1"/>
      <c r="BY149" s="1"/>
      <c r="BZ149" s="1"/>
      <c r="CA149" s="1"/>
      <c r="CB149" s="1"/>
      <c r="CC149" s="1"/>
      <c r="CD149" s="1"/>
      <c r="CE149" s="1"/>
      <c r="CF149" s="1"/>
      <c r="CG149" s="1"/>
    </row>
    <row r="150" spans="1:85" ht="15.75" customHeight="1">
      <c r="A150" s="118"/>
      <c r="B150" s="435"/>
      <c r="C150" s="394" t="s">
        <v>406</v>
      </c>
      <c r="D150" s="125" t="s">
        <v>407</v>
      </c>
      <c r="E150" s="45">
        <v>40721.629999999997</v>
      </c>
      <c r="F150" s="57">
        <v>40721.629999999997</v>
      </c>
      <c r="G150" s="46">
        <f t="shared" si="157"/>
        <v>0</v>
      </c>
      <c r="H150" s="46"/>
      <c r="I150" s="47">
        <f t="shared" si="88"/>
        <v>0</v>
      </c>
      <c r="J150" s="47">
        <f t="shared" si="89"/>
        <v>0</v>
      </c>
      <c r="K150" s="119"/>
      <c r="L150" s="119"/>
      <c r="M150" s="120"/>
      <c r="N150" s="119"/>
      <c r="O150" s="128">
        <f t="shared" si="158"/>
        <v>0</v>
      </c>
      <c r="P150" s="128">
        <f t="shared" si="158"/>
        <v>0</v>
      </c>
      <c r="Q150" s="128">
        <f t="shared" si="158"/>
        <v>0</v>
      </c>
      <c r="R150" s="52">
        <f t="shared" si="159"/>
        <v>0</v>
      </c>
      <c r="S150" s="52">
        <f t="shared" si="159"/>
        <v>0</v>
      </c>
      <c r="T150" s="52">
        <f t="shared" si="159"/>
        <v>0</v>
      </c>
      <c r="U150" s="373">
        <f t="shared" si="160"/>
        <v>0</v>
      </c>
      <c r="V150" s="369">
        <f t="shared" si="161"/>
        <v>0</v>
      </c>
      <c r="W150" s="373">
        <f t="shared" si="162"/>
        <v>0</v>
      </c>
      <c r="X150" s="53">
        <f t="shared" si="122"/>
        <v>0</v>
      </c>
      <c r="Y150" s="53">
        <f t="shared" si="123"/>
        <v>0</v>
      </c>
      <c r="Z150" s="53">
        <f t="shared" si="124"/>
        <v>0</v>
      </c>
      <c r="AA150" s="119"/>
      <c r="AB150" s="119"/>
      <c r="AC150" s="119"/>
      <c r="AD150" s="119"/>
      <c r="AE150" s="119"/>
      <c r="AF150" s="119"/>
      <c r="AG150" s="119"/>
      <c r="AH150" s="119"/>
      <c r="AI150" s="119"/>
      <c r="AJ150" s="119"/>
      <c r="AK150" s="119"/>
      <c r="AL150" s="119"/>
      <c r="AM150" s="119"/>
      <c r="AN150" s="119"/>
      <c r="AO150" s="119"/>
      <c r="AP150" s="119"/>
      <c r="AQ150" s="119"/>
      <c r="AR150" s="119"/>
      <c r="AS150" s="119"/>
      <c r="AT150" s="119"/>
      <c r="AU150" s="119"/>
      <c r="AV150" s="119"/>
      <c r="AW150" s="119"/>
      <c r="AX150" s="119"/>
      <c r="AY150" s="119"/>
      <c r="AZ150" s="119"/>
      <c r="BA150" s="119"/>
      <c r="BB150" s="119"/>
      <c r="BC150" s="119"/>
      <c r="BD150" s="119"/>
      <c r="BE150" s="119"/>
      <c r="BF150" s="119"/>
      <c r="BG150" s="119"/>
      <c r="BH150" s="119"/>
      <c r="BI150" s="119"/>
      <c r="BJ150" s="119"/>
      <c r="BK150" s="119"/>
      <c r="BL150" s="119"/>
      <c r="BM150" s="119"/>
      <c r="BN150" s="54">
        <f t="shared" si="173"/>
        <v>0</v>
      </c>
      <c r="BO150" s="58">
        <f t="shared" si="174"/>
        <v>0</v>
      </c>
      <c r="BP150" s="54">
        <f t="shared" si="175"/>
        <v>0</v>
      </c>
      <c r="BQ150" s="54">
        <f t="shared" si="176"/>
        <v>0</v>
      </c>
      <c r="BR150" s="54">
        <f t="shared" si="177"/>
        <v>0</v>
      </c>
      <c r="BS150" s="54">
        <f t="shared" si="178"/>
        <v>0</v>
      </c>
      <c r="BT150" s="54">
        <f t="shared" si="179"/>
        <v>0</v>
      </c>
      <c r="BU150" s="54">
        <f t="shared" si="180"/>
        <v>0</v>
      </c>
      <c r="BV150" s="54">
        <f t="shared" si="181"/>
        <v>0</v>
      </c>
      <c r="BW150" s="54">
        <f t="shared" si="182"/>
        <v>0</v>
      </c>
      <c r="BX150" s="1"/>
      <c r="BY150" s="1"/>
      <c r="BZ150" s="1"/>
      <c r="CA150" s="1"/>
      <c r="CB150" s="1"/>
      <c r="CC150" s="1"/>
      <c r="CD150" s="1"/>
      <c r="CE150" s="1"/>
      <c r="CF150" s="1"/>
      <c r="CG150" s="1"/>
    </row>
    <row r="151" spans="1:85" ht="15.75" customHeight="1">
      <c r="A151" s="145"/>
      <c r="B151" s="434"/>
      <c r="C151" s="404"/>
      <c r="D151" s="111" t="s">
        <v>408</v>
      </c>
      <c r="E151" s="112">
        <f t="shared" ref="E151:W151" si="183">SUM(E152:E155)</f>
        <v>46288.65</v>
      </c>
      <c r="F151" s="113">
        <f t="shared" si="183"/>
        <v>46288.65</v>
      </c>
      <c r="G151" s="113">
        <f t="shared" si="183"/>
        <v>0</v>
      </c>
      <c r="H151" s="113">
        <f t="shared" si="183"/>
        <v>0</v>
      </c>
      <c r="I151" s="113">
        <f t="shared" si="183"/>
        <v>0</v>
      </c>
      <c r="J151" s="113">
        <f t="shared" si="183"/>
        <v>0</v>
      </c>
      <c r="K151" s="113">
        <f t="shared" si="183"/>
        <v>0</v>
      </c>
      <c r="L151" s="113">
        <f t="shared" si="183"/>
        <v>0</v>
      </c>
      <c r="M151" s="113">
        <f t="shared" si="183"/>
        <v>0</v>
      </c>
      <c r="N151" s="113">
        <f t="shared" si="183"/>
        <v>0</v>
      </c>
      <c r="O151" s="113">
        <f t="shared" si="183"/>
        <v>0</v>
      </c>
      <c r="P151" s="113">
        <f t="shared" si="183"/>
        <v>0</v>
      </c>
      <c r="Q151" s="113">
        <f t="shared" si="183"/>
        <v>0</v>
      </c>
      <c r="R151" s="113">
        <f t="shared" si="183"/>
        <v>0</v>
      </c>
      <c r="S151" s="113">
        <f t="shared" si="183"/>
        <v>0</v>
      </c>
      <c r="T151" s="113">
        <f t="shared" si="183"/>
        <v>0</v>
      </c>
      <c r="U151" s="372">
        <f t="shared" si="183"/>
        <v>0</v>
      </c>
      <c r="V151" s="372">
        <f t="shared" si="183"/>
        <v>0</v>
      </c>
      <c r="W151" s="372">
        <f t="shared" si="183"/>
        <v>0</v>
      </c>
      <c r="X151" s="138">
        <f t="shared" si="122"/>
        <v>0</v>
      </c>
      <c r="Y151" s="138">
        <f t="shared" si="123"/>
        <v>0</v>
      </c>
      <c r="Z151" s="138">
        <f t="shared" si="124"/>
        <v>0</v>
      </c>
      <c r="AA151" s="113">
        <f t="shared" ref="AA151:BW151" si="184">SUM(AA152:AA155)</f>
        <v>0</v>
      </c>
      <c r="AB151" s="113">
        <f t="shared" si="184"/>
        <v>0</v>
      </c>
      <c r="AC151" s="113">
        <f t="shared" si="184"/>
        <v>0</v>
      </c>
      <c r="AD151" s="113">
        <f t="shared" si="184"/>
        <v>0</v>
      </c>
      <c r="AE151" s="113">
        <f t="shared" si="184"/>
        <v>0</v>
      </c>
      <c r="AF151" s="113">
        <f t="shared" si="184"/>
        <v>0</v>
      </c>
      <c r="AG151" s="113">
        <f t="shared" si="184"/>
        <v>0</v>
      </c>
      <c r="AH151" s="113">
        <f t="shared" si="184"/>
        <v>0</v>
      </c>
      <c r="AI151" s="113">
        <f t="shared" si="184"/>
        <v>0</v>
      </c>
      <c r="AJ151" s="113">
        <f t="shared" si="184"/>
        <v>0</v>
      </c>
      <c r="AK151" s="113">
        <f t="shared" si="184"/>
        <v>0</v>
      </c>
      <c r="AL151" s="113">
        <f t="shared" si="184"/>
        <v>0</v>
      </c>
      <c r="AM151" s="113">
        <f t="shared" si="184"/>
        <v>0</v>
      </c>
      <c r="AN151" s="113">
        <f t="shared" si="184"/>
        <v>0</v>
      </c>
      <c r="AO151" s="113">
        <f t="shared" si="184"/>
        <v>0</v>
      </c>
      <c r="AP151" s="113">
        <f t="shared" si="184"/>
        <v>0</v>
      </c>
      <c r="AQ151" s="113">
        <f t="shared" si="184"/>
        <v>0</v>
      </c>
      <c r="AR151" s="113">
        <f t="shared" si="184"/>
        <v>0</v>
      </c>
      <c r="AS151" s="113">
        <f t="shared" si="184"/>
        <v>0</v>
      </c>
      <c r="AT151" s="113">
        <f t="shared" si="184"/>
        <v>0</v>
      </c>
      <c r="AU151" s="113">
        <f t="shared" si="184"/>
        <v>0</v>
      </c>
      <c r="AV151" s="113">
        <f t="shared" si="184"/>
        <v>0</v>
      </c>
      <c r="AW151" s="113">
        <f t="shared" si="184"/>
        <v>0</v>
      </c>
      <c r="AX151" s="113">
        <f t="shared" si="184"/>
        <v>0</v>
      </c>
      <c r="AY151" s="113">
        <f t="shared" si="184"/>
        <v>0</v>
      </c>
      <c r="AZ151" s="113">
        <f t="shared" si="184"/>
        <v>0</v>
      </c>
      <c r="BA151" s="113">
        <f t="shared" si="184"/>
        <v>0</v>
      </c>
      <c r="BB151" s="113">
        <f t="shared" si="184"/>
        <v>0</v>
      </c>
      <c r="BC151" s="113">
        <f t="shared" si="184"/>
        <v>0</v>
      </c>
      <c r="BD151" s="113">
        <f t="shared" si="184"/>
        <v>0</v>
      </c>
      <c r="BE151" s="113">
        <f t="shared" si="184"/>
        <v>0</v>
      </c>
      <c r="BF151" s="113">
        <f t="shared" si="184"/>
        <v>0</v>
      </c>
      <c r="BG151" s="113">
        <f t="shared" si="184"/>
        <v>0</v>
      </c>
      <c r="BH151" s="113">
        <f t="shared" si="184"/>
        <v>0</v>
      </c>
      <c r="BI151" s="113">
        <f t="shared" si="184"/>
        <v>0</v>
      </c>
      <c r="BJ151" s="113">
        <f t="shared" si="184"/>
        <v>0</v>
      </c>
      <c r="BK151" s="113">
        <f t="shared" si="184"/>
        <v>0</v>
      </c>
      <c r="BL151" s="113">
        <f t="shared" si="184"/>
        <v>0</v>
      </c>
      <c r="BM151" s="113">
        <f t="shared" si="184"/>
        <v>0</v>
      </c>
      <c r="BN151" s="113">
        <f t="shared" si="184"/>
        <v>0</v>
      </c>
      <c r="BO151" s="113">
        <f t="shared" si="184"/>
        <v>0</v>
      </c>
      <c r="BP151" s="113">
        <f t="shared" si="184"/>
        <v>0</v>
      </c>
      <c r="BQ151" s="113">
        <f t="shared" si="184"/>
        <v>0</v>
      </c>
      <c r="BR151" s="113">
        <f t="shared" si="184"/>
        <v>0</v>
      </c>
      <c r="BS151" s="113">
        <f t="shared" si="184"/>
        <v>0</v>
      </c>
      <c r="BT151" s="113">
        <f t="shared" si="184"/>
        <v>0</v>
      </c>
      <c r="BU151" s="113">
        <f t="shared" si="184"/>
        <v>0</v>
      </c>
      <c r="BV151" s="113">
        <f t="shared" si="184"/>
        <v>0</v>
      </c>
      <c r="BW151" s="113">
        <f t="shared" si="184"/>
        <v>0</v>
      </c>
      <c r="BX151" s="1"/>
      <c r="BY151" s="1"/>
      <c r="BZ151" s="1"/>
      <c r="CA151" s="1"/>
      <c r="CB151" s="1"/>
      <c r="CC151" s="1"/>
      <c r="CD151" s="1"/>
      <c r="CE151" s="1"/>
      <c r="CF151" s="1"/>
      <c r="CG151" s="1"/>
    </row>
    <row r="152" spans="1:85" ht="15.75" customHeight="1">
      <c r="A152" s="56"/>
      <c r="B152" s="426"/>
      <c r="C152" s="394" t="s">
        <v>117</v>
      </c>
      <c r="D152" s="44" t="s">
        <v>118</v>
      </c>
      <c r="E152" s="45">
        <v>3000</v>
      </c>
      <c r="F152" s="80">
        <v>3000</v>
      </c>
      <c r="G152" s="46">
        <f>E152-F152</f>
        <v>0</v>
      </c>
      <c r="H152" s="46"/>
      <c r="I152" s="47">
        <f t="shared" ref="I152:I162" si="185">IF(G152&gt;0,K152/G152,0)</f>
        <v>0</v>
      </c>
      <c r="J152" s="47">
        <f t="shared" ref="J152:J162" si="186">IF(G152&gt;0,O152/G152,0)</f>
        <v>0</v>
      </c>
      <c r="K152" s="146"/>
      <c r="L152" s="147"/>
      <c r="M152" s="146"/>
      <c r="N152" s="146"/>
      <c r="O152" s="51">
        <f t="shared" ref="O152:Q155" si="187">AA152+AD152+AG152+AJ152+AM152+AP152+AS152+AV152+AY152+BB152+BE152+BH152</f>
        <v>0</v>
      </c>
      <c r="P152" s="51">
        <f t="shared" si="187"/>
        <v>0</v>
      </c>
      <c r="Q152" s="51">
        <f t="shared" si="187"/>
        <v>0</v>
      </c>
      <c r="R152" s="52">
        <f t="shared" ref="R152:T159" si="188">IF(BK152=0,SUM(AA152+AD152+AG152+AJ152+AM152+AP152+AS152+AV152+AY152+BB152+BE152+BH152),BK152)</f>
        <v>0</v>
      </c>
      <c r="S152" s="52">
        <f t="shared" si="188"/>
        <v>0</v>
      </c>
      <c r="T152" s="52">
        <f t="shared" si="188"/>
        <v>0</v>
      </c>
      <c r="U152" s="369">
        <f>K152-O152</f>
        <v>0</v>
      </c>
      <c r="V152" s="369">
        <f>L152-P152-M152</f>
        <v>0</v>
      </c>
      <c r="W152" s="369">
        <f>N152-Q152</f>
        <v>0</v>
      </c>
      <c r="X152" s="53">
        <f t="shared" si="122"/>
        <v>0</v>
      </c>
      <c r="Y152" s="53">
        <f t="shared" si="123"/>
        <v>0</v>
      </c>
      <c r="Z152" s="53">
        <f t="shared" si="124"/>
        <v>0</v>
      </c>
      <c r="AA152" s="148"/>
      <c r="AB152" s="148"/>
      <c r="AC152" s="148"/>
      <c r="AD152" s="148"/>
      <c r="AE152" s="132"/>
      <c r="AF152" s="132"/>
      <c r="AG152" s="132"/>
      <c r="AH152" s="132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8"/>
      <c r="BN152" s="54">
        <f t="shared" ref="BN152" si="189">IF(O152-BK152&gt;0,O152-BK152,0)</f>
        <v>0</v>
      </c>
      <c r="BO152" s="58">
        <f t="shared" ref="BO152" si="190">IF(Q152-BM152&gt;0,Q152-BM152,0)</f>
        <v>0</v>
      </c>
      <c r="BP152" s="54">
        <f t="shared" ref="BP152" si="191">IF(BN152+BO152&gt;0,BN152+BO152,0)</f>
        <v>0</v>
      </c>
      <c r="BQ152" s="54">
        <f t="shared" ref="BQ152" si="192">IF(U152=0,0,U152)</f>
        <v>0</v>
      </c>
      <c r="BR152" s="54">
        <f t="shared" ref="BR152" si="193">IF(W152=0,0,W152)</f>
        <v>0</v>
      </c>
      <c r="BS152" s="54">
        <f t="shared" ref="BS152" si="194">IF(BQ152+BR152&gt;0,BQ152+BR152,0)</f>
        <v>0</v>
      </c>
      <c r="BT152" s="54">
        <f t="shared" ref="BT152" si="195">IF(V152&gt;0,V152,0)</f>
        <v>0</v>
      </c>
      <c r="BU152" s="54">
        <f t="shared" ref="BU152" si="196">IF(BP152=0,0,BP152)</f>
        <v>0</v>
      </c>
      <c r="BV152" s="54">
        <f t="shared" ref="BV152" si="197">IF(BS152=0,0,BS152)</f>
        <v>0</v>
      </c>
      <c r="BW152" s="54">
        <f t="shared" ref="BW152" si="198">IF(BP152+BT152&gt;0,BP152+BT152,0)</f>
        <v>0</v>
      </c>
      <c r="BX152" s="1"/>
      <c r="BY152" s="1"/>
      <c r="BZ152" s="1"/>
      <c r="CA152" s="1"/>
      <c r="CB152" s="1"/>
      <c r="CC152" s="1"/>
      <c r="CD152" s="1"/>
      <c r="CE152" s="1"/>
      <c r="CF152" s="1"/>
      <c r="CG152" s="1"/>
    </row>
    <row r="153" spans="1:85" ht="15.75" customHeight="1">
      <c r="A153" s="56"/>
      <c r="B153" s="426"/>
      <c r="C153" s="394" t="s">
        <v>135</v>
      </c>
      <c r="D153" s="44" t="s">
        <v>136</v>
      </c>
      <c r="E153" s="45">
        <v>7000</v>
      </c>
      <c r="F153" s="80">
        <v>7000</v>
      </c>
      <c r="G153" s="46">
        <f>E153-F153</f>
        <v>0</v>
      </c>
      <c r="H153" s="46"/>
      <c r="I153" s="47">
        <f t="shared" si="185"/>
        <v>0</v>
      </c>
      <c r="J153" s="47">
        <f t="shared" si="186"/>
        <v>0</v>
      </c>
      <c r="K153" s="148"/>
      <c r="L153" s="149"/>
      <c r="M153" s="146"/>
      <c r="N153" s="149"/>
      <c r="O153" s="51">
        <f t="shared" si="187"/>
        <v>0</v>
      </c>
      <c r="P153" s="51">
        <f t="shared" si="187"/>
        <v>0</v>
      </c>
      <c r="Q153" s="51">
        <f t="shared" si="187"/>
        <v>0</v>
      </c>
      <c r="R153" s="52">
        <f t="shared" si="188"/>
        <v>0</v>
      </c>
      <c r="S153" s="52">
        <f t="shared" si="188"/>
        <v>0</v>
      </c>
      <c r="T153" s="52">
        <f t="shared" si="188"/>
        <v>0</v>
      </c>
      <c r="U153" s="369">
        <f>K153-O153</f>
        <v>0</v>
      </c>
      <c r="V153" s="369">
        <f>L153-P153-M153</f>
        <v>0</v>
      </c>
      <c r="W153" s="369">
        <f>N153-Q153</f>
        <v>0</v>
      </c>
      <c r="X153" s="53">
        <f t="shared" si="122"/>
        <v>0</v>
      </c>
      <c r="Y153" s="53">
        <f t="shared" si="123"/>
        <v>0</v>
      </c>
      <c r="Z153" s="53">
        <f t="shared" si="124"/>
        <v>0</v>
      </c>
      <c r="AA153" s="149"/>
      <c r="AB153" s="149"/>
      <c r="AC153" s="149"/>
      <c r="AD153" s="149"/>
      <c r="AE153" s="133"/>
      <c r="AF153" s="133"/>
      <c r="AG153" s="133"/>
      <c r="AH153" s="133"/>
      <c r="AI153" s="149"/>
      <c r="AJ153" s="149"/>
      <c r="AK153" s="149"/>
      <c r="AL153" s="149"/>
      <c r="AM153" s="146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6"/>
      <c r="AZ153" s="149"/>
      <c r="BA153" s="149"/>
      <c r="BB153" s="149"/>
      <c r="BC153" s="149"/>
      <c r="BD153" s="149"/>
      <c r="BE153" s="149"/>
      <c r="BF153" s="149"/>
      <c r="BG153" s="149"/>
      <c r="BH153" s="149"/>
      <c r="BI153" s="149"/>
      <c r="BJ153" s="149"/>
      <c r="BK153" s="149"/>
      <c r="BL153" s="149"/>
      <c r="BM153" s="149"/>
      <c r="BN153" s="54">
        <f t="shared" ref="BN153:BN155" si="199">IF(O153-BK153&gt;0,O153-BK153,0)</f>
        <v>0</v>
      </c>
      <c r="BO153" s="58">
        <f t="shared" ref="BO153:BO155" si="200">IF(Q153-BM153&gt;0,Q153-BM153,0)</f>
        <v>0</v>
      </c>
      <c r="BP153" s="54">
        <f t="shared" ref="BP153:BP155" si="201">IF(BN153+BO153&gt;0,BN153+BO153,0)</f>
        <v>0</v>
      </c>
      <c r="BQ153" s="54">
        <f t="shared" ref="BQ153:BQ155" si="202">IF(U153=0,0,U153)</f>
        <v>0</v>
      </c>
      <c r="BR153" s="54">
        <f t="shared" ref="BR153:BR155" si="203">IF(W153=0,0,W153)</f>
        <v>0</v>
      </c>
      <c r="BS153" s="54">
        <f t="shared" ref="BS153:BS155" si="204">IF(BQ153+BR153&gt;0,BQ153+BR153,0)</f>
        <v>0</v>
      </c>
      <c r="BT153" s="54">
        <f t="shared" ref="BT153:BT155" si="205">IF(V153&gt;0,V153,0)</f>
        <v>0</v>
      </c>
      <c r="BU153" s="54">
        <f t="shared" ref="BU153:BU155" si="206">IF(BP153=0,0,BP153)</f>
        <v>0</v>
      </c>
      <c r="BV153" s="54">
        <f t="shared" ref="BV153:BV155" si="207">IF(BS153=0,0,BS153)</f>
        <v>0</v>
      </c>
      <c r="BW153" s="54">
        <f t="shared" ref="BW153:BW155" si="208">IF(BP153+BT153&gt;0,BP153+BT153,0)</f>
        <v>0</v>
      </c>
      <c r="BX153" s="1"/>
      <c r="BY153" s="1"/>
      <c r="BZ153" s="1"/>
      <c r="CA153" s="1"/>
      <c r="CB153" s="1"/>
      <c r="CC153" s="1"/>
      <c r="CD153" s="1"/>
      <c r="CE153" s="1"/>
      <c r="CF153" s="1"/>
      <c r="CG153" s="1"/>
    </row>
    <row r="154" spans="1:85" ht="15.75" customHeight="1">
      <c r="A154" s="56"/>
      <c r="B154" s="426"/>
      <c r="C154" s="394" t="s">
        <v>409</v>
      </c>
      <c r="D154" s="86" t="s">
        <v>410</v>
      </c>
      <c r="E154" s="45">
        <v>30000</v>
      </c>
      <c r="F154" s="80">
        <v>30000</v>
      </c>
      <c r="G154" s="46">
        <f>E154-F154</f>
        <v>0</v>
      </c>
      <c r="H154" s="46"/>
      <c r="I154" s="47">
        <f t="shared" si="185"/>
        <v>0</v>
      </c>
      <c r="J154" s="47">
        <f t="shared" si="186"/>
        <v>0</v>
      </c>
      <c r="K154" s="148"/>
      <c r="L154" s="149"/>
      <c r="M154" s="146"/>
      <c r="N154" s="149"/>
      <c r="O154" s="51">
        <f t="shared" si="187"/>
        <v>0</v>
      </c>
      <c r="P154" s="51">
        <f t="shared" si="187"/>
        <v>0</v>
      </c>
      <c r="Q154" s="51">
        <f t="shared" si="187"/>
        <v>0</v>
      </c>
      <c r="R154" s="52">
        <f t="shared" si="188"/>
        <v>0</v>
      </c>
      <c r="S154" s="52">
        <f t="shared" si="188"/>
        <v>0</v>
      </c>
      <c r="T154" s="52">
        <f t="shared" si="188"/>
        <v>0</v>
      </c>
      <c r="U154" s="369">
        <f>K154-O154</f>
        <v>0</v>
      </c>
      <c r="V154" s="369">
        <f>L154-P154-M154</f>
        <v>0</v>
      </c>
      <c r="W154" s="369">
        <f>N154-Q154</f>
        <v>0</v>
      </c>
      <c r="X154" s="53">
        <f t="shared" si="122"/>
        <v>0</v>
      </c>
      <c r="Y154" s="53">
        <f t="shared" si="123"/>
        <v>0</v>
      </c>
      <c r="Z154" s="53">
        <f t="shared" si="124"/>
        <v>0</v>
      </c>
      <c r="AA154" s="149"/>
      <c r="AB154" s="149"/>
      <c r="AC154" s="149"/>
      <c r="AD154" s="149"/>
      <c r="AE154" s="133"/>
      <c r="AF154" s="133"/>
      <c r="AG154" s="133"/>
      <c r="AH154" s="133"/>
      <c r="AI154" s="149"/>
      <c r="AJ154" s="149"/>
      <c r="AK154" s="149"/>
      <c r="AL154" s="149"/>
      <c r="AM154" s="146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6"/>
      <c r="AZ154" s="149"/>
      <c r="BA154" s="149"/>
      <c r="BB154" s="149"/>
      <c r="BC154" s="149"/>
      <c r="BD154" s="149"/>
      <c r="BE154" s="149"/>
      <c r="BF154" s="149"/>
      <c r="BG154" s="149"/>
      <c r="BH154" s="149"/>
      <c r="BI154" s="149"/>
      <c r="BJ154" s="149"/>
      <c r="BK154" s="149"/>
      <c r="BL154" s="149"/>
      <c r="BM154" s="149"/>
      <c r="BN154" s="54">
        <f t="shared" si="199"/>
        <v>0</v>
      </c>
      <c r="BO154" s="58">
        <f t="shared" si="200"/>
        <v>0</v>
      </c>
      <c r="BP154" s="54">
        <f t="shared" si="201"/>
        <v>0</v>
      </c>
      <c r="BQ154" s="54">
        <f t="shared" si="202"/>
        <v>0</v>
      </c>
      <c r="BR154" s="54">
        <f t="shared" si="203"/>
        <v>0</v>
      </c>
      <c r="BS154" s="54">
        <f t="shared" si="204"/>
        <v>0</v>
      </c>
      <c r="BT154" s="54">
        <f t="shared" si="205"/>
        <v>0</v>
      </c>
      <c r="BU154" s="54">
        <f t="shared" si="206"/>
        <v>0</v>
      </c>
      <c r="BV154" s="54">
        <f t="shared" si="207"/>
        <v>0</v>
      </c>
      <c r="BW154" s="54">
        <f t="shared" si="208"/>
        <v>0</v>
      </c>
      <c r="BX154" s="1"/>
      <c r="BY154" s="1"/>
      <c r="BZ154" s="1"/>
      <c r="CA154" s="1"/>
      <c r="CB154" s="1"/>
      <c r="CC154" s="1"/>
      <c r="CD154" s="1"/>
      <c r="CE154" s="1"/>
      <c r="CF154" s="1"/>
      <c r="CG154" s="1"/>
    </row>
    <row r="155" spans="1:85" ht="15.75" customHeight="1">
      <c r="A155" s="56"/>
      <c r="B155" s="426"/>
      <c r="C155" s="394" t="s">
        <v>323</v>
      </c>
      <c r="D155" s="44" t="s">
        <v>411</v>
      </c>
      <c r="E155" s="45">
        <v>6288.65</v>
      </c>
      <c r="F155" s="80">
        <v>6288.65</v>
      </c>
      <c r="G155" s="46">
        <f>E155-F155</f>
        <v>0</v>
      </c>
      <c r="H155" s="46"/>
      <c r="I155" s="47">
        <f t="shared" si="185"/>
        <v>0</v>
      </c>
      <c r="J155" s="47">
        <f t="shared" si="186"/>
        <v>0</v>
      </c>
      <c r="K155" s="148"/>
      <c r="L155" s="149"/>
      <c r="M155" s="146"/>
      <c r="N155" s="149"/>
      <c r="O155" s="51">
        <f t="shared" si="187"/>
        <v>0</v>
      </c>
      <c r="P155" s="51">
        <f t="shared" si="187"/>
        <v>0</v>
      </c>
      <c r="Q155" s="51">
        <f t="shared" si="187"/>
        <v>0</v>
      </c>
      <c r="R155" s="52">
        <f t="shared" si="188"/>
        <v>0</v>
      </c>
      <c r="S155" s="52">
        <f t="shared" si="188"/>
        <v>0</v>
      </c>
      <c r="T155" s="52">
        <f t="shared" si="188"/>
        <v>0</v>
      </c>
      <c r="U155" s="369">
        <f>K155-O155</f>
        <v>0</v>
      </c>
      <c r="V155" s="369">
        <f>L155-P155-M155</f>
        <v>0</v>
      </c>
      <c r="W155" s="369">
        <f>N155-Q155</f>
        <v>0</v>
      </c>
      <c r="X155" s="53">
        <f t="shared" si="122"/>
        <v>0</v>
      </c>
      <c r="Y155" s="53">
        <f t="shared" si="123"/>
        <v>0</v>
      </c>
      <c r="Z155" s="53">
        <f t="shared" si="124"/>
        <v>0</v>
      </c>
      <c r="AA155" s="149"/>
      <c r="AB155" s="149"/>
      <c r="AC155" s="149"/>
      <c r="AD155" s="149"/>
      <c r="AE155" s="133"/>
      <c r="AF155" s="133"/>
      <c r="AG155" s="133"/>
      <c r="AH155" s="133"/>
      <c r="AI155" s="149"/>
      <c r="AJ155" s="149"/>
      <c r="AK155" s="149"/>
      <c r="AL155" s="149"/>
      <c r="AM155" s="146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6"/>
      <c r="AZ155" s="149"/>
      <c r="BA155" s="149"/>
      <c r="BB155" s="149"/>
      <c r="BC155" s="149"/>
      <c r="BD155" s="149"/>
      <c r="BE155" s="149"/>
      <c r="BF155" s="149"/>
      <c r="BG155" s="149"/>
      <c r="BH155" s="149"/>
      <c r="BI155" s="149"/>
      <c r="BJ155" s="149"/>
      <c r="BK155" s="149"/>
      <c r="BL155" s="149"/>
      <c r="BM155" s="149"/>
      <c r="BN155" s="54">
        <f t="shared" si="199"/>
        <v>0</v>
      </c>
      <c r="BO155" s="58">
        <f t="shared" si="200"/>
        <v>0</v>
      </c>
      <c r="BP155" s="54">
        <f t="shared" si="201"/>
        <v>0</v>
      </c>
      <c r="BQ155" s="54">
        <f t="shared" si="202"/>
        <v>0</v>
      </c>
      <c r="BR155" s="54">
        <f t="shared" si="203"/>
        <v>0</v>
      </c>
      <c r="BS155" s="54">
        <f t="shared" si="204"/>
        <v>0</v>
      </c>
      <c r="BT155" s="54">
        <f t="shared" si="205"/>
        <v>0</v>
      </c>
      <c r="BU155" s="54">
        <f t="shared" si="206"/>
        <v>0</v>
      </c>
      <c r="BV155" s="54">
        <f t="shared" si="207"/>
        <v>0</v>
      </c>
      <c r="BW155" s="54">
        <f t="shared" si="208"/>
        <v>0</v>
      </c>
      <c r="BX155" s="1"/>
      <c r="BY155" s="1"/>
      <c r="BZ155" s="1"/>
      <c r="CA155" s="1"/>
      <c r="CB155" s="1"/>
      <c r="CC155" s="1"/>
      <c r="CD155" s="1"/>
      <c r="CE155" s="1"/>
      <c r="CF155" s="1"/>
      <c r="CG155" s="1"/>
    </row>
    <row r="156" spans="1:85" ht="15.75" customHeight="1">
      <c r="A156" s="110"/>
      <c r="B156" s="434"/>
      <c r="C156" s="404"/>
      <c r="D156" s="111" t="s">
        <v>412</v>
      </c>
      <c r="E156" s="112">
        <f>SUM(E157:E159)</f>
        <v>25000</v>
      </c>
      <c r="F156" s="113">
        <f>SUM(F157:F159)</f>
        <v>0</v>
      </c>
      <c r="G156" s="113">
        <f>SUM(G157:G159)</f>
        <v>25000</v>
      </c>
      <c r="H156" s="113">
        <f>SUM(H157:H159)</f>
        <v>0</v>
      </c>
      <c r="I156" s="114">
        <f t="shared" si="185"/>
        <v>0</v>
      </c>
      <c r="J156" s="114">
        <f t="shared" si="186"/>
        <v>0</v>
      </c>
      <c r="K156" s="113">
        <f t="shared" ref="K156:Q156" si="209">SUM(K157:K159)</f>
        <v>0</v>
      </c>
      <c r="L156" s="113">
        <f t="shared" si="209"/>
        <v>0</v>
      </c>
      <c r="M156" s="113">
        <f t="shared" si="209"/>
        <v>0</v>
      </c>
      <c r="N156" s="113">
        <f t="shared" si="209"/>
        <v>0</v>
      </c>
      <c r="O156" s="113">
        <f t="shared" si="209"/>
        <v>0</v>
      </c>
      <c r="P156" s="113">
        <f t="shared" si="209"/>
        <v>0</v>
      </c>
      <c r="Q156" s="113">
        <f t="shared" si="209"/>
        <v>0</v>
      </c>
      <c r="R156" s="150">
        <f t="shared" si="188"/>
        <v>0</v>
      </c>
      <c r="S156" s="150">
        <f t="shared" si="188"/>
        <v>0</v>
      </c>
      <c r="T156" s="150">
        <f t="shared" si="188"/>
        <v>0</v>
      </c>
      <c r="U156" s="372">
        <f>SUM(U157:U159)</f>
        <v>0</v>
      </c>
      <c r="V156" s="372">
        <f>SUM(V157:V159)</f>
        <v>0</v>
      </c>
      <c r="W156" s="372">
        <f>SUM(W157:W159)</f>
        <v>0</v>
      </c>
      <c r="X156" s="115">
        <f t="shared" si="122"/>
        <v>0</v>
      </c>
      <c r="Y156" s="115">
        <f t="shared" si="123"/>
        <v>0</v>
      </c>
      <c r="Z156" s="115">
        <f t="shared" si="124"/>
        <v>0</v>
      </c>
      <c r="AA156" s="113">
        <f t="shared" ref="AA156:BW156" si="210">SUM(AA157:AA159)</f>
        <v>0</v>
      </c>
      <c r="AB156" s="113">
        <f t="shared" si="210"/>
        <v>0</v>
      </c>
      <c r="AC156" s="113">
        <f t="shared" si="210"/>
        <v>0</v>
      </c>
      <c r="AD156" s="113">
        <f t="shared" si="210"/>
        <v>0</v>
      </c>
      <c r="AE156" s="113">
        <f t="shared" si="210"/>
        <v>0</v>
      </c>
      <c r="AF156" s="113">
        <f t="shared" si="210"/>
        <v>0</v>
      </c>
      <c r="AG156" s="113">
        <f t="shared" si="210"/>
        <v>0</v>
      </c>
      <c r="AH156" s="113">
        <f t="shared" si="210"/>
        <v>0</v>
      </c>
      <c r="AI156" s="113">
        <f t="shared" si="210"/>
        <v>0</v>
      </c>
      <c r="AJ156" s="113">
        <f t="shared" si="210"/>
        <v>0</v>
      </c>
      <c r="AK156" s="113">
        <f t="shared" si="210"/>
        <v>0</v>
      </c>
      <c r="AL156" s="113">
        <f t="shared" si="210"/>
        <v>0</v>
      </c>
      <c r="AM156" s="113">
        <f t="shared" si="210"/>
        <v>0</v>
      </c>
      <c r="AN156" s="113">
        <f t="shared" si="210"/>
        <v>0</v>
      </c>
      <c r="AO156" s="113">
        <f t="shared" si="210"/>
        <v>0</v>
      </c>
      <c r="AP156" s="113">
        <f t="shared" si="210"/>
        <v>0</v>
      </c>
      <c r="AQ156" s="113">
        <f t="shared" si="210"/>
        <v>0</v>
      </c>
      <c r="AR156" s="113">
        <f t="shared" si="210"/>
        <v>0</v>
      </c>
      <c r="AS156" s="113">
        <f t="shared" si="210"/>
        <v>0</v>
      </c>
      <c r="AT156" s="113">
        <f t="shared" si="210"/>
        <v>0</v>
      </c>
      <c r="AU156" s="113">
        <f t="shared" si="210"/>
        <v>0</v>
      </c>
      <c r="AV156" s="113">
        <f t="shared" si="210"/>
        <v>0</v>
      </c>
      <c r="AW156" s="113">
        <f t="shared" si="210"/>
        <v>0</v>
      </c>
      <c r="AX156" s="113">
        <f t="shared" si="210"/>
        <v>0</v>
      </c>
      <c r="AY156" s="113">
        <f t="shared" si="210"/>
        <v>0</v>
      </c>
      <c r="AZ156" s="113">
        <f t="shared" si="210"/>
        <v>0</v>
      </c>
      <c r="BA156" s="113">
        <f t="shared" si="210"/>
        <v>0</v>
      </c>
      <c r="BB156" s="113">
        <f t="shared" si="210"/>
        <v>0</v>
      </c>
      <c r="BC156" s="113">
        <f t="shared" si="210"/>
        <v>0</v>
      </c>
      <c r="BD156" s="113">
        <f t="shared" si="210"/>
        <v>0</v>
      </c>
      <c r="BE156" s="113">
        <f t="shared" si="210"/>
        <v>0</v>
      </c>
      <c r="BF156" s="113">
        <f t="shared" si="210"/>
        <v>0</v>
      </c>
      <c r="BG156" s="113">
        <f t="shared" si="210"/>
        <v>0</v>
      </c>
      <c r="BH156" s="113">
        <f t="shared" si="210"/>
        <v>0</v>
      </c>
      <c r="BI156" s="113">
        <f t="shared" si="210"/>
        <v>0</v>
      </c>
      <c r="BJ156" s="113">
        <f t="shared" si="210"/>
        <v>0</v>
      </c>
      <c r="BK156" s="113">
        <f t="shared" si="210"/>
        <v>0</v>
      </c>
      <c r="BL156" s="113">
        <f t="shared" si="210"/>
        <v>0</v>
      </c>
      <c r="BM156" s="113">
        <f t="shared" si="210"/>
        <v>0</v>
      </c>
      <c r="BN156" s="113">
        <f t="shared" si="210"/>
        <v>0</v>
      </c>
      <c r="BO156" s="113">
        <f t="shared" si="210"/>
        <v>0</v>
      </c>
      <c r="BP156" s="113">
        <f t="shared" si="210"/>
        <v>0</v>
      </c>
      <c r="BQ156" s="113">
        <f t="shared" si="210"/>
        <v>0</v>
      </c>
      <c r="BR156" s="113">
        <f t="shared" si="210"/>
        <v>0</v>
      </c>
      <c r="BS156" s="113">
        <f t="shared" si="210"/>
        <v>0</v>
      </c>
      <c r="BT156" s="113">
        <f t="shared" si="210"/>
        <v>0</v>
      </c>
      <c r="BU156" s="113">
        <f t="shared" si="210"/>
        <v>0</v>
      </c>
      <c r="BV156" s="113">
        <f t="shared" si="210"/>
        <v>0</v>
      </c>
      <c r="BW156" s="113">
        <f t="shared" si="210"/>
        <v>0</v>
      </c>
      <c r="BX156" s="1"/>
      <c r="BY156" s="1"/>
      <c r="BZ156" s="1"/>
      <c r="CA156" s="1"/>
      <c r="CB156" s="1"/>
      <c r="CC156" s="1"/>
      <c r="CD156" s="1"/>
      <c r="CE156" s="1"/>
      <c r="CF156" s="1"/>
      <c r="CG156" s="1"/>
    </row>
    <row r="157" spans="1:85" ht="15.75" customHeight="1">
      <c r="A157" s="56"/>
      <c r="B157" s="416"/>
      <c r="C157" s="394" t="s">
        <v>117</v>
      </c>
      <c r="D157" s="44" t="s">
        <v>118</v>
      </c>
      <c r="E157" s="45">
        <v>5000</v>
      </c>
      <c r="F157" s="46"/>
      <c r="G157" s="46">
        <f>E157-F157</f>
        <v>5000</v>
      </c>
      <c r="H157" s="46"/>
      <c r="I157" s="47">
        <f t="shared" si="185"/>
        <v>0</v>
      </c>
      <c r="J157" s="47">
        <f t="shared" si="186"/>
        <v>0</v>
      </c>
      <c r="K157" s="148"/>
      <c r="L157" s="147"/>
      <c r="M157" s="146"/>
      <c r="N157" s="146"/>
      <c r="O157" s="51">
        <f t="shared" ref="O157:Q159" si="211">AA157+AD157+AG157+AJ157+AM157+AP157+AS157+AV157+AY157+BB157+BE157+BH157</f>
        <v>0</v>
      </c>
      <c r="P157" s="51">
        <f t="shared" si="211"/>
        <v>0</v>
      </c>
      <c r="Q157" s="51">
        <f t="shared" si="211"/>
        <v>0</v>
      </c>
      <c r="R157" s="52">
        <f t="shared" si="188"/>
        <v>0</v>
      </c>
      <c r="S157" s="52">
        <f t="shared" si="188"/>
        <v>0</v>
      </c>
      <c r="T157" s="52">
        <f t="shared" si="188"/>
        <v>0</v>
      </c>
      <c r="U157" s="369">
        <f>K157-O157</f>
        <v>0</v>
      </c>
      <c r="V157" s="369">
        <f>L157-P157-M157</f>
        <v>0</v>
      </c>
      <c r="W157" s="369">
        <f>N157-Q157</f>
        <v>0</v>
      </c>
      <c r="X157" s="53">
        <f t="shared" si="122"/>
        <v>0</v>
      </c>
      <c r="Y157" s="53">
        <f t="shared" si="123"/>
        <v>0</v>
      </c>
      <c r="Z157" s="53">
        <f t="shared" si="124"/>
        <v>0</v>
      </c>
      <c r="AA157" s="148"/>
      <c r="AB157" s="148"/>
      <c r="AC157" s="148"/>
      <c r="AD157" s="148"/>
      <c r="AE157" s="132"/>
      <c r="AF157" s="132"/>
      <c r="AG157" s="132"/>
      <c r="AH157" s="132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48"/>
      <c r="BN157" s="54">
        <f t="shared" ref="BN157:BN159" si="212">IF(O157-BK157&gt;0,O157-BK157,0)</f>
        <v>0</v>
      </c>
      <c r="BO157" s="58">
        <f t="shared" ref="BO157:BO159" si="213">IF(Q157-BM157&gt;0,Q157-BM157,0)</f>
        <v>0</v>
      </c>
      <c r="BP157" s="54">
        <f t="shared" ref="BP157:BP159" si="214">IF(BN157+BO157&gt;0,BN157+BO157,0)</f>
        <v>0</v>
      </c>
      <c r="BQ157" s="54">
        <f t="shared" ref="BQ157:BQ159" si="215">IF(U157=0,0,U157)</f>
        <v>0</v>
      </c>
      <c r="BR157" s="54">
        <f t="shared" ref="BR157:BR159" si="216">IF(W157=0,0,W157)</f>
        <v>0</v>
      </c>
      <c r="BS157" s="54">
        <f t="shared" ref="BS157:BS159" si="217">IF(BQ157+BR157&gt;0,BQ157+BR157,0)</f>
        <v>0</v>
      </c>
      <c r="BT157" s="54">
        <f t="shared" ref="BT157:BT159" si="218">IF(V157&gt;0,V157,0)</f>
        <v>0</v>
      </c>
      <c r="BU157" s="54">
        <f t="shared" ref="BU157:BU159" si="219">IF(BP157=0,0,BP157)</f>
        <v>0</v>
      </c>
      <c r="BV157" s="54">
        <f t="shared" ref="BV157:BV159" si="220">IF(BS157=0,0,BS157)</f>
        <v>0</v>
      </c>
      <c r="BW157" s="54">
        <f t="shared" ref="BW157:BW159" si="221">IF(BP157+BT157&gt;0,BP157+BT157,0)</f>
        <v>0</v>
      </c>
      <c r="BX157" s="1"/>
      <c r="BY157" s="1"/>
      <c r="BZ157" s="1"/>
      <c r="CA157" s="1"/>
      <c r="CB157" s="1"/>
      <c r="CC157" s="1"/>
      <c r="CD157" s="1"/>
      <c r="CE157" s="1"/>
      <c r="CF157" s="1"/>
      <c r="CG157" s="1"/>
    </row>
    <row r="158" spans="1:85" ht="15.75" customHeight="1">
      <c r="A158" s="56"/>
      <c r="B158" s="426"/>
      <c r="C158" s="394" t="s">
        <v>119</v>
      </c>
      <c r="D158" s="44" t="s">
        <v>413</v>
      </c>
      <c r="E158" s="45"/>
      <c r="F158" s="46"/>
      <c r="G158" s="46">
        <f>E158-F158</f>
        <v>0</v>
      </c>
      <c r="H158" s="46"/>
      <c r="I158" s="47">
        <f t="shared" si="185"/>
        <v>0</v>
      </c>
      <c r="J158" s="47">
        <f t="shared" si="186"/>
        <v>0</v>
      </c>
      <c r="K158" s="148"/>
      <c r="L158" s="147"/>
      <c r="M158" s="146"/>
      <c r="N158" s="146"/>
      <c r="O158" s="51">
        <f t="shared" si="211"/>
        <v>0</v>
      </c>
      <c r="P158" s="51">
        <f t="shared" si="211"/>
        <v>0</v>
      </c>
      <c r="Q158" s="51">
        <f t="shared" si="211"/>
        <v>0</v>
      </c>
      <c r="R158" s="52">
        <f t="shared" si="188"/>
        <v>0</v>
      </c>
      <c r="S158" s="52">
        <f t="shared" si="188"/>
        <v>0</v>
      </c>
      <c r="T158" s="52">
        <f t="shared" si="188"/>
        <v>0</v>
      </c>
      <c r="U158" s="369">
        <f>K158-O158</f>
        <v>0</v>
      </c>
      <c r="V158" s="369">
        <f>L158-P158-M158</f>
        <v>0</v>
      </c>
      <c r="W158" s="369">
        <f>N158-Q158</f>
        <v>0</v>
      </c>
      <c r="X158" s="53">
        <f t="shared" si="122"/>
        <v>0</v>
      </c>
      <c r="Y158" s="53">
        <f t="shared" si="123"/>
        <v>0</v>
      </c>
      <c r="Z158" s="53">
        <f t="shared" si="124"/>
        <v>0</v>
      </c>
      <c r="AA158" s="148"/>
      <c r="AB158" s="148"/>
      <c r="AC158" s="148"/>
      <c r="AD158" s="148"/>
      <c r="AE158" s="132"/>
      <c r="AF158" s="132"/>
      <c r="AG158" s="132"/>
      <c r="AH158" s="132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148"/>
      <c r="BN158" s="54">
        <f t="shared" si="212"/>
        <v>0</v>
      </c>
      <c r="BO158" s="58">
        <f t="shared" si="213"/>
        <v>0</v>
      </c>
      <c r="BP158" s="54">
        <f t="shared" si="214"/>
        <v>0</v>
      </c>
      <c r="BQ158" s="54">
        <f t="shared" si="215"/>
        <v>0</v>
      </c>
      <c r="BR158" s="54">
        <f t="shared" si="216"/>
        <v>0</v>
      </c>
      <c r="BS158" s="54">
        <f t="shared" si="217"/>
        <v>0</v>
      </c>
      <c r="BT158" s="54">
        <f t="shared" si="218"/>
        <v>0</v>
      </c>
      <c r="BU158" s="54">
        <f t="shared" si="219"/>
        <v>0</v>
      </c>
      <c r="BV158" s="54">
        <f t="shared" si="220"/>
        <v>0</v>
      </c>
      <c r="BW158" s="54">
        <f t="shared" si="221"/>
        <v>0</v>
      </c>
      <c r="BX158" s="1"/>
      <c r="BY158" s="1"/>
      <c r="BZ158" s="1"/>
      <c r="CA158" s="1"/>
      <c r="CB158" s="1"/>
      <c r="CC158" s="1"/>
      <c r="CD158" s="1"/>
      <c r="CE158" s="1"/>
      <c r="CF158" s="1"/>
      <c r="CG158" s="1"/>
    </row>
    <row r="159" spans="1:85" ht="15.75" customHeight="1">
      <c r="A159" s="56"/>
      <c r="B159" s="426"/>
      <c r="C159" s="394" t="s">
        <v>240</v>
      </c>
      <c r="D159" s="44" t="s">
        <v>401</v>
      </c>
      <c r="E159" s="45">
        <v>20000</v>
      </c>
      <c r="F159" s="46"/>
      <c r="G159" s="46">
        <f>E159-F159</f>
        <v>20000</v>
      </c>
      <c r="H159" s="46"/>
      <c r="I159" s="47">
        <f t="shared" si="185"/>
        <v>0</v>
      </c>
      <c r="J159" s="47">
        <f t="shared" si="186"/>
        <v>0</v>
      </c>
      <c r="K159" s="142"/>
      <c r="L159" s="147"/>
      <c r="M159" s="146"/>
      <c r="N159" s="146"/>
      <c r="O159" s="51">
        <f t="shared" si="211"/>
        <v>0</v>
      </c>
      <c r="P159" s="51">
        <f t="shared" si="211"/>
        <v>0</v>
      </c>
      <c r="Q159" s="51">
        <f t="shared" si="211"/>
        <v>0</v>
      </c>
      <c r="R159" s="52">
        <f t="shared" si="188"/>
        <v>0</v>
      </c>
      <c r="S159" s="52">
        <f t="shared" si="188"/>
        <v>0</v>
      </c>
      <c r="T159" s="52">
        <f t="shared" si="188"/>
        <v>0</v>
      </c>
      <c r="U159" s="369">
        <f>K159-O159</f>
        <v>0</v>
      </c>
      <c r="V159" s="369">
        <f>L159-P159-M159</f>
        <v>0</v>
      </c>
      <c r="W159" s="369">
        <f>N159-Q159</f>
        <v>0</v>
      </c>
      <c r="X159" s="53">
        <f t="shared" si="122"/>
        <v>0</v>
      </c>
      <c r="Y159" s="53">
        <f t="shared" si="123"/>
        <v>0</v>
      </c>
      <c r="Z159" s="53">
        <f t="shared" si="124"/>
        <v>0</v>
      </c>
      <c r="AA159" s="148"/>
      <c r="AB159" s="148"/>
      <c r="AC159" s="148"/>
      <c r="AD159" s="148"/>
      <c r="AE159" s="132"/>
      <c r="AF159" s="132"/>
      <c r="AG159" s="132"/>
      <c r="AH159" s="132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148"/>
      <c r="BN159" s="54">
        <f t="shared" si="212"/>
        <v>0</v>
      </c>
      <c r="BO159" s="58">
        <f t="shared" si="213"/>
        <v>0</v>
      </c>
      <c r="BP159" s="54">
        <f t="shared" si="214"/>
        <v>0</v>
      </c>
      <c r="BQ159" s="54">
        <f t="shared" si="215"/>
        <v>0</v>
      </c>
      <c r="BR159" s="54">
        <f t="shared" si="216"/>
        <v>0</v>
      </c>
      <c r="BS159" s="54">
        <f t="shared" si="217"/>
        <v>0</v>
      </c>
      <c r="BT159" s="54">
        <f t="shared" si="218"/>
        <v>0</v>
      </c>
      <c r="BU159" s="54">
        <f t="shared" si="219"/>
        <v>0</v>
      </c>
      <c r="BV159" s="54">
        <f t="shared" si="220"/>
        <v>0</v>
      </c>
      <c r="BW159" s="54">
        <f t="shared" si="221"/>
        <v>0</v>
      </c>
      <c r="BX159" s="1"/>
      <c r="BY159" s="1"/>
      <c r="BZ159" s="1"/>
      <c r="CA159" s="1"/>
      <c r="CB159" s="1"/>
      <c r="CC159" s="1"/>
      <c r="CD159" s="1"/>
      <c r="CE159" s="1"/>
      <c r="CF159" s="1"/>
      <c r="CG159" s="1"/>
    </row>
    <row r="160" spans="1:85" ht="15.75" customHeight="1">
      <c r="A160" s="110"/>
      <c r="B160" s="434"/>
      <c r="C160" s="404"/>
      <c r="D160" s="111" t="s">
        <v>414</v>
      </c>
      <c r="E160" s="112">
        <f>SUM(E161:E168)</f>
        <v>10000</v>
      </c>
      <c r="F160" s="113">
        <f>SUM(F161:F168)</f>
        <v>0</v>
      </c>
      <c r="G160" s="113">
        <f>SUM(G161:G168)</f>
        <v>10000</v>
      </c>
      <c r="H160" s="113">
        <f>SUM(H161:H168)</f>
        <v>0</v>
      </c>
      <c r="I160" s="114">
        <f t="shared" si="185"/>
        <v>0.2369</v>
      </c>
      <c r="J160" s="114">
        <f t="shared" si="186"/>
        <v>1.44E-2</v>
      </c>
      <c r="K160" s="113">
        <f t="shared" ref="K160:W160" si="222">SUM(K161:K168)</f>
        <v>2369</v>
      </c>
      <c r="L160" s="113">
        <f t="shared" si="222"/>
        <v>18841</v>
      </c>
      <c r="M160" s="113">
        <f t="shared" si="222"/>
        <v>0</v>
      </c>
      <c r="N160" s="113">
        <f t="shared" si="222"/>
        <v>0</v>
      </c>
      <c r="O160" s="113">
        <f t="shared" si="222"/>
        <v>144</v>
      </c>
      <c r="P160" s="113">
        <f t="shared" si="222"/>
        <v>17566</v>
      </c>
      <c r="Q160" s="113">
        <f t="shared" si="222"/>
        <v>0</v>
      </c>
      <c r="R160" s="113">
        <f t="shared" si="222"/>
        <v>144</v>
      </c>
      <c r="S160" s="113">
        <f t="shared" si="222"/>
        <v>17566</v>
      </c>
      <c r="T160" s="113">
        <f t="shared" si="222"/>
        <v>0</v>
      </c>
      <c r="U160" s="372">
        <f t="shared" si="222"/>
        <v>2225</v>
      </c>
      <c r="V160" s="372">
        <f t="shared" si="222"/>
        <v>1275</v>
      </c>
      <c r="W160" s="372">
        <f t="shared" si="222"/>
        <v>0</v>
      </c>
      <c r="X160" s="115">
        <f t="shared" si="122"/>
        <v>6.0785141409877584E-2</v>
      </c>
      <c r="Y160" s="115">
        <f t="shared" si="123"/>
        <v>0.93232843267342502</v>
      </c>
      <c r="Z160" s="115">
        <f t="shared" si="124"/>
        <v>0</v>
      </c>
      <c r="AA160" s="113">
        <f t="shared" ref="AA160:BW160" si="223">SUM(AA161:AA168)</f>
        <v>0</v>
      </c>
      <c r="AB160" s="113">
        <f t="shared" si="223"/>
        <v>1750</v>
      </c>
      <c r="AC160" s="113">
        <f t="shared" si="223"/>
        <v>0</v>
      </c>
      <c r="AD160" s="113">
        <f t="shared" si="223"/>
        <v>0</v>
      </c>
      <c r="AE160" s="113">
        <f t="shared" si="223"/>
        <v>324</v>
      </c>
      <c r="AF160" s="113">
        <f t="shared" si="223"/>
        <v>0</v>
      </c>
      <c r="AG160" s="113">
        <f t="shared" si="223"/>
        <v>0</v>
      </c>
      <c r="AH160" s="113">
        <f t="shared" si="223"/>
        <v>0</v>
      </c>
      <c r="AI160" s="113">
        <f t="shared" si="223"/>
        <v>0</v>
      </c>
      <c r="AJ160" s="113">
        <f t="shared" si="223"/>
        <v>0</v>
      </c>
      <c r="AK160" s="113">
        <f t="shared" si="223"/>
        <v>0</v>
      </c>
      <c r="AL160" s="113">
        <f t="shared" si="223"/>
        <v>0</v>
      </c>
      <c r="AM160" s="113">
        <f t="shared" si="223"/>
        <v>0</v>
      </c>
      <c r="AN160" s="113">
        <f t="shared" si="223"/>
        <v>0</v>
      </c>
      <c r="AO160" s="113">
        <f t="shared" si="223"/>
        <v>0</v>
      </c>
      <c r="AP160" s="113">
        <f t="shared" si="223"/>
        <v>0</v>
      </c>
      <c r="AQ160" s="113">
        <f t="shared" si="223"/>
        <v>3392</v>
      </c>
      <c r="AR160" s="113">
        <f t="shared" si="223"/>
        <v>0</v>
      </c>
      <c r="AS160" s="113">
        <f t="shared" si="223"/>
        <v>0</v>
      </c>
      <c r="AT160" s="113">
        <f t="shared" si="223"/>
        <v>12100</v>
      </c>
      <c r="AU160" s="113">
        <f t="shared" si="223"/>
        <v>0</v>
      </c>
      <c r="AV160" s="113">
        <f t="shared" si="223"/>
        <v>0</v>
      </c>
      <c r="AW160" s="113">
        <f t="shared" si="223"/>
        <v>0</v>
      </c>
      <c r="AX160" s="113">
        <f t="shared" si="223"/>
        <v>0</v>
      </c>
      <c r="AY160" s="113">
        <f t="shared" si="223"/>
        <v>144</v>
      </c>
      <c r="AZ160" s="113">
        <f t="shared" si="223"/>
        <v>0</v>
      </c>
      <c r="BA160" s="113">
        <f t="shared" si="223"/>
        <v>0</v>
      </c>
      <c r="BB160" s="113">
        <f t="shared" si="223"/>
        <v>0</v>
      </c>
      <c r="BC160" s="113">
        <f t="shared" si="223"/>
        <v>0</v>
      </c>
      <c r="BD160" s="113">
        <f t="shared" si="223"/>
        <v>0</v>
      </c>
      <c r="BE160" s="113">
        <f t="shared" si="223"/>
        <v>0</v>
      </c>
      <c r="BF160" s="113">
        <f t="shared" si="223"/>
        <v>0</v>
      </c>
      <c r="BG160" s="113">
        <f t="shared" si="223"/>
        <v>0</v>
      </c>
      <c r="BH160" s="113">
        <f t="shared" si="223"/>
        <v>0</v>
      </c>
      <c r="BI160" s="113">
        <f t="shared" si="223"/>
        <v>0</v>
      </c>
      <c r="BJ160" s="113">
        <f t="shared" si="223"/>
        <v>0</v>
      </c>
      <c r="BK160" s="113">
        <f t="shared" si="223"/>
        <v>0</v>
      </c>
      <c r="BL160" s="113">
        <f t="shared" si="223"/>
        <v>0</v>
      </c>
      <c r="BM160" s="113">
        <f t="shared" si="223"/>
        <v>0</v>
      </c>
      <c r="BN160" s="113">
        <f t="shared" si="223"/>
        <v>144</v>
      </c>
      <c r="BO160" s="113">
        <f t="shared" si="223"/>
        <v>0</v>
      </c>
      <c r="BP160" s="113">
        <f t="shared" si="223"/>
        <v>144</v>
      </c>
      <c r="BQ160" s="113">
        <f t="shared" si="223"/>
        <v>2225</v>
      </c>
      <c r="BR160" s="113">
        <f t="shared" si="223"/>
        <v>0</v>
      </c>
      <c r="BS160" s="113">
        <f t="shared" si="223"/>
        <v>2225</v>
      </c>
      <c r="BT160" s="113">
        <f t="shared" si="223"/>
        <v>1275</v>
      </c>
      <c r="BU160" s="113">
        <f t="shared" si="223"/>
        <v>144</v>
      </c>
      <c r="BV160" s="113">
        <f t="shared" si="223"/>
        <v>2225</v>
      </c>
      <c r="BW160" s="113">
        <f t="shared" si="223"/>
        <v>1419</v>
      </c>
      <c r="BX160" s="1"/>
      <c r="BY160" s="1"/>
      <c r="BZ160" s="1"/>
      <c r="CA160" s="1"/>
      <c r="CB160" s="1"/>
      <c r="CC160" s="1"/>
      <c r="CD160" s="1"/>
      <c r="CE160" s="1"/>
      <c r="CF160" s="1"/>
      <c r="CG160" s="1"/>
    </row>
    <row r="161" spans="1:85" ht="15.75" customHeight="1">
      <c r="A161" s="56"/>
      <c r="B161" s="416"/>
      <c r="C161" s="394" t="s">
        <v>117</v>
      </c>
      <c r="D161" s="44" t="s">
        <v>415</v>
      </c>
      <c r="E161" s="45">
        <v>5000</v>
      </c>
      <c r="F161" s="46"/>
      <c r="G161" s="46">
        <f>E161-F161</f>
        <v>5000</v>
      </c>
      <c r="H161" s="46"/>
      <c r="I161" s="47">
        <f t="shared" si="185"/>
        <v>0</v>
      </c>
      <c r="J161" s="47">
        <f t="shared" si="186"/>
        <v>0</v>
      </c>
      <c r="K161" s="142"/>
      <c r="L161" s="148"/>
      <c r="M161" s="146"/>
      <c r="N161" s="146"/>
      <c r="O161" s="51">
        <f t="shared" ref="O161:Q168" si="224">AA161+AD161+AG161+AJ161+AM161+AP161+AS161+AV161+AY161+BB161+BE161+BH161</f>
        <v>0</v>
      </c>
      <c r="P161" s="51">
        <f t="shared" si="224"/>
        <v>0</v>
      </c>
      <c r="Q161" s="51">
        <f t="shared" si="224"/>
        <v>0</v>
      </c>
      <c r="R161" s="52">
        <f t="shared" ref="R161:T168" si="225">IF(BK161=0,SUM(AA161+AD161+AG161+AJ161+AM161+AP161+AS161+AV161+AY161+BB161+BE161+BH161),BK161)</f>
        <v>0</v>
      </c>
      <c r="S161" s="52">
        <f t="shared" si="225"/>
        <v>0</v>
      </c>
      <c r="T161" s="52">
        <f t="shared" si="225"/>
        <v>0</v>
      </c>
      <c r="U161" s="369">
        <f t="shared" ref="U161:U168" si="226">K161-O161</f>
        <v>0</v>
      </c>
      <c r="V161" s="369">
        <f t="shared" ref="V161:V168" si="227">L161-P161-M161</f>
        <v>0</v>
      </c>
      <c r="W161" s="369">
        <f t="shared" ref="W161:W168" si="228">N161-Q161</f>
        <v>0</v>
      </c>
      <c r="X161" s="53">
        <f t="shared" si="122"/>
        <v>0</v>
      </c>
      <c r="Y161" s="53">
        <f t="shared" si="123"/>
        <v>0</v>
      </c>
      <c r="Z161" s="53">
        <f t="shared" si="124"/>
        <v>0</v>
      </c>
      <c r="AA161" s="148"/>
      <c r="AB161" s="148"/>
      <c r="AC161" s="148"/>
      <c r="AD161" s="148"/>
      <c r="AE161" s="132"/>
      <c r="AF161" s="132"/>
      <c r="AG161" s="132"/>
      <c r="AH161" s="132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  <c r="BI161" s="148"/>
      <c r="BJ161" s="148"/>
      <c r="BK161" s="148"/>
      <c r="BL161" s="148"/>
      <c r="BM161" s="148"/>
      <c r="BN161" s="54">
        <f t="shared" ref="BN161" si="229">IF(O161-BK161&gt;0,O161-BK161,0)</f>
        <v>0</v>
      </c>
      <c r="BO161" s="58">
        <f t="shared" ref="BO161" si="230">IF(Q161-BM161&gt;0,Q161-BM161,0)</f>
        <v>0</v>
      </c>
      <c r="BP161" s="54">
        <f t="shared" ref="BP161" si="231">IF(BN161+BO161&gt;0,BN161+BO161,0)</f>
        <v>0</v>
      </c>
      <c r="BQ161" s="54">
        <f t="shared" ref="BQ161" si="232">IF(U161=0,0,U161)</f>
        <v>0</v>
      </c>
      <c r="BR161" s="54">
        <f t="shared" ref="BR161" si="233">IF(W161=0,0,W161)</f>
        <v>0</v>
      </c>
      <c r="BS161" s="54">
        <f t="shared" ref="BS161" si="234">IF(BQ161+BR161&gt;0,BQ161+BR161,0)</f>
        <v>0</v>
      </c>
      <c r="BT161" s="54">
        <f t="shared" ref="BT161" si="235">IF(V161&gt;0,V161,0)</f>
        <v>0</v>
      </c>
      <c r="BU161" s="54">
        <f t="shared" ref="BU161" si="236">IF(BP161=0,0,BP161)</f>
        <v>0</v>
      </c>
      <c r="BV161" s="54">
        <f t="shared" ref="BV161" si="237">IF(BS161=0,0,BS161)</f>
        <v>0</v>
      </c>
      <c r="BW161" s="54">
        <f t="shared" ref="BW161" si="238">IF(BP161+BT161&gt;0,BP161+BT161,0)</f>
        <v>0</v>
      </c>
      <c r="BX161" s="1"/>
      <c r="BY161" s="1"/>
      <c r="BZ161" s="1"/>
      <c r="CA161" s="1"/>
      <c r="CB161" s="1"/>
      <c r="CC161" s="1"/>
      <c r="CD161" s="1"/>
      <c r="CE161" s="1"/>
      <c r="CF161" s="1"/>
      <c r="CG161" s="1"/>
    </row>
    <row r="162" spans="1:85" ht="15.75" customHeight="1">
      <c r="A162" s="79" t="s">
        <v>416</v>
      </c>
      <c r="B162" s="426"/>
      <c r="C162" s="394" t="s">
        <v>290</v>
      </c>
      <c r="D162" s="73" t="s">
        <v>417</v>
      </c>
      <c r="E162" s="45">
        <v>5000</v>
      </c>
      <c r="F162" s="46"/>
      <c r="G162" s="46">
        <f>E162-F162</f>
        <v>5000</v>
      </c>
      <c r="H162" s="46"/>
      <c r="I162" s="47">
        <f t="shared" si="185"/>
        <v>0.4738</v>
      </c>
      <c r="J162" s="47">
        <f t="shared" si="186"/>
        <v>2.8799999999999999E-2</v>
      </c>
      <c r="K162" s="117">
        <v>2369</v>
      </c>
      <c r="L162" s="148"/>
      <c r="M162" s="146"/>
      <c r="N162" s="146"/>
      <c r="O162" s="51">
        <f t="shared" si="224"/>
        <v>144</v>
      </c>
      <c r="P162" s="51">
        <f t="shared" si="224"/>
        <v>0</v>
      </c>
      <c r="Q162" s="51">
        <f t="shared" si="224"/>
        <v>0</v>
      </c>
      <c r="R162" s="52">
        <f t="shared" si="225"/>
        <v>144</v>
      </c>
      <c r="S162" s="52">
        <f t="shared" si="225"/>
        <v>0</v>
      </c>
      <c r="T162" s="52">
        <f t="shared" si="225"/>
        <v>0</v>
      </c>
      <c r="U162" s="369">
        <f t="shared" si="226"/>
        <v>2225</v>
      </c>
      <c r="V162" s="369">
        <f t="shared" si="227"/>
        <v>0</v>
      </c>
      <c r="W162" s="369">
        <f t="shared" si="228"/>
        <v>0</v>
      </c>
      <c r="X162" s="53">
        <f t="shared" si="122"/>
        <v>6.0785141409877584E-2</v>
      </c>
      <c r="Y162" s="53">
        <f t="shared" si="123"/>
        <v>0</v>
      </c>
      <c r="Z162" s="53">
        <f t="shared" si="124"/>
        <v>0</v>
      </c>
      <c r="AA162" s="148"/>
      <c r="AB162" s="148"/>
      <c r="AC162" s="148"/>
      <c r="AD162" s="148"/>
      <c r="AE162" s="132"/>
      <c r="AF162" s="132"/>
      <c r="AG162" s="132"/>
      <c r="AH162" s="132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>
        <f>144</f>
        <v>144</v>
      </c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48"/>
      <c r="BJ162" s="148"/>
      <c r="BK162" s="148"/>
      <c r="BL162" s="148"/>
      <c r="BM162" s="148"/>
      <c r="BN162" s="54">
        <f t="shared" ref="BN162:BN168" si="239">IF(O162-BK162&gt;0,O162-BK162,0)</f>
        <v>144</v>
      </c>
      <c r="BO162" s="58">
        <f t="shared" ref="BO162:BO168" si="240">IF(Q162-BM162&gt;0,Q162-BM162,0)</f>
        <v>0</v>
      </c>
      <c r="BP162" s="54">
        <f t="shared" ref="BP162:BP168" si="241">IF(BN162+BO162&gt;0,BN162+BO162,0)</f>
        <v>144</v>
      </c>
      <c r="BQ162" s="54">
        <f t="shared" ref="BQ162:BQ168" si="242">IF(U162=0,0,U162)</f>
        <v>2225</v>
      </c>
      <c r="BR162" s="54">
        <f t="shared" ref="BR162:BR168" si="243">IF(W162=0,0,W162)</f>
        <v>0</v>
      </c>
      <c r="BS162" s="54">
        <f t="shared" ref="BS162:BS168" si="244">IF(BQ162+BR162&gt;0,BQ162+BR162,0)</f>
        <v>2225</v>
      </c>
      <c r="BT162" s="54">
        <f t="shared" ref="BT162:BT168" si="245">IF(V162&gt;0,V162,0)</f>
        <v>0</v>
      </c>
      <c r="BU162" s="54">
        <f t="shared" ref="BU162:BU168" si="246">IF(BP162=0,0,BP162)</f>
        <v>144</v>
      </c>
      <c r="BV162" s="54">
        <f t="shared" ref="BV162:BV168" si="247">IF(BS162=0,0,BS162)</f>
        <v>2225</v>
      </c>
      <c r="BW162" s="54">
        <f t="shared" ref="BW162:BW168" si="248">IF(BP162+BT162&gt;0,BP162+BT162,0)</f>
        <v>144</v>
      </c>
      <c r="BX162" s="1"/>
      <c r="BY162" s="1"/>
      <c r="BZ162" s="1"/>
      <c r="CA162" s="1"/>
      <c r="CB162" s="1"/>
      <c r="CC162" s="1"/>
      <c r="CD162" s="1"/>
      <c r="CE162" s="1"/>
      <c r="CF162" s="1"/>
      <c r="CG162" s="1"/>
    </row>
    <row r="163" spans="1:85" ht="15.75" customHeight="1">
      <c r="A163" s="151"/>
      <c r="B163" s="429"/>
      <c r="C163" s="394" t="s">
        <v>290</v>
      </c>
      <c r="D163" s="73"/>
      <c r="E163" s="45"/>
      <c r="F163" s="46"/>
      <c r="G163" s="46"/>
      <c r="H163" s="46"/>
      <c r="I163" s="47"/>
      <c r="J163" s="47"/>
      <c r="K163" s="117"/>
      <c r="L163" s="148"/>
      <c r="M163" s="146"/>
      <c r="N163" s="146"/>
      <c r="O163" s="51">
        <f t="shared" si="224"/>
        <v>0</v>
      </c>
      <c r="P163" s="51">
        <f t="shared" si="224"/>
        <v>0</v>
      </c>
      <c r="Q163" s="51">
        <f t="shared" si="224"/>
        <v>0</v>
      </c>
      <c r="R163" s="52">
        <f t="shared" si="225"/>
        <v>0</v>
      </c>
      <c r="S163" s="52">
        <f t="shared" si="225"/>
        <v>0</v>
      </c>
      <c r="T163" s="52">
        <f t="shared" si="225"/>
        <v>0</v>
      </c>
      <c r="U163" s="369">
        <f t="shared" si="226"/>
        <v>0</v>
      </c>
      <c r="V163" s="369">
        <f t="shared" si="227"/>
        <v>0</v>
      </c>
      <c r="W163" s="369">
        <f t="shared" si="228"/>
        <v>0</v>
      </c>
      <c r="X163" s="53">
        <f t="shared" si="122"/>
        <v>0</v>
      </c>
      <c r="Y163" s="53">
        <f t="shared" si="123"/>
        <v>0</v>
      </c>
      <c r="Z163" s="53">
        <f t="shared" si="124"/>
        <v>0</v>
      </c>
      <c r="AA163" s="148"/>
      <c r="AB163" s="148"/>
      <c r="AC163" s="148"/>
      <c r="AD163" s="148"/>
      <c r="AE163" s="132"/>
      <c r="AF163" s="132"/>
      <c r="AG163" s="132"/>
      <c r="AH163" s="132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52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48"/>
      <c r="BJ163" s="148"/>
      <c r="BK163" s="148"/>
      <c r="BL163" s="148"/>
      <c r="BM163" s="148"/>
      <c r="BN163" s="54">
        <f t="shared" si="239"/>
        <v>0</v>
      </c>
      <c r="BO163" s="58">
        <f t="shared" si="240"/>
        <v>0</v>
      </c>
      <c r="BP163" s="54">
        <f t="shared" si="241"/>
        <v>0</v>
      </c>
      <c r="BQ163" s="54">
        <f t="shared" si="242"/>
        <v>0</v>
      </c>
      <c r="BR163" s="54">
        <f t="shared" si="243"/>
        <v>0</v>
      </c>
      <c r="BS163" s="54">
        <f t="shared" si="244"/>
        <v>0</v>
      </c>
      <c r="BT163" s="54">
        <f t="shared" si="245"/>
        <v>0</v>
      </c>
      <c r="BU163" s="54">
        <f t="shared" si="246"/>
        <v>0</v>
      </c>
      <c r="BV163" s="54">
        <f t="shared" si="247"/>
        <v>0</v>
      </c>
      <c r="BW163" s="54">
        <f t="shared" si="248"/>
        <v>0</v>
      </c>
      <c r="BX163" s="1"/>
      <c r="BY163" s="1"/>
      <c r="BZ163" s="1"/>
      <c r="CA163" s="1"/>
      <c r="CB163" s="1"/>
      <c r="CC163" s="1"/>
      <c r="CD163" s="1"/>
      <c r="CE163" s="1"/>
      <c r="CF163" s="1"/>
      <c r="CG163" s="1"/>
    </row>
    <row r="164" spans="1:85" ht="15.75" customHeight="1">
      <c r="A164" s="83"/>
      <c r="B164" s="429" t="s">
        <v>418</v>
      </c>
      <c r="C164" s="394" t="s">
        <v>290</v>
      </c>
      <c r="D164" s="44" t="s">
        <v>419</v>
      </c>
      <c r="E164" s="45"/>
      <c r="F164" s="46"/>
      <c r="G164" s="46">
        <f>E164-F164</f>
        <v>0</v>
      </c>
      <c r="H164" s="46"/>
      <c r="I164" s="47">
        <f t="shared" ref="I164:I191" si="249">IF(G164&gt;0,K164/G164,0)</f>
        <v>0</v>
      </c>
      <c r="J164" s="47">
        <f t="shared" ref="J164:J191" si="250">IF(G164&gt;0,O164/G164,0)</f>
        <v>0</v>
      </c>
      <c r="K164" s="142"/>
      <c r="L164" s="148">
        <v>12100</v>
      </c>
      <c r="M164" s="146"/>
      <c r="N164" s="146"/>
      <c r="O164" s="51">
        <f t="shared" si="224"/>
        <v>0</v>
      </c>
      <c r="P164" s="51">
        <f t="shared" si="224"/>
        <v>12100</v>
      </c>
      <c r="Q164" s="51">
        <f t="shared" si="224"/>
        <v>0</v>
      </c>
      <c r="R164" s="52">
        <f t="shared" si="225"/>
        <v>0</v>
      </c>
      <c r="S164" s="52">
        <f t="shared" si="225"/>
        <v>12100</v>
      </c>
      <c r="T164" s="52">
        <f t="shared" si="225"/>
        <v>0</v>
      </c>
      <c r="U164" s="369">
        <f t="shared" si="226"/>
        <v>0</v>
      </c>
      <c r="V164" s="369">
        <f t="shared" si="227"/>
        <v>0</v>
      </c>
      <c r="W164" s="369">
        <f t="shared" si="228"/>
        <v>0</v>
      </c>
      <c r="X164" s="53">
        <f t="shared" si="122"/>
        <v>0</v>
      </c>
      <c r="Y164" s="53">
        <f t="shared" si="123"/>
        <v>1</v>
      </c>
      <c r="Z164" s="53">
        <f t="shared" si="124"/>
        <v>0</v>
      </c>
      <c r="AA164" s="148"/>
      <c r="AB164" s="148"/>
      <c r="AC164" s="148"/>
      <c r="AD164" s="148"/>
      <c r="AE164" s="132"/>
      <c r="AF164" s="132"/>
      <c r="AG164" s="132"/>
      <c r="AH164" s="132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52">
        <v>12100</v>
      </c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  <c r="BI164" s="148"/>
      <c r="BJ164" s="148"/>
      <c r="BK164" s="148"/>
      <c r="BL164" s="148"/>
      <c r="BM164" s="148"/>
      <c r="BN164" s="54">
        <f t="shared" si="239"/>
        <v>0</v>
      </c>
      <c r="BO164" s="58">
        <f t="shared" si="240"/>
        <v>0</v>
      </c>
      <c r="BP164" s="54">
        <f t="shared" si="241"/>
        <v>0</v>
      </c>
      <c r="BQ164" s="54">
        <f t="shared" si="242"/>
        <v>0</v>
      </c>
      <c r="BR164" s="54">
        <f t="shared" si="243"/>
        <v>0</v>
      </c>
      <c r="BS164" s="54">
        <f t="shared" si="244"/>
        <v>0</v>
      </c>
      <c r="BT164" s="54">
        <f t="shared" si="245"/>
        <v>0</v>
      </c>
      <c r="BU164" s="54">
        <f t="shared" si="246"/>
        <v>0</v>
      </c>
      <c r="BV164" s="54">
        <f t="shared" si="247"/>
        <v>0</v>
      </c>
      <c r="BW164" s="54">
        <f t="shared" si="248"/>
        <v>0</v>
      </c>
      <c r="BX164" s="1"/>
      <c r="BY164" s="1"/>
      <c r="BZ164" s="1"/>
      <c r="CA164" s="1"/>
      <c r="CB164" s="1"/>
      <c r="CC164" s="1"/>
      <c r="CD164" s="1"/>
      <c r="CE164" s="1"/>
      <c r="CF164" s="1"/>
      <c r="CG164" s="1"/>
    </row>
    <row r="165" spans="1:85" ht="15.75" customHeight="1">
      <c r="A165" s="83"/>
      <c r="B165" s="429" t="s">
        <v>420</v>
      </c>
      <c r="C165" s="394" t="s">
        <v>290</v>
      </c>
      <c r="D165" s="44" t="s">
        <v>421</v>
      </c>
      <c r="E165" s="45"/>
      <c r="F165" s="46"/>
      <c r="G165" s="46">
        <f>E165-F165</f>
        <v>0</v>
      </c>
      <c r="H165" s="46"/>
      <c r="I165" s="47">
        <f t="shared" si="249"/>
        <v>0</v>
      </c>
      <c r="J165" s="47">
        <f t="shared" si="250"/>
        <v>0</v>
      </c>
      <c r="K165" s="142"/>
      <c r="L165" s="148">
        <v>1000</v>
      </c>
      <c r="M165" s="146"/>
      <c r="N165" s="146"/>
      <c r="O165" s="51">
        <f t="shared" si="224"/>
        <v>0</v>
      </c>
      <c r="P165" s="51">
        <f t="shared" si="224"/>
        <v>1000</v>
      </c>
      <c r="Q165" s="51">
        <f t="shared" si="224"/>
        <v>0</v>
      </c>
      <c r="R165" s="52">
        <f t="shared" si="225"/>
        <v>0</v>
      </c>
      <c r="S165" s="52">
        <f t="shared" si="225"/>
        <v>1000</v>
      </c>
      <c r="T165" s="52">
        <f t="shared" si="225"/>
        <v>0</v>
      </c>
      <c r="U165" s="369">
        <f t="shared" si="226"/>
        <v>0</v>
      </c>
      <c r="V165" s="369">
        <f t="shared" si="227"/>
        <v>0</v>
      </c>
      <c r="W165" s="369">
        <f t="shared" si="228"/>
        <v>0</v>
      </c>
      <c r="X165" s="53">
        <f t="shared" si="122"/>
        <v>0</v>
      </c>
      <c r="Y165" s="53">
        <f t="shared" si="123"/>
        <v>1</v>
      </c>
      <c r="Z165" s="53">
        <f t="shared" si="124"/>
        <v>0</v>
      </c>
      <c r="AA165" s="148"/>
      <c r="AB165" s="148"/>
      <c r="AC165" s="148"/>
      <c r="AD165" s="148"/>
      <c r="AE165" s="134">
        <v>324</v>
      </c>
      <c r="AF165" s="132"/>
      <c r="AG165" s="132"/>
      <c r="AH165" s="132"/>
      <c r="AI165" s="148"/>
      <c r="AJ165" s="148"/>
      <c r="AK165" s="148"/>
      <c r="AL165" s="148"/>
      <c r="AM165" s="148"/>
      <c r="AN165" s="148"/>
      <c r="AO165" s="148"/>
      <c r="AP165" s="148"/>
      <c r="AQ165" s="152">
        <v>676</v>
      </c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54">
        <f t="shared" si="239"/>
        <v>0</v>
      </c>
      <c r="BO165" s="58">
        <f t="shared" si="240"/>
        <v>0</v>
      </c>
      <c r="BP165" s="54">
        <f t="shared" si="241"/>
        <v>0</v>
      </c>
      <c r="BQ165" s="54">
        <f t="shared" si="242"/>
        <v>0</v>
      </c>
      <c r="BR165" s="54">
        <f t="shared" si="243"/>
        <v>0</v>
      </c>
      <c r="BS165" s="54">
        <f t="shared" si="244"/>
        <v>0</v>
      </c>
      <c r="BT165" s="54">
        <f t="shared" si="245"/>
        <v>0</v>
      </c>
      <c r="BU165" s="54">
        <f t="shared" si="246"/>
        <v>0</v>
      </c>
      <c r="BV165" s="54">
        <f t="shared" si="247"/>
        <v>0</v>
      </c>
      <c r="BW165" s="54">
        <f t="shared" si="248"/>
        <v>0</v>
      </c>
      <c r="BX165" s="1"/>
      <c r="BY165" s="1"/>
      <c r="BZ165" s="1"/>
      <c r="CA165" s="1"/>
      <c r="CB165" s="1"/>
      <c r="CC165" s="1"/>
      <c r="CD165" s="1"/>
      <c r="CE165" s="1"/>
      <c r="CF165" s="1"/>
      <c r="CG165" s="1"/>
    </row>
    <row r="166" spans="1:85" ht="15.75" customHeight="1">
      <c r="A166" s="83"/>
      <c r="B166" s="429" t="s">
        <v>422</v>
      </c>
      <c r="C166" s="394" t="s">
        <v>290</v>
      </c>
      <c r="D166" s="44" t="s">
        <v>423</v>
      </c>
      <c r="E166" s="45"/>
      <c r="F166" s="46"/>
      <c r="G166" s="46">
        <f>E166-F166</f>
        <v>0</v>
      </c>
      <c r="H166" s="46"/>
      <c r="I166" s="47">
        <f t="shared" si="249"/>
        <v>0</v>
      </c>
      <c r="J166" s="47">
        <f t="shared" si="250"/>
        <v>0</v>
      </c>
      <c r="K166" s="142"/>
      <c r="L166" s="148">
        <v>3070</v>
      </c>
      <c r="M166" s="146"/>
      <c r="N166" s="146"/>
      <c r="O166" s="51">
        <f t="shared" si="224"/>
        <v>0</v>
      </c>
      <c r="P166" s="51">
        <f t="shared" si="224"/>
        <v>3070</v>
      </c>
      <c r="Q166" s="51">
        <f t="shared" si="224"/>
        <v>0</v>
      </c>
      <c r="R166" s="52">
        <f t="shared" si="225"/>
        <v>0</v>
      </c>
      <c r="S166" s="52">
        <f t="shared" si="225"/>
        <v>3070</v>
      </c>
      <c r="T166" s="52">
        <f t="shared" si="225"/>
        <v>0</v>
      </c>
      <c r="U166" s="369">
        <f t="shared" si="226"/>
        <v>0</v>
      </c>
      <c r="V166" s="369">
        <f t="shared" si="227"/>
        <v>0</v>
      </c>
      <c r="W166" s="369">
        <f t="shared" si="228"/>
        <v>0</v>
      </c>
      <c r="X166" s="53">
        <f t="shared" si="122"/>
        <v>0</v>
      </c>
      <c r="Y166" s="53">
        <f t="shared" si="123"/>
        <v>1</v>
      </c>
      <c r="Z166" s="53">
        <f t="shared" si="124"/>
        <v>0</v>
      </c>
      <c r="AA166" s="148"/>
      <c r="AB166" s="152">
        <v>1750</v>
      </c>
      <c r="AC166" s="148"/>
      <c r="AD166" s="148"/>
      <c r="AE166" s="132"/>
      <c r="AF166" s="132"/>
      <c r="AG166" s="132"/>
      <c r="AH166" s="132"/>
      <c r="AI166" s="148"/>
      <c r="AJ166" s="148"/>
      <c r="AK166" s="148"/>
      <c r="AL166" s="148"/>
      <c r="AM166" s="148"/>
      <c r="AN166" s="148"/>
      <c r="AO166" s="148"/>
      <c r="AP166" s="148"/>
      <c r="AQ166" s="152">
        <v>1320</v>
      </c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54">
        <f t="shared" si="239"/>
        <v>0</v>
      </c>
      <c r="BO166" s="58">
        <f t="shared" si="240"/>
        <v>0</v>
      </c>
      <c r="BP166" s="54">
        <f t="shared" si="241"/>
        <v>0</v>
      </c>
      <c r="BQ166" s="54">
        <f t="shared" si="242"/>
        <v>0</v>
      </c>
      <c r="BR166" s="54">
        <f t="shared" si="243"/>
        <v>0</v>
      </c>
      <c r="BS166" s="54">
        <f t="shared" si="244"/>
        <v>0</v>
      </c>
      <c r="BT166" s="54">
        <f t="shared" si="245"/>
        <v>0</v>
      </c>
      <c r="BU166" s="54">
        <f t="shared" si="246"/>
        <v>0</v>
      </c>
      <c r="BV166" s="54">
        <f t="shared" si="247"/>
        <v>0</v>
      </c>
      <c r="BW166" s="54">
        <f t="shared" si="248"/>
        <v>0</v>
      </c>
      <c r="BX166" s="1"/>
      <c r="BY166" s="1"/>
      <c r="BZ166" s="1"/>
      <c r="CA166" s="1"/>
      <c r="CB166" s="1"/>
      <c r="CC166" s="1"/>
      <c r="CD166" s="1"/>
      <c r="CE166" s="1"/>
      <c r="CF166" s="1"/>
      <c r="CG166" s="1"/>
    </row>
    <row r="167" spans="1:85" ht="15.75" customHeight="1">
      <c r="A167" s="83"/>
      <c r="B167" s="429" t="s">
        <v>424</v>
      </c>
      <c r="C167" s="394" t="s">
        <v>290</v>
      </c>
      <c r="D167" s="44" t="s">
        <v>425</v>
      </c>
      <c r="E167" s="45"/>
      <c r="F167" s="46"/>
      <c r="G167" s="46">
        <f>E167-F167</f>
        <v>0</v>
      </c>
      <c r="H167" s="46"/>
      <c r="I167" s="47">
        <f t="shared" si="249"/>
        <v>0</v>
      </c>
      <c r="J167" s="47">
        <f t="shared" si="250"/>
        <v>0</v>
      </c>
      <c r="K167" s="142"/>
      <c r="L167" s="148">
        <v>1275</v>
      </c>
      <c r="M167" s="146"/>
      <c r="N167" s="146"/>
      <c r="O167" s="51">
        <f t="shared" si="224"/>
        <v>0</v>
      </c>
      <c r="P167" s="51">
        <f t="shared" si="224"/>
        <v>0</v>
      </c>
      <c r="Q167" s="51">
        <f t="shared" si="224"/>
        <v>0</v>
      </c>
      <c r="R167" s="52">
        <f t="shared" si="225"/>
        <v>0</v>
      </c>
      <c r="S167" s="52">
        <f t="shared" si="225"/>
        <v>0</v>
      </c>
      <c r="T167" s="52">
        <f t="shared" si="225"/>
        <v>0</v>
      </c>
      <c r="U167" s="369">
        <f t="shared" si="226"/>
        <v>0</v>
      </c>
      <c r="V167" s="369">
        <f t="shared" si="227"/>
        <v>1275</v>
      </c>
      <c r="W167" s="369">
        <f t="shared" si="228"/>
        <v>0</v>
      </c>
      <c r="X167" s="53">
        <f t="shared" si="122"/>
        <v>0</v>
      </c>
      <c r="Y167" s="53">
        <f t="shared" si="123"/>
        <v>0</v>
      </c>
      <c r="Z167" s="53">
        <f t="shared" si="124"/>
        <v>0</v>
      </c>
      <c r="AA167" s="148"/>
      <c r="AB167" s="148"/>
      <c r="AC167" s="148"/>
      <c r="AD167" s="148"/>
      <c r="AE167" s="132"/>
      <c r="AF167" s="132"/>
      <c r="AG167" s="132"/>
      <c r="AH167" s="132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  <c r="BI167" s="148"/>
      <c r="BJ167" s="148"/>
      <c r="BK167" s="148"/>
      <c r="BL167" s="148"/>
      <c r="BM167" s="148"/>
      <c r="BN167" s="54">
        <f t="shared" si="239"/>
        <v>0</v>
      </c>
      <c r="BO167" s="58">
        <f t="shared" si="240"/>
        <v>0</v>
      </c>
      <c r="BP167" s="54">
        <f t="shared" si="241"/>
        <v>0</v>
      </c>
      <c r="BQ167" s="54">
        <f t="shared" si="242"/>
        <v>0</v>
      </c>
      <c r="BR167" s="54">
        <f t="shared" si="243"/>
        <v>0</v>
      </c>
      <c r="BS167" s="54">
        <f t="shared" si="244"/>
        <v>0</v>
      </c>
      <c r="BT167" s="54">
        <f t="shared" si="245"/>
        <v>1275</v>
      </c>
      <c r="BU167" s="54">
        <f t="shared" si="246"/>
        <v>0</v>
      </c>
      <c r="BV167" s="54">
        <f t="shared" si="247"/>
        <v>0</v>
      </c>
      <c r="BW167" s="54">
        <f t="shared" si="248"/>
        <v>1275</v>
      </c>
      <c r="BX167" s="1"/>
      <c r="BY167" s="1"/>
      <c r="BZ167" s="1"/>
      <c r="CA167" s="1"/>
      <c r="CB167" s="1"/>
      <c r="CC167" s="1"/>
      <c r="CD167" s="1"/>
      <c r="CE167" s="1"/>
      <c r="CF167" s="1"/>
      <c r="CG167" s="1"/>
    </row>
    <row r="168" spans="1:85" ht="15.75" customHeight="1">
      <c r="A168" s="83"/>
      <c r="B168" s="429" t="s">
        <v>426</v>
      </c>
      <c r="C168" s="394" t="s">
        <v>290</v>
      </c>
      <c r="D168" s="44" t="s">
        <v>427</v>
      </c>
      <c r="E168" s="45"/>
      <c r="F168" s="46"/>
      <c r="G168" s="46">
        <f>E168-F168</f>
        <v>0</v>
      </c>
      <c r="H168" s="46"/>
      <c r="I168" s="47">
        <f t="shared" si="249"/>
        <v>0</v>
      </c>
      <c r="J168" s="47">
        <f t="shared" si="250"/>
        <v>0</v>
      </c>
      <c r="K168" s="142"/>
      <c r="L168" s="148">
        <v>1396</v>
      </c>
      <c r="M168" s="146"/>
      <c r="N168" s="146"/>
      <c r="O168" s="51">
        <f t="shared" si="224"/>
        <v>0</v>
      </c>
      <c r="P168" s="51">
        <f t="shared" si="224"/>
        <v>1396</v>
      </c>
      <c r="Q168" s="51">
        <f t="shared" si="224"/>
        <v>0</v>
      </c>
      <c r="R168" s="52">
        <f t="shared" si="225"/>
        <v>0</v>
      </c>
      <c r="S168" s="52">
        <f t="shared" si="225"/>
        <v>1396</v>
      </c>
      <c r="T168" s="52">
        <f t="shared" si="225"/>
        <v>0</v>
      </c>
      <c r="U168" s="369">
        <f t="shared" si="226"/>
        <v>0</v>
      </c>
      <c r="V168" s="369">
        <f t="shared" si="227"/>
        <v>0</v>
      </c>
      <c r="W168" s="369">
        <f t="shared" si="228"/>
        <v>0</v>
      </c>
      <c r="X168" s="53">
        <f t="shared" si="122"/>
        <v>0</v>
      </c>
      <c r="Y168" s="53">
        <f t="shared" si="123"/>
        <v>1</v>
      </c>
      <c r="Z168" s="53">
        <f t="shared" si="124"/>
        <v>0</v>
      </c>
      <c r="AA168" s="148"/>
      <c r="AB168" s="148"/>
      <c r="AC168" s="148"/>
      <c r="AD168" s="148"/>
      <c r="AE168" s="132"/>
      <c r="AF168" s="132"/>
      <c r="AG168" s="132"/>
      <c r="AH168" s="132"/>
      <c r="AI168" s="148"/>
      <c r="AJ168" s="148"/>
      <c r="AK168" s="148"/>
      <c r="AL168" s="148"/>
      <c r="AM168" s="148"/>
      <c r="AN168" s="148"/>
      <c r="AO168" s="148"/>
      <c r="AP168" s="148"/>
      <c r="AQ168" s="152">
        <v>1396</v>
      </c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8"/>
      <c r="BJ168" s="148"/>
      <c r="BK168" s="148"/>
      <c r="BL168" s="148"/>
      <c r="BM168" s="148"/>
      <c r="BN168" s="54">
        <f t="shared" si="239"/>
        <v>0</v>
      </c>
      <c r="BO168" s="58">
        <f t="shared" si="240"/>
        <v>0</v>
      </c>
      <c r="BP168" s="54">
        <f t="shared" si="241"/>
        <v>0</v>
      </c>
      <c r="BQ168" s="54">
        <f t="shared" si="242"/>
        <v>0</v>
      </c>
      <c r="BR168" s="54">
        <f t="shared" si="243"/>
        <v>0</v>
      </c>
      <c r="BS168" s="54">
        <f t="shared" si="244"/>
        <v>0</v>
      </c>
      <c r="BT168" s="54">
        <f t="shared" si="245"/>
        <v>0</v>
      </c>
      <c r="BU168" s="54">
        <f t="shared" si="246"/>
        <v>0</v>
      </c>
      <c r="BV168" s="54">
        <f t="shared" si="247"/>
        <v>0</v>
      </c>
      <c r="BW168" s="54">
        <f t="shared" si="248"/>
        <v>0</v>
      </c>
      <c r="BX168" s="1"/>
      <c r="BY168" s="1"/>
      <c r="BZ168" s="1"/>
      <c r="CA168" s="1"/>
      <c r="CB168" s="1"/>
      <c r="CC168" s="1"/>
      <c r="CD168" s="1"/>
      <c r="CE168" s="1"/>
      <c r="CF168" s="1"/>
      <c r="CG168" s="1"/>
    </row>
    <row r="169" spans="1:85" ht="15.75" customHeight="1">
      <c r="A169" s="153"/>
      <c r="B169" s="434"/>
      <c r="C169" s="404"/>
      <c r="D169" s="111" t="s">
        <v>428</v>
      </c>
      <c r="E169" s="112">
        <f>SUM(E170:E195)</f>
        <v>100000</v>
      </c>
      <c r="F169" s="113">
        <f>SUM(F170:F195)</f>
        <v>0</v>
      </c>
      <c r="G169" s="113">
        <f>SUM(G170:G195)</f>
        <v>100000</v>
      </c>
      <c r="H169" s="113">
        <f>SUM(H170:H195)</f>
        <v>0</v>
      </c>
      <c r="I169" s="114">
        <f t="shared" si="249"/>
        <v>1.0335945</v>
      </c>
      <c r="J169" s="114">
        <f t="shared" si="250"/>
        <v>0.69508850000000011</v>
      </c>
      <c r="K169" s="113">
        <f t="shared" ref="K169:W169" si="251">SUM(K170:K195)</f>
        <v>103359.45</v>
      </c>
      <c r="L169" s="113">
        <f t="shared" si="251"/>
        <v>43615.81</v>
      </c>
      <c r="M169" s="113">
        <f t="shared" si="251"/>
        <v>18800</v>
      </c>
      <c r="N169" s="113">
        <f t="shared" si="251"/>
        <v>0</v>
      </c>
      <c r="O169" s="113">
        <f t="shared" si="251"/>
        <v>69508.850000000006</v>
      </c>
      <c r="P169" s="113">
        <f t="shared" si="251"/>
        <v>24261.29</v>
      </c>
      <c r="Q169" s="113">
        <f t="shared" si="251"/>
        <v>0</v>
      </c>
      <c r="R169" s="113">
        <f t="shared" si="251"/>
        <v>69508.850000000006</v>
      </c>
      <c r="S169" s="113">
        <f t="shared" si="251"/>
        <v>24261.29</v>
      </c>
      <c r="T169" s="113">
        <f t="shared" si="251"/>
        <v>0</v>
      </c>
      <c r="U169" s="372">
        <f t="shared" si="251"/>
        <v>33850.6</v>
      </c>
      <c r="V169" s="372">
        <f t="shared" si="251"/>
        <v>554.51999999999862</v>
      </c>
      <c r="W169" s="372">
        <f t="shared" si="251"/>
        <v>0</v>
      </c>
      <c r="X169" s="115">
        <f t="shared" si="122"/>
        <v>0.67249632230047673</v>
      </c>
      <c r="Y169" s="115">
        <f t="shared" si="123"/>
        <v>0.55624990112530304</v>
      </c>
      <c r="Z169" s="115">
        <f t="shared" si="124"/>
        <v>0</v>
      </c>
      <c r="AA169" s="113">
        <f t="shared" ref="AA169:BW169" si="252">SUM(AA170:AA195)</f>
        <v>0</v>
      </c>
      <c r="AB169" s="113">
        <f t="shared" si="252"/>
        <v>0</v>
      </c>
      <c r="AC169" s="113">
        <f t="shared" si="252"/>
        <v>0</v>
      </c>
      <c r="AD169" s="113">
        <f t="shared" si="252"/>
        <v>8199.9</v>
      </c>
      <c r="AE169" s="113">
        <f t="shared" si="252"/>
        <v>15168.29</v>
      </c>
      <c r="AF169" s="113">
        <f t="shared" si="252"/>
        <v>0</v>
      </c>
      <c r="AG169" s="113">
        <f t="shared" si="252"/>
        <v>1587.98</v>
      </c>
      <c r="AH169" s="113">
        <f t="shared" si="252"/>
        <v>-4337.84</v>
      </c>
      <c r="AI169" s="113">
        <f t="shared" si="252"/>
        <v>0</v>
      </c>
      <c r="AJ169" s="113">
        <f t="shared" si="252"/>
        <v>10806.359999999999</v>
      </c>
      <c r="AK169" s="113">
        <f t="shared" si="252"/>
        <v>7976.24</v>
      </c>
      <c r="AL169" s="113">
        <f t="shared" si="252"/>
        <v>0</v>
      </c>
      <c r="AM169" s="113">
        <f t="shared" si="252"/>
        <v>9275.9</v>
      </c>
      <c r="AN169" s="113">
        <f t="shared" si="252"/>
        <v>1135.52</v>
      </c>
      <c r="AO169" s="113">
        <f t="shared" si="252"/>
        <v>0</v>
      </c>
      <c r="AP169" s="113">
        <f t="shared" si="252"/>
        <v>19866</v>
      </c>
      <c r="AQ169" s="113">
        <f t="shared" si="252"/>
        <v>554.52</v>
      </c>
      <c r="AR169" s="113">
        <f t="shared" si="252"/>
        <v>0</v>
      </c>
      <c r="AS169" s="113">
        <f t="shared" si="252"/>
        <v>6723.72</v>
      </c>
      <c r="AT169" s="113">
        <f t="shared" si="252"/>
        <v>554.52</v>
      </c>
      <c r="AU169" s="113">
        <f t="shared" si="252"/>
        <v>0</v>
      </c>
      <c r="AV169" s="113">
        <f t="shared" si="252"/>
        <v>6822.99</v>
      </c>
      <c r="AW169" s="113">
        <f t="shared" si="252"/>
        <v>2655.52</v>
      </c>
      <c r="AX169" s="113">
        <f t="shared" si="252"/>
        <v>0</v>
      </c>
      <c r="AY169" s="113">
        <f t="shared" si="252"/>
        <v>6226</v>
      </c>
      <c r="AZ169" s="113">
        <f t="shared" si="252"/>
        <v>554.52</v>
      </c>
      <c r="BA169" s="113">
        <f t="shared" si="252"/>
        <v>0</v>
      </c>
      <c r="BB169" s="113">
        <f t="shared" si="252"/>
        <v>0</v>
      </c>
      <c r="BC169" s="113">
        <f t="shared" si="252"/>
        <v>0</v>
      </c>
      <c r="BD169" s="113">
        <f t="shared" si="252"/>
        <v>0</v>
      </c>
      <c r="BE169" s="113">
        <f t="shared" si="252"/>
        <v>0</v>
      </c>
      <c r="BF169" s="113">
        <f t="shared" si="252"/>
        <v>0</v>
      </c>
      <c r="BG169" s="113">
        <f t="shared" si="252"/>
        <v>0</v>
      </c>
      <c r="BH169" s="113">
        <f t="shared" si="252"/>
        <v>0</v>
      </c>
      <c r="BI169" s="113">
        <f t="shared" si="252"/>
        <v>0</v>
      </c>
      <c r="BJ169" s="113">
        <f t="shared" si="252"/>
        <v>0</v>
      </c>
      <c r="BK169" s="113">
        <f t="shared" si="252"/>
        <v>0</v>
      </c>
      <c r="BL169" s="113">
        <f t="shared" si="252"/>
        <v>0</v>
      </c>
      <c r="BM169" s="113">
        <f t="shared" si="252"/>
        <v>0</v>
      </c>
      <c r="BN169" s="113">
        <f t="shared" si="252"/>
        <v>69508.850000000006</v>
      </c>
      <c r="BO169" s="113">
        <f t="shared" si="252"/>
        <v>0</v>
      </c>
      <c r="BP169" s="113">
        <f t="shared" si="252"/>
        <v>69508.850000000006</v>
      </c>
      <c r="BQ169" s="113">
        <f t="shared" si="252"/>
        <v>33850.6</v>
      </c>
      <c r="BR169" s="113">
        <f t="shared" si="252"/>
        <v>0</v>
      </c>
      <c r="BS169" s="113">
        <f t="shared" si="252"/>
        <v>33850.6</v>
      </c>
      <c r="BT169" s="113">
        <f t="shared" si="252"/>
        <v>554.52000000000044</v>
      </c>
      <c r="BU169" s="113">
        <f t="shared" si="252"/>
        <v>69508.850000000006</v>
      </c>
      <c r="BV169" s="113">
        <f t="shared" si="252"/>
        <v>33850.6</v>
      </c>
      <c r="BW169" s="113">
        <f t="shared" si="252"/>
        <v>70063.37</v>
      </c>
      <c r="BX169" s="1"/>
      <c r="BY169" s="1"/>
      <c r="BZ169" s="1"/>
      <c r="CA169" s="1"/>
      <c r="CB169" s="1"/>
      <c r="CC169" s="1"/>
      <c r="CD169" s="1"/>
      <c r="CE169" s="1"/>
      <c r="CF169" s="1"/>
      <c r="CG169" s="1"/>
    </row>
    <row r="170" spans="1:85" ht="15.75" customHeight="1">
      <c r="A170" s="43" t="s">
        <v>429</v>
      </c>
      <c r="B170" s="426" t="s">
        <v>430</v>
      </c>
      <c r="C170" s="394" t="s">
        <v>396</v>
      </c>
      <c r="D170" s="73" t="s">
        <v>431</v>
      </c>
      <c r="E170" s="45"/>
      <c r="F170" s="46"/>
      <c r="G170" s="46">
        <f t="shared" ref="G170:G191" si="253">E170-F170</f>
        <v>0</v>
      </c>
      <c r="H170" s="46"/>
      <c r="I170" s="47">
        <f t="shared" si="249"/>
        <v>0</v>
      </c>
      <c r="J170" s="47">
        <f t="shared" si="250"/>
        <v>0</v>
      </c>
      <c r="K170" s="152">
        <v>199.99</v>
      </c>
      <c r="L170" s="148">
        <v>18800</v>
      </c>
      <c r="M170" s="154">
        <v>18800</v>
      </c>
      <c r="N170" s="148"/>
      <c r="O170" s="51">
        <f t="shared" ref="O170:O195" si="254">AA170+AD170+AG170+AJ170+AM170+AP170+AS170+AV170+AY170+BB170+BE170+BH170</f>
        <v>199.99</v>
      </c>
      <c r="P170" s="51">
        <f t="shared" ref="P170:P195" si="255">AB170+AE170+AH170+AK170+AN170+AQ170+AT170+AW170+AZ170+BC170+BF170+BI170</f>
        <v>0</v>
      </c>
      <c r="Q170" s="51">
        <f t="shared" ref="Q170:Q195" si="256">AC170+AF170+AI170+AL170+AO170+AR170+AU170+AX170+BA170+BD170+BG170+BJ170</f>
        <v>0</v>
      </c>
      <c r="R170" s="52">
        <f t="shared" ref="R170:R201" si="257">IF(BK170=0,SUM(AA170+AD170+AG170+AJ170+AM170+AP170+AS170+AV170+AY170+BB170+BE170+BH170),BK170)</f>
        <v>199.99</v>
      </c>
      <c r="S170" s="52">
        <f t="shared" ref="S170:S201" si="258">IF(BL170=0,SUM(AB170+AE170+AH170+AK170+AN170+AQ170+AT170+AW170+AZ170+BC170+BF170+BI170),BL170)</f>
        <v>0</v>
      </c>
      <c r="T170" s="52">
        <f t="shared" ref="T170:T201" si="259">IF(BM170=0,SUM(AC170+AF170+AI170+AL170+AO170+AR170+AU170+AX170+BA170+BD170+BG170+BJ170),BM170)</f>
        <v>0</v>
      </c>
      <c r="U170" s="368">
        <f t="shared" ref="U170:U195" si="260">K170-O170</f>
        <v>0</v>
      </c>
      <c r="V170" s="369">
        <f t="shared" ref="V170:V195" si="261">L170-P170-M170</f>
        <v>0</v>
      </c>
      <c r="W170" s="369">
        <f t="shared" ref="W170:W195" si="262">N170-Q170</f>
        <v>0</v>
      </c>
      <c r="X170" s="53">
        <f t="shared" si="122"/>
        <v>1</v>
      </c>
      <c r="Y170" s="53">
        <f t="shared" si="123"/>
        <v>0</v>
      </c>
      <c r="Z170" s="53">
        <f t="shared" si="124"/>
        <v>0</v>
      </c>
      <c r="AA170" s="148"/>
      <c r="AB170" s="148"/>
      <c r="AC170" s="148"/>
      <c r="AD170" s="148"/>
      <c r="AE170" s="132"/>
      <c r="AF170" s="132"/>
      <c r="AG170" s="132"/>
      <c r="AH170" s="132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52">
        <v>199.99</v>
      </c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48"/>
      <c r="BJ170" s="148"/>
      <c r="BK170" s="148"/>
      <c r="BL170" s="148"/>
      <c r="BM170" s="148"/>
      <c r="BN170" s="54">
        <f t="shared" ref="BN170" si="263">IF(O170-BK170&gt;0,O170-BK170,0)</f>
        <v>199.99</v>
      </c>
      <c r="BO170" s="58">
        <f t="shared" ref="BO170" si="264">IF(Q170-BM170&gt;0,Q170-BM170,0)</f>
        <v>0</v>
      </c>
      <c r="BP170" s="54">
        <f t="shared" ref="BP170" si="265">IF(BN170+BO170&gt;0,BN170+BO170,0)</f>
        <v>199.99</v>
      </c>
      <c r="BQ170" s="54">
        <f t="shared" ref="BQ170" si="266">IF(U170=0,0,U170)</f>
        <v>0</v>
      </c>
      <c r="BR170" s="54">
        <f t="shared" ref="BR170" si="267">IF(W170=0,0,W170)</f>
        <v>0</v>
      </c>
      <c r="BS170" s="54">
        <f t="shared" ref="BS170" si="268">IF(BQ170+BR170&gt;0,BQ170+BR170,0)</f>
        <v>0</v>
      </c>
      <c r="BT170" s="54">
        <f t="shared" ref="BT170" si="269">IF(V170&gt;0,V170,0)</f>
        <v>0</v>
      </c>
      <c r="BU170" s="54">
        <f t="shared" ref="BU170" si="270">IF(BP170=0,0,BP170)</f>
        <v>199.99</v>
      </c>
      <c r="BV170" s="54">
        <f t="shared" ref="BV170" si="271">IF(BS170=0,0,BS170)</f>
        <v>0</v>
      </c>
      <c r="BW170" s="54">
        <f t="shared" ref="BW170" si="272">IF(BP170+BT170&gt;0,BP170+BT170,0)</f>
        <v>199.99</v>
      </c>
      <c r="BX170" s="1"/>
      <c r="BY170" s="1"/>
      <c r="BZ170" s="1"/>
      <c r="CA170" s="1"/>
      <c r="CB170" s="1"/>
      <c r="CC170" s="1"/>
      <c r="CD170" s="1"/>
      <c r="CE170" s="1"/>
      <c r="CF170" s="1"/>
      <c r="CG170" s="1"/>
    </row>
    <row r="171" spans="1:85" ht="15.75" customHeight="1">
      <c r="A171" s="43" t="s">
        <v>432</v>
      </c>
      <c r="B171" s="438"/>
      <c r="C171" s="394" t="s">
        <v>396</v>
      </c>
      <c r="D171" s="73" t="s">
        <v>433</v>
      </c>
      <c r="E171" s="45"/>
      <c r="F171" s="46"/>
      <c r="G171" s="46">
        <f t="shared" si="253"/>
        <v>0</v>
      </c>
      <c r="H171" s="46"/>
      <c r="I171" s="47">
        <f t="shared" si="249"/>
        <v>0</v>
      </c>
      <c r="J171" s="47">
        <f t="shared" si="250"/>
        <v>0</v>
      </c>
      <c r="K171" s="117">
        <v>1160</v>
      </c>
      <c r="L171" s="142"/>
      <c r="M171" s="142"/>
      <c r="N171" s="141"/>
      <c r="O171" s="51">
        <f t="shared" si="254"/>
        <v>1160</v>
      </c>
      <c r="P171" s="51">
        <f t="shared" si="255"/>
        <v>0</v>
      </c>
      <c r="Q171" s="51">
        <f t="shared" si="256"/>
        <v>0</v>
      </c>
      <c r="R171" s="52">
        <f t="shared" si="257"/>
        <v>1160</v>
      </c>
      <c r="S171" s="52">
        <f t="shared" si="258"/>
        <v>0</v>
      </c>
      <c r="T171" s="52">
        <f t="shared" si="259"/>
        <v>0</v>
      </c>
      <c r="U171" s="369">
        <f t="shared" si="260"/>
        <v>0</v>
      </c>
      <c r="V171" s="369">
        <f t="shared" si="261"/>
        <v>0</v>
      </c>
      <c r="W171" s="369">
        <f t="shared" si="262"/>
        <v>0</v>
      </c>
      <c r="X171" s="53">
        <f t="shared" si="122"/>
        <v>1</v>
      </c>
      <c r="Y171" s="53">
        <f t="shared" si="123"/>
        <v>0</v>
      </c>
      <c r="Z171" s="53">
        <f t="shared" si="124"/>
        <v>0</v>
      </c>
      <c r="AA171" s="141"/>
      <c r="AB171" s="141"/>
      <c r="AC171" s="141"/>
      <c r="AD171" s="155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55">
        <v>1160</v>
      </c>
      <c r="AT171" s="141"/>
      <c r="AU171" s="141"/>
      <c r="AV171" s="141"/>
      <c r="AW171" s="141"/>
      <c r="AX171" s="141"/>
      <c r="AY171" s="141"/>
      <c r="AZ171" s="141"/>
      <c r="BA171" s="141"/>
      <c r="BB171" s="141"/>
      <c r="BC171" s="141"/>
      <c r="BD171" s="141"/>
      <c r="BE171" s="141"/>
      <c r="BF171" s="141"/>
      <c r="BG171" s="141"/>
      <c r="BH171" s="141"/>
      <c r="BI171" s="141"/>
      <c r="BJ171" s="141"/>
      <c r="BK171" s="141"/>
      <c r="BL171" s="141"/>
      <c r="BM171" s="141"/>
      <c r="BN171" s="54">
        <f t="shared" ref="BN171:BN195" si="273">IF(O171-BK171&gt;0,O171-BK171,0)</f>
        <v>1160</v>
      </c>
      <c r="BO171" s="58">
        <f t="shared" ref="BO171:BO195" si="274">IF(Q171-BM171&gt;0,Q171-BM171,0)</f>
        <v>0</v>
      </c>
      <c r="BP171" s="54">
        <f t="shared" ref="BP171:BP195" si="275">IF(BN171+BO171&gt;0,BN171+BO171,0)</f>
        <v>1160</v>
      </c>
      <c r="BQ171" s="54">
        <f t="shared" ref="BQ171:BQ195" si="276">IF(U171=0,0,U171)</f>
        <v>0</v>
      </c>
      <c r="BR171" s="54">
        <f t="shared" ref="BR171:BR195" si="277">IF(W171=0,0,W171)</f>
        <v>0</v>
      </c>
      <c r="BS171" s="54">
        <f t="shared" ref="BS171:BS195" si="278">IF(BQ171+BR171&gt;0,BQ171+BR171,0)</f>
        <v>0</v>
      </c>
      <c r="BT171" s="54">
        <f t="shared" ref="BT171:BT195" si="279">IF(V171&gt;0,V171,0)</f>
        <v>0</v>
      </c>
      <c r="BU171" s="54">
        <f t="shared" ref="BU171:BU195" si="280">IF(BP171=0,0,BP171)</f>
        <v>1160</v>
      </c>
      <c r="BV171" s="54">
        <f t="shared" ref="BV171:BV195" si="281">IF(BS171=0,0,BS171)</f>
        <v>0</v>
      </c>
      <c r="BW171" s="54">
        <f t="shared" ref="BW171:BW195" si="282">IF(BP171+BT171&gt;0,BP171+BT171,0)</f>
        <v>1160</v>
      </c>
      <c r="BX171" s="143"/>
      <c r="BY171" s="143"/>
      <c r="BZ171" s="143"/>
      <c r="CA171" s="143"/>
      <c r="CB171" s="143"/>
      <c r="CC171" s="143"/>
      <c r="CD171" s="143"/>
      <c r="CE171" s="143"/>
      <c r="CF171" s="143"/>
      <c r="CG171" s="143"/>
    </row>
    <row r="172" spans="1:85" ht="15.75" customHeight="1">
      <c r="A172" s="43" t="s">
        <v>434</v>
      </c>
      <c r="B172" s="438"/>
      <c r="C172" s="394" t="s">
        <v>396</v>
      </c>
      <c r="D172" s="73" t="s">
        <v>435</v>
      </c>
      <c r="E172" s="45"/>
      <c r="F172" s="46"/>
      <c r="G172" s="46">
        <f t="shared" si="253"/>
        <v>0</v>
      </c>
      <c r="H172" s="46"/>
      <c r="I172" s="47">
        <f t="shared" si="249"/>
        <v>0</v>
      </c>
      <c r="J172" s="47">
        <f t="shared" si="250"/>
        <v>0</v>
      </c>
      <c r="K172" s="117">
        <v>1519.92</v>
      </c>
      <c r="L172" s="142"/>
      <c r="M172" s="142"/>
      <c r="N172" s="141"/>
      <c r="O172" s="51">
        <f t="shared" si="254"/>
        <v>1519.92</v>
      </c>
      <c r="P172" s="51">
        <f t="shared" si="255"/>
        <v>0</v>
      </c>
      <c r="Q172" s="51">
        <f t="shared" si="256"/>
        <v>0</v>
      </c>
      <c r="R172" s="52">
        <f t="shared" si="257"/>
        <v>1519.92</v>
      </c>
      <c r="S172" s="52">
        <f t="shared" si="258"/>
        <v>0</v>
      </c>
      <c r="T172" s="52">
        <f t="shared" si="259"/>
        <v>0</v>
      </c>
      <c r="U172" s="369">
        <f t="shared" si="260"/>
        <v>0</v>
      </c>
      <c r="V172" s="369">
        <f t="shared" si="261"/>
        <v>0</v>
      </c>
      <c r="W172" s="369">
        <f t="shared" si="262"/>
        <v>0</v>
      </c>
      <c r="X172" s="53">
        <f t="shared" si="122"/>
        <v>1</v>
      </c>
      <c r="Y172" s="53">
        <f t="shared" si="123"/>
        <v>0</v>
      </c>
      <c r="Z172" s="53">
        <f t="shared" si="124"/>
        <v>0</v>
      </c>
      <c r="AA172" s="141"/>
      <c r="AB172" s="141"/>
      <c r="AC172" s="141"/>
      <c r="AD172" s="155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55">
        <v>1519.92</v>
      </c>
      <c r="AT172" s="141"/>
      <c r="AU172" s="141"/>
      <c r="AV172" s="141"/>
      <c r="AW172" s="141"/>
      <c r="AX172" s="141"/>
      <c r="AY172" s="141"/>
      <c r="AZ172" s="141"/>
      <c r="BA172" s="141"/>
      <c r="BB172" s="141"/>
      <c r="BC172" s="141"/>
      <c r="BD172" s="141"/>
      <c r="BE172" s="141"/>
      <c r="BF172" s="141"/>
      <c r="BG172" s="141"/>
      <c r="BH172" s="141"/>
      <c r="BI172" s="141"/>
      <c r="BJ172" s="141"/>
      <c r="BK172" s="141"/>
      <c r="BL172" s="141"/>
      <c r="BM172" s="141"/>
      <c r="BN172" s="54">
        <f t="shared" si="273"/>
        <v>1519.92</v>
      </c>
      <c r="BO172" s="58">
        <f t="shared" si="274"/>
        <v>0</v>
      </c>
      <c r="BP172" s="54">
        <f t="shared" si="275"/>
        <v>1519.92</v>
      </c>
      <c r="BQ172" s="54">
        <f t="shared" si="276"/>
        <v>0</v>
      </c>
      <c r="BR172" s="54">
        <f t="shared" si="277"/>
        <v>0</v>
      </c>
      <c r="BS172" s="54">
        <f t="shared" si="278"/>
        <v>0</v>
      </c>
      <c r="BT172" s="54">
        <f t="shared" si="279"/>
        <v>0</v>
      </c>
      <c r="BU172" s="54">
        <f t="shared" si="280"/>
        <v>1519.92</v>
      </c>
      <c r="BV172" s="54">
        <f t="shared" si="281"/>
        <v>0</v>
      </c>
      <c r="BW172" s="54">
        <f t="shared" si="282"/>
        <v>1519.92</v>
      </c>
      <c r="BX172" s="143"/>
      <c r="BY172" s="143"/>
      <c r="BZ172" s="143"/>
      <c r="CA172" s="143"/>
      <c r="CB172" s="143"/>
      <c r="CC172" s="143"/>
      <c r="CD172" s="143"/>
      <c r="CE172" s="143"/>
      <c r="CF172" s="143"/>
      <c r="CG172" s="143"/>
    </row>
    <row r="173" spans="1:85" ht="15.75" customHeight="1">
      <c r="A173" s="43" t="s">
        <v>436</v>
      </c>
      <c r="B173" s="438"/>
      <c r="C173" s="394" t="s">
        <v>396</v>
      </c>
      <c r="D173" s="73" t="s">
        <v>437</v>
      </c>
      <c r="E173" s="45"/>
      <c r="F173" s="46"/>
      <c r="G173" s="46">
        <f t="shared" si="253"/>
        <v>0</v>
      </c>
      <c r="H173" s="46"/>
      <c r="I173" s="47">
        <f t="shared" si="249"/>
        <v>0</v>
      </c>
      <c r="J173" s="47">
        <f t="shared" si="250"/>
        <v>0</v>
      </c>
      <c r="K173" s="117">
        <v>240</v>
      </c>
      <c r="L173" s="142"/>
      <c r="M173" s="142"/>
      <c r="N173" s="141"/>
      <c r="O173" s="51">
        <f t="shared" si="254"/>
        <v>240</v>
      </c>
      <c r="P173" s="51">
        <f t="shared" si="255"/>
        <v>0</v>
      </c>
      <c r="Q173" s="51">
        <f t="shared" si="256"/>
        <v>0</v>
      </c>
      <c r="R173" s="52">
        <f t="shared" si="257"/>
        <v>240</v>
      </c>
      <c r="S173" s="52">
        <f t="shared" si="258"/>
        <v>0</v>
      </c>
      <c r="T173" s="52">
        <f t="shared" si="259"/>
        <v>0</v>
      </c>
      <c r="U173" s="369">
        <f t="shared" si="260"/>
        <v>0</v>
      </c>
      <c r="V173" s="369">
        <f t="shared" si="261"/>
        <v>0</v>
      </c>
      <c r="W173" s="369">
        <f t="shared" si="262"/>
        <v>0</v>
      </c>
      <c r="X173" s="53">
        <f t="shared" si="122"/>
        <v>1</v>
      </c>
      <c r="Y173" s="53">
        <f t="shared" si="123"/>
        <v>0</v>
      </c>
      <c r="Z173" s="53">
        <f t="shared" si="124"/>
        <v>0</v>
      </c>
      <c r="AA173" s="141"/>
      <c r="AB173" s="141"/>
      <c r="AC173" s="141"/>
      <c r="AD173" s="155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55">
        <v>240</v>
      </c>
      <c r="AQ173" s="141"/>
      <c r="AR173" s="141"/>
      <c r="AS173" s="141"/>
      <c r="AT173" s="141"/>
      <c r="AU173" s="141"/>
      <c r="AV173" s="141"/>
      <c r="AW173" s="141"/>
      <c r="AX173" s="141"/>
      <c r="AY173" s="141"/>
      <c r="AZ173" s="141"/>
      <c r="BA173" s="141"/>
      <c r="BB173" s="141"/>
      <c r="BC173" s="141"/>
      <c r="BD173" s="141"/>
      <c r="BE173" s="141"/>
      <c r="BF173" s="141"/>
      <c r="BG173" s="141"/>
      <c r="BH173" s="141"/>
      <c r="BI173" s="141"/>
      <c r="BJ173" s="141"/>
      <c r="BK173" s="141"/>
      <c r="BL173" s="141"/>
      <c r="BM173" s="141"/>
      <c r="BN173" s="54">
        <f t="shared" si="273"/>
        <v>240</v>
      </c>
      <c r="BO173" s="58">
        <f t="shared" si="274"/>
        <v>0</v>
      </c>
      <c r="BP173" s="54">
        <f t="shared" si="275"/>
        <v>240</v>
      </c>
      <c r="BQ173" s="54">
        <f t="shared" si="276"/>
        <v>0</v>
      </c>
      <c r="BR173" s="54">
        <f t="shared" si="277"/>
        <v>0</v>
      </c>
      <c r="BS173" s="54">
        <f t="shared" si="278"/>
        <v>0</v>
      </c>
      <c r="BT173" s="54">
        <f t="shared" si="279"/>
        <v>0</v>
      </c>
      <c r="BU173" s="54">
        <f t="shared" si="280"/>
        <v>240</v>
      </c>
      <c r="BV173" s="54">
        <f t="shared" si="281"/>
        <v>0</v>
      </c>
      <c r="BW173" s="54">
        <f t="shared" si="282"/>
        <v>240</v>
      </c>
      <c r="BX173" s="143"/>
      <c r="BY173" s="143"/>
      <c r="BZ173" s="143"/>
      <c r="CA173" s="143"/>
      <c r="CB173" s="143"/>
      <c r="CC173" s="143"/>
      <c r="CD173" s="143"/>
      <c r="CE173" s="143"/>
      <c r="CF173" s="143"/>
      <c r="CG173" s="143"/>
    </row>
    <row r="174" spans="1:85" ht="15.75" customHeight="1">
      <c r="A174" s="43" t="s">
        <v>438</v>
      </c>
      <c r="B174" s="438"/>
      <c r="C174" s="394" t="s">
        <v>396</v>
      </c>
      <c r="D174" s="73" t="s">
        <v>439</v>
      </c>
      <c r="E174" s="45"/>
      <c r="F174" s="46"/>
      <c r="G174" s="46">
        <f t="shared" si="253"/>
        <v>0</v>
      </c>
      <c r="H174" s="46"/>
      <c r="I174" s="47">
        <f t="shared" si="249"/>
        <v>0</v>
      </c>
      <c r="J174" s="47">
        <f t="shared" si="250"/>
        <v>0</v>
      </c>
      <c r="K174" s="117">
        <v>647.79999999999995</v>
      </c>
      <c r="L174" s="142"/>
      <c r="M174" s="142"/>
      <c r="N174" s="141"/>
      <c r="O174" s="51">
        <f t="shared" si="254"/>
        <v>647.79999999999995</v>
      </c>
      <c r="P174" s="51">
        <f t="shared" si="255"/>
        <v>0</v>
      </c>
      <c r="Q174" s="51">
        <f t="shared" si="256"/>
        <v>0</v>
      </c>
      <c r="R174" s="52">
        <f t="shared" si="257"/>
        <v>647.79999999999995</v>
      </c>
      <c r="S174" s="52">
        <f t="shared" si="258"/>
        <v>0</v>
      </c>
      <c r="T174" s="52">
        <f t="shared" si="259"/>
        <v>0</v>
      </c>
      <c r="U174" s="369">
        <f t="shared" si="260"/>
        <v>0</v>
      </c>
      <c r="V174" s="369">
        <f t="shared" si="261"/>
        <v>0</v>
      </c>
      <c r="W174" s="369">
        <f t="shared" si="262"/>
        <v>0</v>
      </c>
      <c r="X174" s="53">
        <f t="shared" si="122"/>
        <v>1</v>
      </c>
      <c r="Y174" s="53">
        <f t="shared" si="123"/>
        <v>0</v>
      </c>
      <c r="Z174" s="53">
        <f t="shared" si="124"/>
        <v>0</v>
      </c>
      <c r="AA174" s="141"/>
      <c r="AB174" s="141"/>
      <c r="AC174" s="141"/>
      <c r="AD174" s="155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55">
        <v>647.79999999999995</v>
      </c>
      <c r="AT174" s="141"/>
      <c r="AU174" s="141"/>
      <c r="AV174" s="141"/>
      <c r="AW174" s="141"/>
      <c r="AX174" s="141"/>
      <c r="AY174" s="141"/>
      <c r="AZ174" s="141"/>
      <c r="BA174" s="141"/>
      <c r="BB174" s="141"/>
      <c r="BC174" s="141"/>
      <c r="BD174" s="141"/>
      <c r="BE174" s="141"/>
      <c r="BF174" s="141"/>
      <c r="BG174" s="141"/>
      <c r="BH174" s="141"/>
      <c r="BI174" s="141"/>
      <c r="BJ174" s="141"/>
      <c r="BK174" s="141"/>
      <c r="BL174" s="141"/>
      <c r="BM174" s="141"/>
      <c r="BN174" s="54">
        <f t="shared" si="273"/>
        <v>647.79999999999995</v>
      </c>
      <c r="BO174" s="58">
        <f t="shared" si="274"/>
        <v>0</v>
      </c>
      <c r="BP174" s="54">
        <f t="shared" si="275"/>
        <v>647.79999999999995</v>
      </c>
      <c r="BQ174" s="54">
        <f t="shared" si="276"/>
        <v>0</v>
      </c>
      <c r="BR174" s="54">
        <f t="shared" si="277"/>
        <v>0</v>
      </c>
      <c r="BS174" s="54">
        <f t="shared" si="278"/>
        <v>0</v>
      </c>
      <c r="BT174" s="54">
        <f t="shared" si="279"/>
        <v>0</v>
      </c>
      <c r="BU174" s="54">
        <f t="shared" si="280"/>
        <v>647.79999999999995</v>
      </c>
      <c r="BV174" s="54">
        <f t="shared" si="281"/>
        <v>0</v>
      </c>
      <c r="BW174" s="54">
        <f t="shared" si="282"/>
        <v>647.79999999999995</v>
      </c>
      <c r="BX174" s="143"/>
      <c r="BY174" s="143"/>
      <c r="BZ174" s="143"/>
      <c r="CA174" s="143"/>
      <c r="CB174" s="143"/>
      <c r="CC174" s="143"/>
      <c r="CD174" s="143"/>
      <c r="CE174" s="143"/>
      <c r="CF174" s="143"/>
      <c r="CG174" s="143"/>
    </row>
    <row r="175" spans="1:85" ht="15.75" customHeight="1">
      <c r="A175" s="43" t="s">
        <v>440</v>
      </c>
      <c r="B175" s="438"/>
      <c r="C175" s="394" t="s">
        <v>396</v>
      </c>
      <c r="D175" s="73" t="s">
        <v>437</v>
      </c>
      <c r="E175" s="45"/>
      <c r="F175" s="46"/>
      <c r="G175" s="46">
        <f t="shared" si="253"/>
        <v>0</v>
      </c>
      <c r="H175" s="46"/>
      <c r="I175" s="47">
        <f t="shared" si="249"/>
        <v>0</v>
      </c>
      <c r="J175" s="47">
        <f t="shared" si="250"/>
        <v>0</v>
      </c>
      <c r="K175" s="117">
        <v>340</v>
      </c>
      <c r="L175" s="142"/>
      <c r="M175" s="142"/>
      <c r="N175" s="141"/>
      <c r="O175" s="128">
        <f t="shared" si="254"/>
        <v>340</v>
      </c>
      <c r="P175" s="128">
        <f t="shared" si="255"/>
        <v>0</v>
      </c>
      <c r="Q175" s="128">
        <f t="shared" si="256"/>
        <v>0</v>
      </c>
      <c r="R175" s="52">
        <f t="shared" si="257"/>
        <v>340</v>
      </c>
      <c r="S175" s="52">
        <f t="shared" si="258"/>
        <v>0</v>
      </c>
      <c r="T175" s="52">
        <f t="shared" si="259"/>
        <v>0</v>
      </c>
      <c r="U175" s="373">
        <f t="shared" si="260"/>
        <v>0</v>
      </c>
      <c r="V175" s="369">
        <f t="shared" si="261"/>
        <v>0</v>
      </c>
      <c r="W175" s="373">
        <f t="shared" si="262"/>
        <v>0</v>
      </c>
      <c r="X175" s="53">
        <f t="shared" si="122"/>
        <v>1</v>
      </c>
      <c r="Y175" s="53">
        <f t="shared" si="123"/>
        <v>0</v>
      </c>
      <c r="Z175" s="53">
        <f t="shared" si="124"/>
        <v>0</v>
      </c>
      <c r="AA175" s="141"/>
      <c r="AB175" s="141"/>
      <c r="AC175" s="141"/>
      <c r="AD175" s="155">
        <v>340</v>
      </c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  <c r="AU175" s="141"/>
      <c r="AV175" s="141"/>
      <c r="AW175" s="141"/>
      <c r="AX175" s="141"/>
      <c r="AY175" s="141"/>
      <c r="AZ175" s="141"/>
      <c r="BA175" s="141"/>
      <c r="BB175" s="141"/>
      <c r="BC175" s="141"/>
      <c r="BD175" s="141"/>
      <c r="BE175" s="141"/>
      <c r="BF175" s="141"/>
      <c r="BG175" s="141"/>
      <c r="BH175" s="141"/>
      <c r="BI175" s="141"/>
      <c r="BJ175" s="141"/>
      <c r="BK175" s="141"/>
      <c r="BL175" s="141"/>
      <c r="BM175" s="141"/>
      <c r="BN175" s="54">
        <f t="shared" si="273"/>
        <v>340</v>
      </c>
      <c r="BO175" s="58">
        <f t="shared" si="274"/>
        <v>0</v>
      </c>
      <c r="BP175" s="54">
        <f t="shared" si="275"/>
        <v>340</v>
      </c>
      <c r="BQ175" s="54">
        <f t="shared" si="276"/>
        <v>0</v>
      </c>
      <c r="BR175" s="54">
        <f t="shared" si="277"/>
        <v>0</v>
      </c>
      <c r="BS175" s="54">
        <f t="shared" si="278"/>
        <v>0</v>
      </c>
      <c r="BT175" s="54">
        <f t="shared" si="279"/>
        <v>0</v>
      </c>
      <c r="BU175" s="54">
        <f t="shared" si="280"/>
        <v>340</v>
      </c>
      <c r="BV175" s="54">
        <f t="shared" si="281"/>
        <v>0</v>
      </c>
      <c r="BW175" s="54">
        <f t="shared" si="282"/>
        <v>340</v>
      </c>
      <c r="BX175" s="143"/>
      <c r="BY175" s="143"/>
      <c r="BZ175" s="143"/>
      <c r="CA175" s="143"/>
      <c r="CB175" s="143"/>
      <c r="CC175" s="143"/>
      <c r="CD175" s="143"/>
      <c r="CE175" s="143"/>
      <c r="CF175" s="143"/>
      <c r="CG175" s="143"/>
    </row>
    <row r="176" spans="1:85" ht="15.75" customHeight="1">
      <c r="A176" s="43" t="s">
        <v>441</v>
      </c>
      <c r="B176" s="438"/>
      <c r="C176" s="394" t="s">
        <v>396</v>
      </c>
      <c r="D176" s="73" t="s">
        <v>442</v>
      </c>
      <c r="E176" s="45"/>
      <c r="F176" s="46"/>
      <c r="G176" s="46">
        <f t="shared" si="253"/>
        <v>0</v>
      </c>
      <c r="H176" s="46"/>
      <c r="I176" s="47">
        <f t="shared" si="249"/>
        <v>0</v>
      </c>
      <c r="J176" s="47">
        <f t="shared" si="250"/>
        <v>0</v>
      </c>
      <c r="K176" s="117">
        <v>780</v>
      </c>
      <c r="L176" s="142"/>
      <c r="M176" s="142"/>
      <c r="N176" s="141"/>
      <c r="O176" s="128">
        <f t="shared" si="254"/>
        <v>780</v>
      </c>
      <c r="P176" s="128">
        <f t="shared" si="255"/>
        <v>0</v>
      </c>
      <c r="Q176" s="128">
        <f t="shared" si="256"/>
        <v>0</v>
      </c>
      <c r="R176" s="52">
        <f t="shared" si="257"/>
        <v>780</v>
      </c>
      <c r="S176" s="52">
        <f t="shared" si="258"/>
        <v>0</v>
      </c>
      <c r="T176" s="52">
        <f t="shared" si="259"/>
        <v>0</v>
      </c>
      <c r="U176" s="373">
        <f t="shared" si="260"/>
        <v>0</v>
      </c>
      <c r="V176" s="369">
        <f t="shared" si="261"/>
        <v>0</v>
      </c>
      <c r="W176" s="373">
        <f t="shared" si="262"/>
        <v>0</v>
      </c>
      <c r="X176" s="53">
        <f t="shared" si="122"/>
        <v>1</v>
      </c>
      <c r="Y176" s="53">
        <f t="shared" si="123"/>
        <v>0</v>
      </c>
      <c r="Z176" s="53">
        <f t="shared" si="124"/>
        <v>0</v>
      </c>
      <c r="AA176" s="141"/>
      <c r="AB176" s="141"/>
      <c r="AC176" s="141"/>
      <c r="AD176" s="141"/>
      <c r="AE176" s="141"/>
      <c r="AF176" s="141"/>
      <c r="AG176" s="155">
        <v>780</v>
      </c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  <c r="AU176" s="141"/>
      <c r="AV176" s="141"/>
      <c r="AW176" s="141"/>
      <c r="AX176" s="141"/>
      <c r="AY176" s="141"/>
      <c r="AZ176" s="141"/>
      <c r="BA176" s="141"/>
      <c r="BB176" s="141"/>
      <c r="BC176" s="141"/>
      <c r="BD176" s="141"/>
      <c r="BE176" s="141"/>
      <c r="BF176" s="141"/>
      <c r="BG176" s="141"/>
      <c r="BH176" s="141"/>
      <c r="BI176" s="141"/>
      <c r="BJ176" s="141"/>
      <c r="BK176" s="141"/>
      <c r="BL176" s="141"/>
      <c r="BM176" s="141"/>
      <c r="BN176" s="54">
        <f t="shared" si="273"/>
        <v>780</v>
      </c>
      <c r="BO176" s="58">
        <f t="shared" si="274"/>
        <v>0</v>
      </c>
      <c r="BP176" s="54">
        <f t="shared" si="275"/>
        <v>780</v>
      </c>
      <c r="BQ176" s="54">
        <f t="shared" si="276"/>
        <v>0</v>
      </c>
      <c r="BR176" s="54">
        <f t="shared" si="277"/>
        <v>0</v>
      </c>
      <c r="BS176" s="54">
        <f t="shared" si="278"/>
        <v>0</v>
      </c>
      <c r="BT176" s="54">
        <f t="shared" si="279"/>
        <v>0</v>
      </c>
      <c r="BU176" s="54">
        <f t="shared" si="280"/>
        <v>780</v>
      </c>
      <c r="BV176" s="54">
        <f t="shared" si="281"/>
        <v>0</v>
      </c>
      <c r="BW176" s="54">
        <f t="shared" si="282"/>
        <v>780</v>
      </c>
      <c r="BX176" s="143"/>
      <c r="BY176" s="143"/>
      <c r="BZ176" s="143"/>
      <c r="CA176" s="143"/>
      <c r="CB176" s="143"/>
      <c r="CC176" s="143"/>
      <c r="CD176" s="143"/>
      <c r="CE176" s="143"/>
      <c r="CF176" s="143"/>
      <c r="CG176" s="143"/>
    </row>
    <row r="177" spans="1:85" ht="15.75" customHeight="1">
      <c r="A177" s="43" t="s">
        <v>443</v>
      </c>
      <c r="B177" s="438"/>
      <c r="C177" s="394" t="s">
        <v>396</v>
      </c>
      <c r="D177" s="73" t="s">
        <v>444</v>
      </c>
      <c r="E177" s="45"/>
      <c r="F177" s="46"/>
      <c r="G177" s="46">
        <f t="shared" si="253"/>
        <v>0</v>
      </c>
      <c r="H177" s="46"/>
      <c r="I177" s="47">
        <f t="shared" si="249"/>
        <v>0</v>
      </c>
      <c r="J177" s="47">
        <f t="shared" si="250"/>
        <v>0</v>
      </c>
      <c r="K177" s="117">
        <v>330</v>
      </c>
      <c r="L177" s="142"/>
      <c r="M177" s="142"/>
      <c r="N177" s="141"/>
      <c r="O177" s="128">
        <f t="shared" si="254"/>
        <v>0</v>
      </c>
      <c r="P177" s="128">
        <f t="shared" si="255"/>
        <v>0</v>
      </c>
      <c r="Q177" s="128">
        <f t="shared" si="256"/>
        <v>0</v>
      </c>
      <c r="R177" s="52">
        <f t="shared" si="257"/>
        <v>0</v>
      </c>
      <c r="S177" s="52">
        <f t="shared" si="258"/>
        <v>0</v>
      </c>
      <c r="T177" s="52">
        <f t="shared" si="259"/>
        <v>0</v>
      </c>
      <c r="U177" s="374">
        <f t="shared" si="260"/>
        <v>330</v>
      </c>
      <c r="V177" s="369">
        <f t="shared" si="261"/>
        <v>0</v>
      </c>
      <c r="W177" s="373">
        <f t="shared" si="262"/>
        <v>0</v>
      </c>
      <c r="X177" s="53">
        <f t="shared" si="122"/>
        <v>0</v>
      </c>
      <c r="Y177" s="53">
        <f t="shared" si="123"/>
        <v>0</v>
      </c>
      <c r="Z177" s="53">
        <f t="shared" si="124"/>
        <v>0</v>
      </c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  <c r="AU177" s="141"/>
      <c r="AV177" s="141"/>
      <c r="AW177" s="141"/>
      <c r="AX177" s="141"/>
      <c r="AY177" s="141"/>
      <c r="AZ177" s="141"/>
      <c r="BA177" s="141"/>
      <c r="BB177" s="141"/>
      <c r="BC177" s="141"/>
      <c r="BD177" s="141"/>
      <c r="BE177" s="141"/>
      <c r="BF177" s="141"/>
      <c r="BG177" s="141"/>
      <c r="BH177" s="141"/>
      <c r="BI177" s="141"/>
      <c r="BJ177" s="141"/>
      <c r="BK177" s="141"/>
      <c r="BL177" s="141"/>
      <c r="BM177" s="141"/>
      <c r="BN177" s="54">
        <f t="shared" si="273"/>
        <v>0</v>
      </c>
      <c r="BO177" s="58">
        <f t="shared" si="274"/>
        <v>0</v>
      </c>
      <c r="BP177" s="54">
        <f t="shared" si="275"/>
        <v>0</v>
      </c>
      <c r="BQ177" s="54">
        <f t="shared" si="276"/>
        <v>330</v>
      </c>
      <c r="BR177" s="54">
        <f t="shared" si="277"/>
        <v>0</v>
      </c>
      <c r="BS177" s="54">
        <f t="shared" si="278"/>
        <v>330</v>
      </c>
      <c r="BT177" s="54">
        <f t="shared" si="279"/>
        <v>0</v>
      </c>
      <c r="BU177" s="54">
        <f t="shared" si="280"/>
        <v>0</v>
      </c>
      <c r="BV177" s="54">
        <f t="shared" si="281"/>
        <v>330</v>
      </c>
      <c r="BW177" s="54">
        <f t="shared" si="282"/>
        <v>0</v>
      </c>
      <c r="BX177" s="143"/>
      <c r="BY177" s="143"/>
      <c r="BZ177" s="143"/>
      <c r="CA177" s="143"/>
      <c r="CB177" s="143"/>
      <c r="CC177" s="143"/>
      <c r="CD177" s="143"/>
      <c r="CE177" s="143"/>
      <c r="CF177" s="143"/>
      <c r="CG177" s="143"/>
    </row>
    <row r="178" spans="1:85" ht="15.75" customHeight="1">
      <c r="A178" s="43" t="s">
        <v>445</v>
      </c>
      <c r="B178" s="426"/>
      <c r="C178" s="394" t="s">
        <v>396</v>
      </c>
      <c r="D178" s="73" t="s">
        <v>446</v>
      </c>
      <c r="E178" s="45"/>
      <c r="F178" s="46"/>
      <c r="G178" s="46">
        <f t="shared" si="253"/>
        <v>0</v>
      </c>
      <c r="H178" s="46"/>
      <c r="I178" s="47">
        <f t="shared" si="249"/>
        <v>0</v>
      </c>
      <c r="J178" s="47">
        <f t="shared" si="250"/>
        <v>0</v>
      </c>
      <c r="K178" s="152">
        <v>1949.9</v>
      </c>
      <c r="L178" s="147"/>
      <c r="M178" s="148"/>
      <c r="N178" s="148"/>
      <c r="O178" s="128">
        <f t="shared" si="254"/>
        <v>1949.9</v>
      </c>
      <c r="P178" s="128">
        <f t="shared" si="255"/>
        <v>0</v>
      </c>
      <c r="Q178" s="128">
        <f t="shared" si="256"/>
        <v>0</v>
      </c>
      <c r="R178" s="52">
        <f t="shared" si="257"/>
        <v>1949.9</v>
      </c>
      <c r="S178" s="52">
        <f t="shared" si="258"/>
        <v>0</v>
      </c>
      <c r="T178" s="52">
        <f t="shared" si="259"/>
        <v>0</v>
      </c>
      <c r="U178" s="373">
        <f t="shared" si="260"/>
        <v>0</v>
      </c>
      <c r="V178" s="369">
        <f t="shared" si="261"/>
        <v>0</v>
      </c>
      <c r="W178" s="373">
        <f t="shared" si="262"/>
        <v>0</v>
      </c>
      <c r="X178" s="53">
        <f t="shared" si="122"/>
        <v>1</v>
      </c>
      <c r="Y178" s="53">
        <f t="shared" si="123"/>
        <v>0</v>
      </c>
      <c r="Z178" s="53">
        <f t="shared" si="124"/>
        <v>0</v>
      </c>
      <c r="AA178" s="148"/>
      <c r="AB178" s="148"/>
      <c r="AC178" s="148"/>
      <c r="AD178" s="152">
        <v>1949.9</v>
      </c>
      <c r="AE178" s="134"/>
      <c r="AF178" s="132"/>
      <c r="AG178" s="132"/>
      <c r="AH178" s="132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148"/>
      <c r="BN178" s="54">
        <f t="shared" si="273"/>
        <v>1949.9</v>
      </c>
      <c r="BO178" s="58">
        <f t="shared" si="274"/>
        <v>0</v>
      </c>
      <c r="BP178" s="54">
        <f t="shared" si="275"/>
        <v>1949.9</v>
      </c>
      <c r="BQ178" s="54">
        <f t="shared" si="276"/>
        <v>0</v>
      </c>
      <c r="BR178" s="54">
        <f t="shared" si="277"/>
        <v>0</v>
      </c>
      <c r="BS178" s="54">
        <f t="shared" si="278"/>
        <v>0</v>
      </c>
      <c r="BT178" s="54">
        <f t="shared" si="279"/>
        <v>0</v>
      </c>
      <c r="BU178" s="54">
        <f t="shared" si="280"/>
        <v>1949.9</v>
      </c>
      <c r="BV178" s="54">
        <f t="shared" si="281"/>
        <v>0</v>
      </c>
      <c r="BW178" s="54">
        <f t="shared" si="282"/>
        <v>1949.9</v>
      </c>
      <c r="BX178" s="1"/>
      <c r="BY178" s="1"/>
      <c r="BZ178" s="1"/>
      <c r="CA178" s="1"/>
      <c r="CB178" s="1"/>
      <c r="CC178" s="1"/>
      <c r="CD178" s="1"/>
      <c r="CE178" s="1"/>
      <c r="CF178" s="1"/>
      <c r="CG178" s="1"/>
    </row>
    <row r="179" spans="1:85" ht="15.75" customHeight="1">
      <c r="A179" s="43" t="s">
        <v>447</v>
      </c>
      <c r="B179" s="426"/>
      <c r="C179" s="394" t="s">
        <v>396</v>
      </c>
      <c r="D179" s="73" t="s">
        <v>448</v>
      </c>
      <c r="E179" s="45"/>
      <c r="F179" s="46"/>
      <c r="G179" s="46">
        <f t="shared" si="253"/>
        <v>0</v>
      </c>
      <c r="H179" s="46"/>
      <c r="I179" s="47">
        <f t="shared" si="249"/>
        <v>0</v>
      </c>
      <c r="J179" s="47">
        <f t="shared" si="250"/>
        <v>0</v>
      </c>
      <c r="K179" s="152">
        <v>3039.9</v>
      </c>
      <c r="L179" s="147"/>
      <c r="M179" s="148"/>
      <c r="N179" s="148"/>
      <c r="O179" s="128">
        <f t="shared" si="254"/>
        <v>3039.9</v>
      </c>
      <c r="P179" s="128">
        <f t="shared" si="255"/>
        <v>0</v>
      </c>
      <c r="Q179" s="128">
        <f t="shared" si="256"/>
        <v>0</v>
      </c>
      <c r="R179" s="52">
        <f t="shared" si="257"/>
        <v>3039.9</v>
      </c>
      <c r="S179" s="52">
        <f t="shared" si="258"/>
        <v>0</v>
      </c>
      <c r="T179" s="52">
        <f t="shared" si="259"/>
        <v>0</v>
      </c>
      <c r="U179" s="373">
        <f t="shared" si="260"/>
        <v>0</v>
      </c>
      <c r="V179" s="369">
        <f t="shared" si="261"/>
        <v>0</v>
      </c>
      <c r="W179" s="373">
        <f t="shared" si="262"/>
        <v>0</v>
      </c>
      <c r="X179" s="53">
        <f t="shared" si="122"/>
        <v>1</v>
      </c>
      <c r="Y179" s="53">
        <f t="shared" si="123"/>
        <v>0</v>
      </c>
      <c r="Z179" s="53">
        <f t="shared" si="124"/>
        <v>0</v>
      </c>
      <c r="AA179" s="148"/>
      <c r="AB179" s="148"/>
      <c r="AC179" s="148"/>
      <c r="AD179" s="152"/>
      <c r="AE179" s="134"/>
      <c r="AF179" s="132"/>
      <c r="AG179" s="132"/>
      <c r="AH179" s="132"/>
      <c r="AI179" s="148"/>
      <c r="AJ179" s="148"/>
      <c r="AK179" s="148"/>
      <c r="AL179" s="148"/>
      <c r="AM179" s="152">
        <v>3039.9</v>
      </c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48"/>
      <c r="BJ179" s="148"/>
      <c r="BK179" s="148"/>
      <c r="BL179" s="148"/>
      <c r="BM179" s="148"/>
      <c r="BN179" s="54">
        <f t="shared" si="273"/>
        <v>3039.9</v>
      </c>
      <c r="BO179" s="58">
        <f t="shared" si="274"/>
        <v>0</v>
      </c>
      <c r="BP179" s="54">
        <f t="shared" si="275"/>
        <v>3039.9</v>
      </c>
      <c r="BQ179" s="54">
        <f t="shared" si="276"/>
        <v>0</v>
      </c>
      <c r="BR179" s="54">
        <f t="shared" si="277"/>
        <v>0</v>
      </c>
      <c r="BS179" s="54">
        <f t="shared" si="278"/>
        <v>0</v>
      </c>
      <c r="BT179" s="54">
        <f t="shared" si="279"/>
        <v>0</v>
      </c>
      <c r="BU179" s="54">
        <f t="shared" si="280"/>
        <v>3039.9</v>
      </c>
      <c r="BV179" s="54">
        <f t="shared" si="281"/>
        <v>0</v>
      </c>
      <c r="BW179" s="54">
        <f t="shared" si="282"/>
        <v>3039.9</v>
      </c>
      <c r="BX179" s="1"/>
      <c r="BY179" s="1"/>
      <c r="BZ179" s="1"/>
      <c r="CA179" s="1"/>
      <c r="CB179" s="1"/>
      <c r="CC179" s="1"/>
      <c r="CD179" s="1"/>
      <c r="CE179" s="1"/>
      <c r="CF179" s="1"/>
      <c r="CG179" s="1"/>
    </row>
    <row r="180" spans="1:85" ht="15.75" customHeight="1">
      <c r="A180" s="43" t="s">
        <v>449</v>
      </c>
      <c r="B180" s="426"/>
      <c r="C180" s="394" t="s">
        <v>396</v>
      </c>
      <c r="D180" s="73" t="s">
        <v>450</v>
      </c>
      <c r="E180" s="45"/>
      <c r="F180" s="46"/>
      <c r="G180" s="46">
        <f t="shared" si="253"/>
        <v>0</v>
      </c>
      <c r="H180" s="46"/>
      <c r="I180" s="47">
        <f t="shared" si="249"/>
        <v>0</v>
      </c>
      <c r="J180" s="47">
        <f t="shared" si="250"/>
        <v>0</v>
      </c>
      <c r="K180" s="152">
        <v>2639.62</v>
      </c>
      <c r="L180" s="147"/>
      <c r="M180" s="148"/>
      <c r="N180" s="148"/>
      <c r="O180" s="128">
        <f t="shared" si="254"/>
        <v>2639.62</v>
      </c>
      <c r="P180" s="128">
        <f t="shared" si="255"/>
        <v>0</v>
      </c>
      <c r="Q180" s="128">
        <f t="shared" si="256"/>
        <v>0</v>
      </c>
      <c r="R180" s="52">
        <f t="shared" si="257"/>
        <v>2639.62</v>
      </c>
      <c r="S180" s="52">
        <f t="shared" si="258"/>
        <v>0</v>
      </c>
      <c r="T180" s="52">
        <f t="shared" si="259"/>
        <v>0</v>
      </c>
      <c r="U180" s="373">
        <f t="shared" si="260"/>
        <v>0</v>
      </c>
      <c r="V180" s="369">
        <f t="shared" si="261"/>
        <v>0</v>
      </c>
      <c r="W180" s="373">
        <f t="shared" si="262"/>
        <v>0</v>
      </c>
      <c r="X180" s="53">
        <f t="shared" si="122"/>
        <v>1</v>
      </c>
      <c r="Y180" s="53">
        <f t="shared" si="123"/>
        <v>0</v>
      </c>
      <c r="Z180" s="53">
        <f t="shared" si="124"/>
        <v>0</v>
      </c>
      <c r="AA180" s="148"/>
      <c r="AB180" s="148"/>
      <c r="AC180" s="148"/>
      <c r="AD180" s="152"/>
      <c r="AE180" s="134"/>
      <c r="AF180" s="132"/>
      <c r="AG180" s="134"/>
      <c r="AH180" s="132"/>
      <c r="AI180" s="148"/>
      <c r="AJ180" s="152">
        <v>2639.62</v>
      </c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  <c r="BI180" s="148"/>
      <c r="BJ180" s="148"/>
      <c r="BK180" s="148"/>
      <c r="BL180" s="148"/>
      <c r="BM180" s="148"/>
      <c r="BN180" s="54">
        <f t="shared" si="273"/>
        <v>2639.62</v>
      </c>
      <c r="BO180" s="58">
        <f t="shared" si="274"/>
        <v>0</v>
      </c>
      <c r="BP180" s="54">
        <f t="shared" si="275"/>
        <v>2639.62</v>
      </c>
      <c r="BQ180" s="54">
        <f t="shared" si="276"/>
        <v>0</v>
      </c>
      <c r="BR180" s="54">
        <f t="shared" si="277"/>
        <v>0</v>
      </c>
      <c r="BS180" s="54">
        <f t="shared" si="278"/>
        <v>0</v>
      </c>
      <c r="BT180" s="54">
        <f t="shared" si="279"/>
        <v>0</v>
      </c>
      <c r="BU180" s="54">
        <f t="shared" si="280"/>
        <v>2639.62</v>
      </c>
      <c r="BV180" s="54">
        <f t="shared" si="281"/>
        <v>0</v>
      </c>
      <c r="BW180" s="54">
        <f t="shared" si="282"/>
        <v>2639.62</v>
      </c>
      <c r="BX180" s="1"/>
      <c r="BY180" s="1"/>
      <c r="BZ180" s="1"/>
      <c r="CA180" s="1"/>
      <c r="CB180" s="1"/>
      <c r="CC180" s="1"/>
      <c r="CD180" s="1"/>
      <c r="CE180" s="1"/>
      <c r="CF180" s="1"/>
      <c r="CG180" s="1"/>
    </row>
    <row r="181" spans="1:85" ht="15.75" customHeight="1">
      <c r="A181" s="43" t="s">
        <v>451</v>
      </c>
      <c r="B181" s="426"/>
      <c r="C181" s="394" t="s">
        <v>396</v>
      </c>
      <c r="D181" s="73" t="s">
        <v>448</v>
      </c>
      <c r="E181" s="45"/>
      <c r="F181" s="46"/>
      <c r="G181" s="46">
        <f t="shared" si="253"/>
        <v>0</v>
      </c>
      <c r="H181" s="46"/>
      <c r="I181" s="47">
        <f t="shared" si="249"/>
        <v>0</v>
      </c>
      <c r="J181" s="47">
        <f t="shared" si="250"/>
        <v>0</v>
      </c>
      <c r="K181" s="152">
        <v>2840</v>
      </c>
      <c r="L181" s="147"/>
      <c r="M181" s="148"/>
      <c r="N181" s="148"/>
      <c r="O181" s="128">
        <f t="shared" si="254"/>
        <v>2840</v>
      </c>
      <c r="P181" s="128">
        <f t="shared" si="255"/>
        <v>0</v>
      </c>
      <c r="Q181" s="128">
        <f t="shared" si="256"/>
        <v>0</v>
      </c>
      <c r="R181" s="52">
        <f t="shared" si="257"/>
        <v>2840</v>
      </c>
      <c r="S181" s="52">
        <f t="shared" si="258"/>
        <v>0</v>
      </c>
      <c r="T181" s="52">
        <f t="shared" si="259"/>
        <v>0</v>
      </c>
      <c r="U181" s="373">
        <f t="shared" si="260"/>
        <v>0</v>
      </c>
      <c r="V181" s="369">
        <f t="shared" si="261"/>
        <v>0</v>
      </c>
      <c r="W181" s="373">
        <f t="shared" si="262"/>
        <v>0</v>
      </c>
      <c r="X181" s="53">
        <f t="shared" si="122"/>
        <v>1</v>
      </c>
      <c r="Y181" s="53">
        <f t="shared" si="123"/>
        <v>0</v>
      </c>
      <c r="Z181" s="53">
        <f t="shared" si="124"/>
        <v>0</v>
      </c>
      <c r="AA181" s="148"/>
      <c r="AB181" s="148"/>
      <c r="AC181" s="148"/>
      <c r="AD181" s="152"/>
      <c r="AE181" s="134"/>
      <c r="AF181" s="132"/>
      <c r="AG181" s="134"/>
      <c r="AH181" s="132"/>
      <c r="AI181" s="148"/>
      <c r="AJ181" s="148"/>
      <c r="AK181" s="148"/>
      <c r="AL181" s="148"/>
      <c r="AM181" s="152">
        <v>2840</v>
      </c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  <c r="BI181" s="148"/>
      <c r="BJ181" s="148"/>
      <c r="BK181" s="148"/>
      <c r="BL181" s="148"/>
      <c r="BM181" s="148"/>
      <c r="BN181" s="54">
        <f t="shared" si="273"/>
        <v>2840</v>
      </c>
      <c r="BO181" s="58">
        <f t="shared" si="274"/>
        <v>0</v>
      </c>
      <c r="BP181" s="54">
        <f t="shared" si="275"/>
        <v>2840</v>
      </c>
      <c r="BQ181" s="54">
        <f t="shared" si="276"/>
        <v>0</v>
      </c>
      <c r="BR181" s="54">
        <f t="shared" si="277"/>
        <v>0</v>
      </c>
      <c r="BS181" s="54">
        <f t="shared" si="278"/>
        <v>0</v>
      </c>
      <c r="BT181" s="54">
        <f t="shared" si="279"/>
        <v>0</v>
      </c>
      <c r="BU181" s="54">
        <f t="shared" si="280"/>
        <v>2840</v>
      </c>
      <c r="BV181" s="54">
        <f t="shared" si="281"/>
        <v>0</v>
      </c>
      <c r="BW181" s="54">
        <f t="shared" si="282"/>
        <v>2840</v>
      </c>
      <c r="BX181" s="1"/>
      <c r="BY181" s="1"/>
      <c r="BZ181" s="1"/>
      <c r="CA181" s="1"/>
      <c r="CB181" s="1"/>
      <c r="CC181" s="1"/>
      <c r="CD181" s="1"/>
      <c r="CE181" s="1"/>
      <c r="CF181" s="1"/>
      <c r="CG181" s="1"/>
    </row>
    <row r="182" spans="1:85" ht="15.75" customHeight="1">
      <c r="A182" s="43" t="s">
        <v>452</v>
      </c>
      <c r="B182" s="438"/>
      <c r="C182" s="394" t="s">
        <v>396</v>
      </c>
      <c r="D182" s="73" t="s">
        <v>450</v>
      </c>
      <c r="E182" s="75">
        <v>0</v>
      </c>
      <c r="F182" s="46"/>
      <c r="G182" s="46">
        <f t="shared" si="253"/>
        <v>0</v>
      </c>
      <c r="H182" s="46"/>
      <c r="I182" s="47">
        <f t="shared" si="249"/>
        <v>0</v>
      </c>
      <c r="J182" s="47">
        <f t="shared" si="250"/>
        <v>0</v>
      </c>
      <c r="K182" s="117">
        <v>3589.77</v>
      </c>
      <c r="L182" s="141"/>
      <c r="M182" s="142"/>
      <c r="N182" s="141"/>
      <c r="O182" s="128">
        <f t="shared" si="254"/>
        <v>3589.77</v>
      </c>
      <c r="P182" s="128">
        <f t="shared" si="255"/>
        <v>0</v>
      </c>
      <c r="Q182" s="128">
        <f t="shared" si="256"/>
        <v>0</v>
      </c>
      <c r="R182" s="52">
        <f t="shared" si="257"/>
        <v>3589.77</v>
      </c>
      <c r="S182" s="52">
        <f t="shared" si="258"/>
        <v>0</v>
      </c>
      <c r="T182" s="52">
        <f t="shared" si="259"/>
        <v>0</v>
      </c>
      <c r="U182" s="373">
        <f t="shared" si="260"/>
        <v>0</v>
      </c>
      <c r="V182" s="369">
        <f t="shared" si="261"/>
        <v>0</v>
      </c>
      <c r="W182" s="373">
        <f t="shared" si="262"/>
        <v>0</v>
      </c>
      <c r="X182" s="53">
        <f t="shared" si="122"/>
        <v>1</v>
      </c>
      <c r="Y182" s="53">
        <f t="shared" si="123"/>
        <v>0</v>
      </c>
      <c r="Z182" s="53">
        <f t="shared" si="124"/>
        <v>0</v>
      </c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17">
        <v>3589.77</v>
      </c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  <c r="AU182" s="141"/>
      <c r="AV182" s="141"/>
      <c r="AW182" s="141"/>
      <c r="AX182" s="141"/>
      <c r="AY182" s="141"/>
      <c r="AZ182" s="141"/>
      <c r="BA182" s="141"/>
      <c r="BB182" s="141"/>
      <c r="BC182" s="141"/>
      <c r="BD182" s="141"/>
      <c r="BE182" s="141"/>
      <c r="BF182" s="141"/>
      <c r="BG182" s="141"/>
      <c r="BH182" s="141"/>
      <c r="BI182" s="141"/>
      <c r="BJ182" s="141"/>
      <c r="BK182" s="141"/>
      <c r="BL182" s="141"/>
      <c r="BM182" s="141"/>
      <c r="BN182" s="54">
        <f t="shared" si="273"/>
        <v>3589.77</v>
      </c>
      <c r="BO182" s="58">
        <f t="shared" si="274"/>
        <v>0</v>
      </c>
      <c r="BP182" s="54">
        <f t="shared" si="275"/>
        <v>3589.77</v>
      </c>
      <c r="BQ182" s="54">
        <f t="shared" si="276"/>
        <v>0</v>
      </c>
      <c r="BR182" s="54">
        <f t="shared" si="277"/>
        <v>0</v>
      </c>
      <c r="BS182" s="54">
        <f t="shared" si="278"/>
        <v>0</v>
      </c>
      <c r="BT182" s="54">
        <f t="shared" si="279"/>
        <v>0</v>
      </c>
      <c r="BU182" s="54">
        <f t="shared" si="280"/>
        <v>3589.77</v>
      </c>
      <c r="BV182" s="54">
        <f t="shared" si="281"/>
        <v>0</v>
      </c>
      <c r="BW182" s="54">
        <f t="shared" si="282"/>
        <v>3589.77</v>
      </c>
      <c r="BX182" s="143"/>
      <c r="BY182" s="143"/>
      <c r="BZ182" s="143"/>
      <c r="CA182" s="143"/>
      <c r="CB182" s="143"/>
      <c r="CC182" s="143"/>
      <c r="CD182" s="143"/>
      <c r="CE182" s="143"/>
      <c r="CF182" s="143"/>
      <c r="CG182" s="143"/>
    </row>
    <row r="183" spans="1:85" ht="15.75" customHeight="1">
      <c r="A183" s="43" t="s">
        <v>453</v>
      </c>
      <c r="B183" s="438"/>
      <c r="C183" s="394" t="s">
        <v>396</v>
      </c>
      <c r="D183" s="73" t="s">
        <v>450</v>
      </c>
      <c r="E183" s="45"/>
      <c r="F183" s="46"/>
      <c r="G183" s="46">
        <f t="shared" si="253"/>
        <v>0</v>
      </c>
      <c r="H183" s="46"/>
      <c r="I183" s="47">
        <f t="shared" si="249"/>
        <v>0</v>
      </c>
      <c r="J183" s="47">
        <f t="shared" si="250"/>
        <v>0</v>
      </c>
      <c r="K183" s="117">
        <v>199.98</v>
      </c>
      <c r="L183" s="141"/>
      <c r="M183" s="142"/>
      <c r="N183" s="141"/>
      <c r="O183" s="128">
        <f t="shared" si="254"/>
        <v>199.98</v>
      </c>
      <c r="P183" s="128">
        <f t="shared" si="255"/>
        <v>0</v>
      </c>
      <c r="Q183" s="128">
        <f t="shared" si="256"/>
        <v>0</v>
      </c>
      <c r="R183" s="52">
        <f t="shared" si="257"/>
        <v>199.98</v>
      </c>
      <c r="S183" s="52">
        <f t="shared" si="258"/>
        <v>0</v>
      </c>
      <c r="T183" s="52">
        <f t="shared" si="259"/>
        <v>0</v>
      </c>
      <c r="U183" s="373">
        <f t="shared" si="260"/>
        <v>0</v>
      </c>
      <c r="V183" s="369">
        <f t="shared" si="261"/>
        <v>0</v>
      </c>
      <c r="W183" s="373">
        <f t="shared" si="262"/>
        <v>0</v>
      </c>
      <c r="X183" s="53">
        <f t="shared" si="122"/>
        <v>1</v>
      </c>
      <c r="Y183" s="53">
        <f t="shared" si="123"/>
        <v>0</v>
      </c>
      <c r="Z183" s="53">
        <f t="shared" si="124"/>
        <v>0</v>
      </c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17">
        <v>199.98</v>
      </c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  <c r="BI183" s="141"/>
      <c r="BJ183" s="141"/>
      <c r="BK183" s="141"/>
      <c r="BL183" s="141"/>
      <c r="BM183" s="141"/>
      <c r="BN183" s="54">
        <f t="shared" si="273"/>
        <v>199.98</v>
      </c>
      <c r="BO183" s="58">
        <f t="shared" si="274"/>
        <v>0</v>
      </c>
      <c r="BP183" s="54">
        <f t="shared" si="275"/>
        <v>199.98</v>
      </c>
      <c r="BQ183" s="54">
        <f t="shared" si="276"/>
        <v>0</v>
      </c>
      <c r="BR183" s="54">
        <f t="shared" si="277"/>
        <v>0</v>
      </c>
      <c r="BS183" s="54">
        <f t="shared" si="278"/>
        <v>0</v>
      </c>
      <c r="BT183" s="54">
        <f t="shared" si="279"/>
        <v>0</v>
      </c>
      <c r="BU183" s="54">
        <f t="shared" si="280"/>
        <v>199.98</v>
      </c>
      <c r="BV183" s="54">
        <f t="shared" si="281"/>
        <v>0</v>
      </c>
      <c r="BW183" s="54">
        <f t="shared" si="282"/>
        <v>199.98</v>
      </c>
      <c r="BX183" s="143"/>
      <c r="BY183" s="143"/>
      <c r="BZ183" s="143"/>
      <c r="CA183" s="143"/>
      <c r="CB183" s="143"/>
      <c r="CC183" s="143"/>
      <c r="CD183" s="143"/>
      <c r="CE183" s="143"/>
      <c r="CF183" s="143"/>
      <c r="CG183" s="143"/>
    </row>
    <row r="184" spans="1:85" ht="15.75" customHeight="1">
      <c r="A184" s="43" t="s">
        <v>454</v>
      </c>
      <c r="B184" s="438"/>
      <c r="C184" s="394" t="s">
        <v>396</v>
      </c>
      <c r="D184" s="73" t="s">
        <v>455</v>
      </c>
      <c r="E184" s="45"/>
      <c r="F184" s="46"/>
      <c r="G184" s="46">
        <f t="shared" si="253"/>
        <v>0</v>
      </c>
      <c r="H184" s="46"/>
      <c r="I184" s="47">
        <f t="shared" si="249"/>
        <v>0</v>
      </c>
      <c r="J184" s="47">
        <f t="shared" si="250"/>
        <v>0</v>
      </c>
      <c r="K184" s="152">
        <v>4800</v>
      </c>
      <c r="L184" s="147"/>
      <c r="M184" s="148"/>
      <c r="N184" s="148"/>
      <c r="O184" s="128">
        <f t="shared" si="254"/>
        <v>4800</v>
      </c>
      <c r="P184" s="128">
        <f t="shared" si="255"/>
        <v>0</v>
      </c>
      <c r="Q184" s="128">
        <f t="shared" si="256"/>
        <v>0</v>
      </c>
      <c r="R184" s="52">
        <f t="shared" si="257"/>
        <v>4800</v>
      </c>
      <c r="S184" s="52">
        <f t="shared" si="258"/>
        <v>0</v>
      </c>
      <c r="T184" s="52">
        <f t="shared" si="259"/>
        <v>0</v>
      </c>
      <c r="U184" s="373">
        <f t="shared" si="260"/>
        <v>0</v>
      </c>
      <c r="V184" s="369">
        <f t="shared" si="261"/>
        <v>0</v>
      </c>
      <c r="W184" s="373">
        <f t="shared" si="262"/>
        <v>0</v>
      </c>
      <c r="X184" s="53">
        <f t="shared" si="122"/>
        <v>1</v>
      </c>
      <c r="Y184" s="53">
        <f t="shared" si="123"/>
        <v>0</v>
      </c>
      <c r="Z184" s="53">
        <f t="shared" si="124"/>
        <v>0</v>
      </c>
      <c r="AA184" s="148"/>
      <c r="AB184" s="148"/>
      <c r="AC184" s="148"/>
      <c r="AD184" s="152">
        <v>4800</v>
      </c>
      <c r="AE184" s="134"/>
      <c r="AF184" s="132"/>
      <c r="AG184" s="134"/>
      <c r="AH184" s="132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  <c r="BI184" s="148"/>
      <c r="BJ184" s="148"/>
      <c r="BK184" s="148"/>
      <c r="BL184" s="148"/>
      <c r="BM184" s="148"/>
      <c r="BN184" s="54">
        <f t="shared" si="273"/>
        <v>4800</v>
      </c>
      <c r="BO184" s="58">
        <f t="shared" si="274"/>
        <v>0</v>
      </c>
      <c r="BP184" s="54">
        <f t="shared" si="275"/>
        <v>4800</v>
      </c>
      <c r="BQ184" s="54">
        <f t="shared" si="276"/>
        <v>0</v>
      </c>
      <c r="BR184" s="54">
        <f t="shared" si="277"/>
        <v>0</v>
      </c>
      <c r="BS184" s="54">
        <f t="shared" si="278"/>
        <v>0</v>
      </c>
      <c r="BT184" s="54">
        <f t="shared" si="279"/>
        <v>0</v>
      </c>
      <c r="BU184" s="54">
        <f t="shared" si="280"/>
        <v>4800</v>
      </c>
      <c r="BV184" s="54">
        <f t="shared" si="281"/>
        <v>0</v>
      </c>
      <c r="BW184" s="54">
        <f t="shared" si="282"/>
        <v>4800</v>
      </c>
      <c r="BX184" s="1"/>
      <c r="BY184" s="1"/>
      <c r="BZ184" s="1"/>
      <c r="CA184" s="1"/>
      <c r="CB184" s="1"/>
      <c r="CC184" s="1"/>
      <c r="CD184" s="1"/>
      <c r="CE184" s="1"/>
      <c r="CF184" s="1"/>
      <c r="CG184" s="1"/>
    </row>
    <row r="185" spans="1:85" ht="15.75" customHeight="1">
      <c r="A185" s="43" t="s">
        <v>456</v>
      </c>
      <c r="B185" s="426"/>
      <c r="C185" s="394" t="s">
        <v>146</v>
      </c>
      <c r="D185" s="73" t="s">
        <v>457</v>
      </c>
      <c r="E185" s="45"/>
      <c r="F185" s="46"/>
      <c r="G185" s="46">
        <f t="shared" si="253"/>
        <v>0</v>
      </c>
      <c r="H185" s="46"/>
      <c r="I185" s="47">
        <f t="shared" si="249"/>
        <v>0</v>
      </c>
      <c r="J185" s="47">
        <f t="shared" si="250"/>
        <v>0</v>
      </c>
      <c r="K185" s="152">
        <f>104+104</f>
        <v>208</v>
      </c>
      <c r="L185" s="147"/>
      <c r="M185" s="148"/>
      <c r="N185" s="148"/>
      <c r="O185" s="128">
        <f t="shared" si="254"/>
        <v>208</v>
      </c>
      <c r="P185" s="128">
        <f t="shared" si="255"/>
        <v>0</v>
      </c>
      <c r="Q185" s="128">
        <f t="shared" si="256"/>
        <v>0</v>
      </c>
      <c r="R185" s="52">
        <f t="shared" si="257"/>
        <v>208</v>
      </c>
      <c r="S185" s="52">
        <f t="shared" si="258"/>
        <v>0</v>
      </c>
      <c r="T185" s="52">
        <f t="shared" si="259"/>
        <v>0</v>
      </c>
      <c r="U185" s="373">
        <f t="shared" si="260"/>
        <v>0</v>
      </c>
      <c r="V185" s="369">
        <f t="shared" si="261"/>
        <v>0</v>
      </c>
      <c r="W185" s="373">
        <f t="shared" si="262"/>
        <v>0</v>
      </c>
      <c r="X185" s="53">
        <f t="shared" si="122"/>
        <v>1</v>
      </c>
      <c r="Y185" s="53">
        <f t="shared" si="123"/>
        <v>0</v>
      </c>
      <c r="Z185" s="53">
        <f t="shared" si="124"/>
        <v>0</v>
      </c>
      <c r="AA185" s="148"/>
      <c r="AB185" s="148"/>
      <c r="AC185" s="148"/>
      <c r="AD185" s="152"/>
      <c r="AE185" s="134"/>
      <c r="AF185" s="132"/>
      <c r="AG185" s="134">
        <v>208</v>
      </c>
      <c r="AH185" s="132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  <c r="BI185" s="148"/>
      <c r="BJ185" s="148"/>
      <c r="BK185" s="148"/>
      <c r="BL185" s="148"/>
      <c r="BM185" s="148"/>
      <c r="BN185" s="54">
        <f t="shared" si="273"/>
        <v>208</v>
      </c>
      <c r="BO185" s="58">
        <f t="shared" si="274"/>
        <v>0</v>
      </c>
      <c r="BP185" s="54">
        <f t="shared" si="275"/>
        <v>208</v>
      </c>
      <c r="BQ185" s="54">
        <f t="shared" si="276"/>
        <v>0</v>
      </c>
      <c r="BR185" s="54">
        <f t="shared" si="277"/>
        <v>0</v>
      </c>
      <c r="BS185" s="54">
        <f t="shared" si="278"/>
        <v>0</v>
      </c>
      <c r="BT185" s="54">
        <f t="shared" si="279"/>
        <v>0</v>
      </c>
      <c r="BU185" s="54">
        <f t="shared" si="280"/>
        <v>208</v>
      </c>
      <c r="BV185" s="54">
        <f t="shared" si="281"/>
        <v>0</v>
      </c>
      <c r="BW185" s="54">
        <f t="shared" si="282"/>
        <v>208</v>
      </c>
      <c r="BX185" s="1"/>
      <c r="BY185" s="1"/>
      <c r="BZ185" s="1"/>
      <c r="CA185" s="1"/>
      <c r="CB185" s="1"/>
      <c r="CC185" s="1"/>
      <c r="CD185" s="1"/>
      <c r="CE185" s="1"/>
      <c r="CF185" s="1"/>
      <c r="CG185" s="1"/>
    </row>
    <row r="186" spans="1:85" ht="15.75" customHeight="1">
      <c r="A186" s="43" t="s">
        <v>458</v>
      </c>
      <c r="B186" s="426"/>
      <c r="C186" s="394" t="s">
        <v>399</v>
      </c>
      <c r="D186" s="73" t="s">
        <v>459</v>
      </c>
      <c r="E186" s="45"/>
      <c r="F186" s="46"/>
      <c r="G186" s="46">
        <f t="shared" si="253"/>
        <v>0</v>
      </c>
      <c r="H186" s="46"/>
      <c r="I186" s="47">
        <f t="shared" si="249"/>
        <v>0</v>
      </c>
      <c r="J186" s="47">
        <f t="shared" si="250"/>
        <v>0</v>
      </c>
      <c r="K186" s="152">
        <v>1110</v>
      </c>
      <c r="L186" s="147"/>
      <c r="M186" s="148"/>
      <c r="N186" s="148"/>
      <c r="O186" s="128">
        <f t="shared" si="254"/>
        <v>1110</v>
      </c>
      <c r="P186" s="128">
        <f t="shared" si="255"/>
        <v>0</v>
      </c>
      <c r="Q186" s="128">
        <f t="shared" si="256"/>
        <v>0</v>
      </c>
      <c r="R186" s="52">
        <f t="shared" si="257"/>
        <v>1110</v>
      </c>
      <c r="S186" s="52">
        <f t="shared" si="258"/>
        <v>0</v>
      </c>
      <c r="T186" s="52">
        <f t="shared" si="259"/>
        <v>0</v>
      </c>
      <c r="U186" s="373">
        <f t="shared" si="260"/>
        <v>0</v>
      </c>
      <c r="V186" s="369">
        <f t="shared" si="261"/>
        <v>0</v>
      </c>
      <c r="W186" s="373">
        <f t="shared" si="262"/>
        <v>0</v>
      </c>
      <c r="X186" s="53">
        <f t="shared" si="122"/>
        <v>1</v>
      </c>
      <c r="Y186" s="53">
        <f t="shared" si="123"/>
        <v>0</v>
      </c>
      <c r="Z186" s="53">
        <f t="shared" si="124"/>
        <v>0</v>
      </c>
      <c r="AA186" s="148"/>
      <c r="AB186" s="148"/>
      <c r="AC186" s="148"/>
      <c r="AD186" s="152">
        <v>1110</v>
      </c>
      <c r="AE186" s="134"/>
      <c r="AF186" s="132"/>
      <c r="AG186" s="132"/>
      <c r="AH186" s="132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48"/>
      <c r="BJ186" s="148"/>
      <c r="BK186" s="148"/>
      <c r="BL186" s="148"/>
      <c r="BM186" s="148"/>
      <c r="BN186" s="54">
        <f t="shared" si="273"/>
        <v>1110</v>
      </c>
      <c r="BO186" s="58">
        <f t="shared" si="274"/>
        <v>0</v>
      </c>
      <c r="BP186" s="54">
        <f t="shared" si="275"/>
        <v>1110</v>
      </c>
      <c r="BQ186" s="54">
        <f t="shared" si="276"/>
        <v>0</v>
      </c>
      <c r="BR186" s="54">
        <f t="shared" si="277"/>
        <v>0</v>
      </c>
      <c r="BS186" s="54">
        <f t="shared" si="278"/>
        <v>0</v>
      </c>
      <c r="BT186" s="54">
        <f t="shared" si="279"/>
        <v>0</v>
      </c>
      <c r="BU186" s="54">
        <f t="shared" si="280"/>
        <v>1110</v>
      </c>
      <c r="BV186" s="54">
        <f t="shared" si="281"/>
        <v>0</v>
      </c>
      <c r="BW186" s="54">
        <f t="shared" si="282"/>
        <v>1110</v>
      </c>
      <c r="BX186" s="1"/>
      <c r="BY186" s="1"/>
      <c r="BZ186" s="1"/>
      <c r="CA186" s="1"/>
      <c r="CB186" s="1"/>
      <c r="CC186" s="1"/>
      <c r="CD186" s="1"/>
      <c r="CE186" s="1"/>
      <c r="CF186" s="1"/>
      <c r="CG186" s="1"/>
    </row>
    <row r="187" spans="1:85" ht="15.75" customHeight="1">
      <c r="A187" s="43" t="s">
        <v>460</v>
      </c>
      <c r="B187" s="426"/>
      <c r="C187" s="394" t="s">
        <v>220</v>
      </c>
      <c r="D187" s="73" t="s">
        <v>461</v>
      </c>
      <c r="E187" s="45"/>
      <c r="F187" s="46"/>
      <c r="G187" s="46">
        <f t="shared" si="253"/>
        <v>0</v>
      </c>
      <c r="H187" s="46"/>
      <c r="I187" s="47">
        <f t="shared" si="249"/>
        <v>0</v>
      </c>
      <c r="J187" s="47">
        <f t="shared" si="250"/>
        <v>0</v>
      </c>
      <c r="K187" s="152">
        <v>599.98</v>
      </c>
      <c r="L187" s="147"/>
      <c r="M187" s="148"/>
      <c r="N187" s="148"/>
      <c r="O187" s="128">
        <f t="shared" si="254"/>
        <v>599.98</v>
      </c>
      <c r="P187" s="128">
        <f t="shared" si="255"/>
        <v>0</v>
      </c>
      <c r="Q187" s="128">
        <f t="shared" si="256"/>
        <v>0</v>
      </c>
      <c r="R187" s="52">
        <f t="shared" si="257"/>
        <v>599.98</v>
      </c>
      <c r="S187" s="52">
        <f t="shared" si="258"/>
        <v>0</v>
      </c>
      <c r="T187" s="52">
        <f t="shared" si="259"/>
        <v>0</v>
      </c>
      <c r="U187" s="373">
        <f t="shared" si="260"/>
        <v>0</v>
      </c>
      <c r="V187" s="369">
        <f t="shared" si="261"/>
        <v>0</v>
      </c>
      <c r="W187" s="373">
        <f t="shared" si="262"/>
        <v>0</v>
      </c>
      <c r="X187" s="53">
        <f t="shared" si="122"/>
        <v>1</v>
      </c>
      <c r="Y187" s="53">
        <f t="shared" si="123"/>
        <v>0</v>
      </c>
      <c r="Z187" s="53">
        <f t="shared" si="124"/>
        <v>0</v>
      </c>
      <c r="AA187" s="148"/>
      <c r="AB187" s="148"/>
      <c r="AC187" s="148"/>
      <c r="AD187" s="148"/>
      <c r="AE187" s="134"/>
      <c r="AF187" s="132"/>
      <c r="AG187" s="134">
        <v>599.98</v>
      </c>
      <c r="AH187" s="132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8"/>
      <c r="BN187" s="54">
        <f t="shared" si="273"/>
        <v>599.98</v>
      </c>
      <c r="BO187" s="58">
        <f t="shared" si="274"/>
        <v>0</v>
      </c>
      <c r="BP187" s="54">
        <f t="shared" si="275"/>
        <v>599.98</v>
      </c>
      <c r="BQ187" s="54">
        <f t="shared" si="276"/>
        <v>0</v>
      </c>
      <c r="BR187" s="54">
        <f t="shared" si="277"/>
        <v>0</v>
      </c>
      <c r="BS187" s="54">
        <f t="shared" si="278"/>
        <v>0</v>
      </c>
      <c r="BT187" s="54">
        <f t="shared" si="279"/>
        <v>0</v>
      </c>
      <c r="BU187" s="54">
        <f t="shared" si="280"/>
        <v>599.98</v>
      </c>
      <c r="BV187" s="54">
        <f t="shared" si="281"/>
        <v>0</v>
      </c>
      <c r="BW187" s="54">
        <f t="shared" si="282"/>
        <v>599.98</v>
      </c>
      <c r="BX187" s="1"/>
      <c r="BY187" s="1"/>
      <c r="BZ187" s="1"/>
      <c r="CA187" s="1"/>
      <c r="CB187" s="1"/>
      <c r="CC187" s="1"/>
      <c r="CD187" s="1"/>
      <c r="CE187" s="1"/>
      <c r="CF187" s="1"/>
      <c r="CG187" s="1"/>
    </row>
    <row r="188" spans="1:85" ht="15.75" customHeight="1">
      <c r="A188" s="43" t="s">
        <v>462</v>
      </c>
      <c r="B188" s="426" t="s">
        <v>463</v>
      </c>
      <c r="C188" s="394" t="s">
        <v>404</v>
      </c>
      <c r="D188" s="44" t="s">
        <v>464</v>
      </c>
      <c r="E188" s="45"/>
      <c r="F188" s="46"/>
      <c r="G188" s="46">
        <f t="shared" si="253"/>
        <v>0</v>
      </c>
      <c r="H188" s="46"/>
      <c r="I188" s="47">
        <f t="shared" si="249"/>
        <v>0</v>
      </c>
      <c r="J188" s="47">
        <f t="shared" si="250"/>
        <v>0</v>
      </c>
      <c r="K188" s="152">
        <f>5000+5000</f>
        <v>10000</v>
      </c>
      <c r="L188" s="148">
        <v>2231</v>
      </c>
      <c r="M188" s="152">
        <f>985-985</f>
        <v>0</v>
      </c>
      <c r="N188" s="148"/>
      <c r="O188" s="51">
        <f t="shared" si="254"/>
        <v>3804</v>
      </c>
      <c r="P188" s="51">
        <f t="shared" si="255"/>
        <v>2231</v>
      </c>
      <c r="Q188" s="51">
        <f t="shared" si="256"/>
        <v>0</v>
      </c>
      <c r="R188" s="52">
        <f t="shared" si="257"/>
        <v>3804</v>
      </c>
      <c r="S188" s="52">
        <f t="shared" si="258"/>
        <v>2231</v>
      </c>
      <c r="T188" s="52">
        <f t="shared" si="259"/>
        <v>0</v>
      </c>
      <c r="U188" s="368">
        <f t="shared" si="260"/>
        <v>6196</v>
      </c>
      <c r="V188" s="369">
        <f t="shared" si="261"/>
        <v>0</v>
      </c>
      <c r="W188" s="369">
        <f t="shared" si="262"/>
        <v>0</v>
      </c>
      <c r="X188" s="53">
        <f t="shared" si="122"/>
        <v>0.38040000000000002</v>
      </c>
      <c r="Y188" s="53">
        <f t="shared" si="123"/>
        <v>1</v>
      </c>
      <c r="Z188" s="53">
        <f t="shared" si="124"/>
        <v>0</v>
      </c>
      <c r="AA188" s="148"/>
      <c r="AB188" s="148"/>
      <c r="AC188" s="148"/>
      <c r="AD188" s="148"/>
      <c r="AE188" s="134">
        <v>582</v>
      </c>
      <c r="AF188" s="132"/>
      <c r="AG188" s="132"/>
      <c r="AH188" s="132"/>
      <c r="AI188" s="148"/>
      <c r="AJ188" s="148"/>
      <c r="AK188" s="152">
        <v>83</v>
      </c>
      <c r="AL188" s="148"/>
      <c r="AM188" s="148"/>
      <c r="AN188" s="152">
        <v>581</v>
      </c>
      <c r="AO188" s="148"/>
      <c r="AP188" s="148"/>
      <c r="AQ188" s="148"/>
      <c r="AR188" s="148"/>
      <c r="AS188" s="148"/>
      <c r="AT188" s="148"/>
      <c r="AU188" s="148"/>
      <c r="AV188" s="152">
        <v>974</v>
      </c>
      <c r="AW188" s="152">
        <v>985</v>
      </c>
      <c r="AX188" s="148"/>
      <c r="AY188" s="148">
        <f>2830</f>
        <v>2830</v>
      </c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8"/>
      <c r="BN188" s="54">
        <f t="shared" si="273"/>
        <v>3804</v>
      </c>
      <c r="BO188" s="58">
        <f t="shared" si="274"/>
        <v>0</v>
      </c>
      <c r="BP188" s="54">
        <f t="shared" si="275"/>
        <v>3804</v>
      </c>
      <c r="BQ188" s="54">
        <f t="shared" si="276"/>
        <v>6196</v>
      </c>
      <c r="BR188" s="54">
        <f t="shared" si="277"/>
        <v>0</v>
      </c>
      <c r="BS188" s="54">
        <f t="shared" si="278"/>
        <v>6196</v>
      </c>
      <c r="BT188" s="54">
        <f t="shared" si="279"/>
        <v>0</v>
      </c>
      <c r="BU188" s="54">
        <f t="shared" si="280"/>
        <v>3804</v>
      </c>
      <c r="BV188" s="54">
        <f t="shared" si="281"/>
        <v>6196</v>
      </c>
      <c r="BW188" s="54">
        <f t="shared" si="282"/>
        <v>3804</v>
      </c>
      <c r="BX188" s="1"/>
      <c r="BY188" s="1"/>
      <c r="BZ188" s="1"/>
      <c r="CA188" s="1"/>
      <c r="CB188" s="1"/>
      <c r="CC188" s="1"/>
      <c r="CD188" s="1"/>
      <c r="CE188" s="1"/>
      <c r="CF188" s="1"/>
      <c r="CG188" s="1"/>
    </row>
    <row r="189" spans="1:85" ht="15.75" customHeight="1">
      <c r="A189" s="43" t="s">
        <v>465</v>
      </c>
      <c r="B189" s="438"/>
      <c r="C189" s="394" t="s">
        <v>466</v>
      </c>
      <c r="D189" s="73" t="s">
        <v>467</v>
      </c>
      <c r="E189" s="45"/>
      <c r="F189" s="46"/>
      <c r="G189" s="46">
        <f t="shared" si="253"/>
        <v>0</v>
      </c>
      <c r="H189" s="46"/>
      <c r="I189" s="47">
        <f t="shared" si="249"/>
        <v>0</v>
      </c>
      <c r="J189" s="47">
        <f t="shared" si="250"/>
        <v>0</v>
      </c>
      <c r="K189" s="117">
        <v>16230</v>
      </c>
      <c r="L189" s="142"/>
      <c r="M189" s="142"/>
      <c r="N189" s="141"/>
      <c r="O189" s="128">
        <f t="shared" si="254"/>
        <v>16230</v>
      </c>
      <c r="P189" s="128">
        <f t="shared" si="255"/>
        <v>0</v>
      </c>
      <c r="Q189" s="128">
        <f t="shared" si="256"/>
        <v>0</v>
      </c>
      <c r="R189" s="52">
        <f t="shared" si="257"/>
        <v>16230</v>
      </c>
      <c r="S189" s="52">
        <f t="shared" si="258"/>
        <v>0</v>
      </c>
      <c r="T189" s="52">
        <f t="shared" si="259"/>
        <v>0</v>
      </c>
      <c r="U189" s="373">
        <f t="shared" si="260"/>
        <v>0</v>
      </c>
      <c r="V189" s="369">
        <f t="shared" si="261"/>
        <v>0</v>
      </c>
      <c r="W189" s="373">
        <f t="shared" si="262"/>
        <v>0</v>
      </c>
      <c r="X189" s="53">
        <f t="shared" si="122"/>
        <v>1</v>
      </c>
      <c r="Y189" s="53">
        <f t="shared" si="123"/>
        <v>0</v>
      </c>
      <c r="Z189" s="53">
        <f t="shared" si="124"/>
        <v>0</v>
      </c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55">
        <v>16230</v>
      </c>
      <c r="AQ189" s="141"/>
      <c r="AR189" s="141"/>
      <c r="AS189" s="141"/>
      <c r="AT189" s="141"/>
      <c r="AU189" s="141"/>
      <c r="AV189" s="141"/>
      <c r="AW189" s="141"/>
      <c r="AX189" s="141"/>
      <c r="AY189" s="141"/>
      <c r="AZ189" s="141"/>
      <c r="BA189" s="141"/>
      <c r="BB189" s="141"/>
      <c r="BC189" s="141"/>
      <c r="BD189" s="141"/>
      <c r="BE189" s="141"/>
      <c r="BF189" s="141"/>
      <c r="BG189" s="141"/>
      <c r="BH189" s="141"/>
      <c r="BI189" s="141"/>
      <c r="BJ189" s="141"/>
      <c r="BK189" s="141"/>
      <c r="BL189" s="141"/>
      <c r="BM189" s="141"/>
      <c r="BN189" s="54">
        <f t="shared" si="273"/>
        <v>16230</v>
      </c>
      <c r="BO189" s="58">
        <f t="shared" si="274"/>
        <v>0</v>
      </c>
      <c r="BP189" s="54">
        <f t="shared" si="275"/>
        <v>16230</v>
      </c>
      <c r="BQ189" s="54">
        <f t="shared" si="276"/>
        <v>0</v>
      </c>
      <c r="BR189" s="54">
        <f t="shared" si="277"/>
        <v>0</v>
      </c>
      <c r="BS189" s="54">
        <f t="shared" si="278"/>
        <v>0</v>
      </c>
      <c r="BT189" s="54">
        <f t="shared" si="279"/>
        <v>0</v>
      </c>
      <c r="BU189" s="54">
        <f t="shared" si="280"/>
        <v>16230</v>
      </c>
      <c r="BV189" s="54">
        <f t="shared" si="281"/>
        <v>0</v>
      </c>
      <c r="BW189" s="54">
        <f t="shared" si="282"/>
        <v>16230</v>
      </c>
      <c r="BX189" s="143"/>
      <c r="BY189" s="143"/>
      <c r="BZ189" s="143"/>
      <c r="CA189" s="143"/>
      <c r="CB189" s="143"/>
      <c r="CC189" s="143"/>
      <c r="CD189" s="143"/>
      <c r="CE189" s="143"/>
      <c r="CF189" s="143"/>
      <c r="CG189" s="143"/>
    </row>
    <row r="190" spans="1:85" ht="15.75" customHeight="1">
      <c r="A190" s="103"/>
      <c r="B190" s="426" t="s">
        <v>468</v>
      </c>
      <c r="C190" s="394" t="s">
        <v>406</v>
      </c>
      <c r="D190" s="73" t="s">
        <v>469</v>
      </c>
      <c r="E190" s="45"/>
      <c r="F190" s="46"/>
      <c r="G190" s="46">
        <f t="shared" si="253"/>
        <v>0</v>
      </c>
      <c r="H190" s="46"/>
      <c r="I190" s="47">
        <f t="shared" si="249"/>
        <v>0</v>
      </c>
      <c r="J190" s="47">
        <f t="shared" si="250"/>
        <v>0</v>
      </c>
      <c r="K190" s="148"/>
      <c r="L190" s="148">
        <v>5168.91</v>
      </c>
      <c r="M190" s="148"/>
      <c r="N190" s="148"/>
      <c r="O190" s="51">
        <f t="shared" si="254"/>
        <v>0</v>
      </c>
      <c r="P190" s="51">
        <f t="shared" si="255"/>
        <v>4614.3899999999994</v>
      </c>
      <c r="Q190" s="51">
        <f t="shared" si="256"/>
        <v>0</v>
      </c>
      <c r="R190" s="52">
        <f t="shared" si="257"/>
        <v>0</v>
      </c>
      <c r="S190" s="52">
        <f t="shared" si="258"/>
        <v>4614.3899999999994</v>
      </c>
      <c r="T190" s="52">
        <f t="shared" si="259"/>
        <v>0</v>
      </c>
      <c r="U190" s="369">
        <f t="shared" si="260"/>
        <v>0</v>
      </c>
      <c r="V190" s="369">
        <f t="shared" si="261"/>
        <v>554.52000000000044</v>
      </c>
      <c r="W190" s="369">
        <f t="shared" si="262"/>
        <v>0</v>
      </c>
      <c r="X190" s="53">
        <f t="shared" si="122"/>
        <v>0</v>
      </c>
      <c r="Y190" s="53">
        <f t="shared" si="123"/>
        <v>0.89272012861512384</v>
      </c>
      <c r="Z190" s="53">
        <f t="shared" si="124"/>
        <v>0</v>
      </c>
      <c r="AA190" s="148"/>
      <c r="AB190" s="148"/>
      <c r="AC190" s="148"/>
      <c r="AD190" s="148"/>
      <c r="AE190" s="134">
        <v>495.11</v>
      </c>
      <c r="AF190" s="132"/>
      <c r="AG190" s="132"/>
      <c r="AH190" s="152">
        <v>792.16</v>
      </c>
      <c r="AI190" s="152"/>
      <c r="AJ190" s="148"/>
      <c r="AK190" s="152">
        <v>554.52</v>
      </c>
      <c r="AL190" s="148"/>
      <c r="AM190" s="148"/>
      <c r="AN190" s="152">
        <v>554.52</v>
      </c>
      <c r="AO190" s="148"/>
      <c r="AP190" s="148"/>
      <c r="AQ190" s="152">
        <v>554.52</v>
      </c>
      <c r="AR190" s="148"/>
      <c r="AS190" s="148"/>
      <c r="AT190" s="152">
        <v>554.52</v>
      </c>
      <c r="AU190" s="148"/>
      <c r="AV190" s="148"/>
      <c r="AW190" s="152">
        <v>554.52</v>
      </c>
      <c r="AX190" s="148"/>
      <c r="AY190" s="148"/>
      <c r="AZ190" s="148">
        <f>554.52</f>
        <v>554.52</v>
      </c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54">
        <f t="shared" si="273"/>
        <v>0</v>
      </c>
      <c r="BO190" s="58">
        <f t="shared" si="274"/>
        <v>0</v>
      </c>
      <c r="BP190" s="54">
        <f t="shared" si="275"/>
        <v>0</v>
      </c>
      <c r="BQ190" s="54">
        <f t="shared" si="276"/>
        <v>0</v>
      </c>
      <c r="BR190" s="54">
        <f t="shared" si="277"/>
        <v>0</v>
      </c>
      <c r="BS190" s="54">
        <f t="shared" si="278"/>
        <v>0</v>
      </c>
      <c r="BT190" s="54">
        <f t="shared" si="279"/>
        <v>554.52000000000044</v>
      </c>
      <c r="BU190" s="54">
        <f t="shared" si="280"/>
        <v>0</v>
      </c>
      <c r="BV190" s="54">
        <f t="shared" si="281"/>
        <v>0</v>
      </c>
      <c r="BW190" s="54">
        <f t="shared" si="282"/>
        <v>554.52000000000044</v>
      </c>
      <c r="BX190" s="1"/>
      <c r="BY190" s="1"/>
      <c r="BZ190" s="1"/>
      <c r="CA190" s="1"/>
      <c r="CB190" s="1"/>
      <c r="CC190" s="1"/>
      <c r="CD190" s="1"/>
      <c r="CE190" s="1"/>
      <c r="CF190" s="1"/>
      <c r="CG190" s="1"/>
    </row>
    <row r="191" spans="1:85" ht="15.75" customHeight="1">
      <c r="A191" s="81" t="s">
        <v>470</v>
      </c>
      <c r="B191" s="429" t="s">
        <v>471</v>
      </c>
      <c r="C191" s="394" t="s">
        <v>406</v>
      </c>
      <c r="D191" s="44" t="s">
        <v>472</v>
      </c>
      <c r="E191" s="45"/>
      <c r="F191" s="46"/>
      <c r="G191" s="46">
        <f t="shared" si="253"/>
        <v>0</v>
      </c>
      <c r="H191" s="46"/>
      <c r="I191" s="47">
        <f t="shared" si="249"/>
        <v>0</v>
      </c>
      <c r="J191" s="47">
        <f t="shared" si="250"/>
        <v>0</v>
      </c>
      <c r="K191" s="152">
        <f>3310+3300</f>
        <v>6610</v>
      </c>
      <c r="L191" s="148">
        <v>3406</v>
      </c>
      <c r="M191" s="148"/>
      <c r="N191" s="148"/>
      <c r="O191" s="51">
        <f t="shared" si="254"/>
        <v>2253</v>
      </c>
      <c r="P191" s="51">
        <f t="shared" si="255"/>
        <v>3406</v>
      </c>
      <c r="Q191" s="51">
        <f t="shared" si="256"/>
        <v>0</v>
      </c>
      <c r="R191" s="52">
        <f t="shared" si="257"/>
        <v>2253</v>
      </c>
      <c r="S191" s="52">
        <f t="shared" si="258"/>
        <v>3406</v>
      </c>
      <c r="T191" s="52">
        <f t="shared" si="259"/>
        <v>0</v>
      </c>
      <c r="U191" s="368">
        <f t="shared" si="260"/>
        <v>4357</v>
      </c>
      <c r="V191" s="369">
        <f t="shared" si="261"/>
        <v>0</v>
      </c>
      <c r="W191" s="369">
        <f t="shared" si="262"/>
        <v>0</v>
      </c>
      <c r="X191" s="53">
        <f t="shared" si="122"/>
        <v>0.34084720121028744</v>
      </c>
      <c r="Y191" s="53">
        <f t="shared" si="123"/>
        <v>1</v>
      </c>
      <c r="Z191" s="53">
        <f t="shared" si="124"/>
        <v>0</v>
      </c>
      <c r="AA191" s="148"/>
      <c r="AB191" s="148"/>
      <c r="AC191" s="148"/>
      <c r="AD191" s="148"/>
      <c r="AE191" s="134">
        <v>735</v>
      </c>
      <c r="AF191" s="132"/>
      <c r="AG191" s="132"/>
      <c r="AH191" s="132"/>
      <c r="AI191" s="148"/>
      <c r="AJ191" s="148"/>
      <c r="AK191" s="152">
        <v>1555</v>
      </c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52">
        <v>2253</v>
      </c>
      <c r="AW191" s="152">
        <v>1116</v>
      </c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54">
        <f t="shared" si="273"/>
        <v>2253</v>
      </c>
      <c r="BO191" s="58">
        <f t="shared" si="274"/>
        <v>0</v>
      </c>
      <c r="BP191" s="54">
        <f t="shared" si="275"/>
        <v>2253</v>
      </c>
      <c r="BQ191" s="54">
        <f t="shared" si="276"/>
        <v>4357</v>
      </c>
      <c r="BR191" s="54">
        <f t="shared" si="277"/>
        <v>0</v>
      </c>
      <c r="BS191" s="54">
        <f t="shared" si="278"/>
        <v>4357</v>
      </c>
      <c r="BT191" s="54">
        <f t="shared" si="279"/>
        <v>0</v>
      </c>
      <c r="BU191" s="54">
        <f t="shared" si="280"/>
        <v>2253</v>
      </c>
      <c r="BV191" s="54">
        <f t="shared" si="281"/>
        <v>4357</v>
      </c>
      <c r="BW191" s="54">
        <f t="shared" si="282"/>
        <v>2253</v>
      </c>
      <c r="BX191" s="1"/>
      <c r="BY191" s="1"/>
      <c r="BZ191" s="1"/>
      <c r="CA191" s="1"/>
      <c r="CB191" s="1"/>
      <c r="CC191" s="1"/>
      <c r="CD191" s="1"/>
      <c r="CE191" s="1"/>
      <c r="CF191" s="1"/>
      <c r="CG191" s="1"/>
    </row>
    <row r="192" spans="1:85" ht="15.75" customHeight="1">
      <c r="A192" s="156" t="s">
        <v>473</v>
      </c>
      <c r="B192" s="429"/>
      <c r="C192" s="394" t="s">
        <v>406</v>
      </c>
      <c r="D192" s="44" t="s">
        <v>474</v>
      </c>
      <c r="E192" s="45"/>
      <c r="F192" s="46"/>
      <c r="G192" s="46"/>
      <c r="H192" s="46"/>
      <c r="I192" s="47"/>
      <c r="J192" s="47"/>
      <c r="K192" s="152">
        <v>1120</v>
      </c>
      <c r="L192" s="148"/>
      <c r="M192" s="148"/>
      <c r="N192" s="148"/>
      <c r="O192" s="51">
        <f t="shared" si="254"/>
        <v>0</v>
      </c>
      <c r="P192" s="51">
        <f t="shared" si="255"/>
        <v>0</v>
      </c>
      <c r="Q192" s="51">
        <f t="shared" si="256"/>
        <v>0</v>
      </c>
      <c r="R192" s="52">
        <f t="shared" si="257"/>
        <v>0</v>
      </c>
      <c r="S192" s="52">
        <f t="shared" si="258"/>
        <v>0</v>
      </c>
      <c r="T192" s="52">
        <f t="shared" si="259"/>
        <v>0</v>
      </c>
      <c r="U192" s="368">
        <f t="shared" si="260"/>
        <v>1120</v>
      </c>
      <c r="V192" s="369">
        <f t="shared" si="261"/>
        <v>0</v>
      </c>
      <c r="W192" s="369">
        <f t="shared" si="262"/>
        <v>0</v>
      </c>
      <c r="X192" s="53">
        <f t="shared" si="122"/>
        <v>0</v>
      </c>
      <c r="Y192" s="53">
        <f t="shared" si="123"/>
        <v>0</v>
      </c>
      <c r="Z192" s="53">
        <f t="shared" si="124"/>
        <v>0</v>
      </c>
      <c r="AA192" s="148"/>
      <c r="AB192" s="148"/>
      <c r="AC192" s="148"/>
      <c r="AD192" s="148"/>
      <c r="AE192" s="132"/>
      <c r="AF192" s="132"/>
      <c r="AG192" s="132"/>
      <c r="AH192" s="134"/>
      <c r="AI192" s="152"/>
      <c r="AJ192" s="148"/>
      <c r="AK192" s="152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8"/>
      <c r="BN192" s="54">
        <f t="shared" si="273"/>
        <v>0</v>
      </c>
      <c r="BO192" s="58">
        <f t="shared" si="274"/>
        <v>0</v>
      </c>
      <c r="BP192" s="54">
        <f t="shared" si="275"/>
        <v>0</v>
      </c>
      <c r="BQ192" s="54">
        <f t="shared" si="276"/>
        <v>1120</v>
      </c>
      <c r="BR192" s="54">
        <f t="shared" si="277"/>
        <v>0</v>
      </c>
      <c r="BS192" s="54">
        <f t="shared" si="278"/>
        <v>1120</v>
      </c>
      <c r="BT192" s="54">
        <f t="shared" si="279"/>
        <v>0</v>
      </c>
      <c r="BU192" s="54">
        <f t="shared" si="280"/>
        <v>0</v>
      </c>
      <c r="BV192" s="54">
        <f t="shared" si="281"/>
        <v>1120</v>
      </c>
      <c r="BW192" s="54">
        <f t="shared" si="282"/>
        <v>0</v>
      </c>
      <c r="BX192" s="1"/>
      <c r="BY192" s="1"/>
      <c r="BZ192" s="1"/>
      <c r="CA192" s="1"/>
      <c r="CB192" s="1"/>
      <c r="CC192" s="1"/>
      <c r="CD192" s="1"/>
      <c r="CE192" s="1"/>
      <c r="CF192" s="1"/>
      <c r="CG192" s="1"/>
    </row>
    <row r="193" spans="1:85" ht="15.75" customHeight="1">
      <c r="A193" s="156" t="s">
        <v>475</v>
      </c>
      <c r="B193" s="429" t="s">
        <v>476</v>
      </c>
      <c r="C193" s="394" t="s">
        <v>306</v>
      </c>
      <c r="D193" s="44" t="s">
        <v>477</v>
      </c>
      <c r="E193" s="45">
        <v>72000</v>
      </c>
      <c r="F193" s="46"/>
      <c r="G193" s="46">
        <f>E193-F193</f>
        <v>72000</v>
      </c>
      <c r="H193" s="46"/>
      <c r="I193" s="47">
        <f t="shared" ref="I193:I207" si="283">IF(G193&gt;0,K193/G193,0)</f>
        <v>3.4063750000000004E-2</v>
      </c>
      <c r="J193" s="47">
        <f t="shared" ref="J193:J207" si="284">IF(G193&gt;0,O193/G193,0)</f>
        <v>3.4063750000000004E-2</v>
      </c>
      <c r="K193" s="152">
        <v>2452.59</v>
      </c>
      <c r="L193" s="148">
        <v>14009.9</v>
      </c>
      <c r="M193" s="148"/>
      <c r="N193" s="148"/>
      <c r="O193" s="51">
        <f t="shared" si="254"/>
        <v>2452.59</v>
      </c>
      <c r="P193" s="51">
        <f t="shared" si="255"/>
        <v>14009.900000000001</v>
      </c>
      <c r="Q193" s="51">
        <f t="shared" si="256"/>
        <v>0</v>
      </c>
      <c r="R193" s="52">
        <f t="shared" si="257"/>
        <v>2452.59</v>
      </c>
      <c r="S193" s="52">
        <f t="shared" si="258"/>
        <v>14009.900000000001</v>
      </c>
      <c r="T193" s="52">
        <f t="shared" si="259"/>
        <v>0</v>
      </c>
      <c r="U193" s="369">
        <f t="shared" si="260"/>
        <v>0</v>
      </c>
      <c r="V193" s="369">
        <f t="shared" si="261"/>
        <v>-1.8189894035458565E-12</v>
      </c>
      <c r="W193" s="369">
        <f t="shared" si="262"/>
        <v>0</v>
      </c>
      <c r="X193" s="53">
        <f t="shared" si="122"/>
        <v>1</v>
      </c>
      <c r="Y193" s="53">
        <f t="shared" si="123"/>
        <v>1.0000000000000002</v>
      </c>
      <c r="Z193" s="53">
        <f t="shared" si="124"/>
        <v>0</v>
      </c>
      <c r="AA193" s="148"/>
      <c r="AB193" s="148"/>
      <c r="AC193" s="148"/>
      <c r="AD193" s="148"/>
      <c r="AE193" s="132">
        <f>6678.09+6678.09</f>
        <v>13356.18</v>
      </c>
      <c r="AF193" s="132"/>
      <c r="AG193" s="132"/>
      <c r="AH193" s="134">
        <v>-5130</v>
      </c>
      <c r="AI193" s="152"/>
      <c r="AJ193" s="148">
        <f>894.37+1558.22</f>
        <v>2452.59</v>
      </c>
      <c r="AK193" s="152">
        <v>5783.72</v>
      </c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48"/>
      <c r="BN193" s="54">
        <f t="shared" si="273"/>
        <v>2452.59</v>
      </c>
      <c r="BO193" s="58">
        <f t="shared" si="274"/>
        <v>0</v>
      </c>
      <c r="BP193" s="54">
        <f t="shared" si="275"/>
        <v>2452.59</v>
      </c>
      <c r="BQ193" s="54">
        <f t="shared" si="276"/>
        <v>0</v>
      </c>
      <c r="BR193" s="54">
        <f t="shared" si="277"/>
        <v>0</v>
      </c>
      <c r="BS193" s="54">
        <f t="shared" si="278"/>
        <v>0</v>
      </c>
      <c r="BT193" s="54">
        <f t="shared" si="279"/>
        <v>0</v>
      </c>
      <c r="BU193" s="54">
        <f t="shared" si="280"/>
        <v>2452.59</v>
      </c>
      <c r="BV193" s="54">
        <f t="shared" si="281"/>
        <v>0</v>
      </c>
      <c r="BW193" s="54">
        <f t="shared" si="282"/>
        <v>2452.59</v>
      </c>
      <c r="BX193" s="1"/>
      <c r="BY193" s="1"/>
      <c r="BZ193" s="1"/>
      <c r="CA193" s="1"/>
      <c r="CB193" s="1"/>
      <c r="CC193" s="1"/>
      <c r="CD193" s="1"/>
      <c r="CE193" s="1"/>
      <c r="CF193" s="1"/>
      <c r="CG193" s="1"/>
    </row>
    <row r="194" spans="1:85" ht="15.75" customHeight="1">
      <c r="A194" s="84" t="s">
        <v>478</v>
      </c>
      <c r="B194" s="439"/>
      <c r="C194" s="394" t="s">
        <v>479</v>
      </c>
      <c r="D194" s="73" t="s">
        <v>480</v>
      </c>
      <c r="E194" s="45"/>
      <c r="F194" s="46"/>
      <c r="G194" s="46">
        <f>E194-F194</f>
        <v>0</v>
      </c>
      <c r="H194" s="46"/>
      <c r="I194" s="47">
        <f t="shared" si="283"/>
        <v>0</v>
      </c>
      <c r="J194" s="47">
        <f t="shared" si="284"/>
        <v>0</v>
      </c>
      <c r="K194" s="152">
        <v>40752</v>
      </c>
      <c r="L194" s="147"/>
      <c r="M194" s="148"/>
      <c r="N194" s="148"/>
      <c r="O194" s="51">
        <f t="shared" si="254"/>
        <v>18904.400000000001</v>
      </c>
      <c r="P194" s="51">
        <f t="shared" si="255"/>
        <v>0</v>
      </c>
      <c r="Q194" s="51">
        <f t="shared" si="256"/>
        <v>0</v>
      </c>
      <c r="R194" s="52">
        <f t="shared" si="257"/>
        <v>18904.400000000001</v>
      </c>
      <c r="S194" s="52">
        <f t="shared" si="258"/>
        <v>0</v>
      </c>
      <c r="T194" s="52">
        <f t="shared" si="259"/>
        <v>0</v>
      </c>
      <c r="U194" s="368">
        <f t="shared" si="260"/>
        <v>21847.599999999999</v>
      </c>
      <c r="V194" s="369">
        <f t="shared" si="261"/>
        <v>0</v>
      </c>
      <c r="W194" s="369">
        <f t="shared" si="262"/>
        <v>0</v>
      </c>
      <c r="X194" s="53">
        <f t="shared" si="122"/>
        <v>0.46388888888888891</v>
      </c>
      <c r="Y194" s="53">
        <f t="shared" si="123"/>
        <v>0</v>
      </c>
      <c r="Z194" s="53">
        <f t="shared" si="124"/>
        <v>0</v>
      </c>
      <c r="AA194" s="148"/>
      <c r="AB194" s="148"/>
      <c r="AC194" s="148"/>
      <c r="AD194" s="148"/>
      <c r="AE194" s="132"/>
      <c r="AF194" s="132"/>
      <c r="AG194" s="132"/>
      <c r="AH194" s="132"/>
      <c r="AI194" s="148"/>
      <c r="AJ194" s="152">
        <v>1924.4</v>
      </c>
      <c r="AK194" s="148"/>
      <c r="AL194" s="148"/>
      <c r="AM194" s="152">
        <v>3396</v>
      </c>
      <c r="AN194" s="148"/>
      <c r="AO194" s="148"/>
      <c r="AP194" s="152">
        <v>3396</v>
      </c>
      <c r="AQ194" s="148"/>
      <c r="AR194" s="148"/>
      <c r="AS194" s="152">
        <v>3396</v>
      </c>
      <c r="AT194" s="148"/>
      <c r="AU194" s="148"/>
      <c r="AV194" s="148">
        <f>3396</f>
        <v>3396</v>
      </c>
      <c r="AW194" s="148"/>
      <c r="AX194" s="148"/>
      <c r="AY194" s="148">
        <f>3396</f>
        <v>3396</v>
      </c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148"/>
      <c r="BN194" s="54">
        <f t="shared" si="273"/>
        <v>18904.400000000001</v>
      </c>
      <c r="BO194" s="58">
        <f t="shared" si="274"/>
        <v>0</v>
      </c>
      <c r="BP194" s="54">
        <f t="shared" si="275"/>
        <v>18904.400000000001</v>
      </c>
      <c r="BQ194" s="54">
        <f t="shared" si="276"/>
        <v>21847.599999999999</v>
      </c>
      <c r="BR194" s="54">
        <f t="shared" si="277"/>
        <v>0</v>
      </c>
      <c r="BS194" s="54">
        <f t="shared" si="278"/>
        <v>21847.599999999999</v>
      </c>
      <c r="BT194" s="54">
        <f t="shared" si="279"/>
        <v>0</v>
      </c>
      <c r="BU194" s="54">
        <f t="shared" si="280"/>
        <v>18904.400000000001</v>
      </c>
      <c r="BV194" s="54">
        <f t="shared" si="281"/>
        <v>21847.599999999999</v>
      </c>
      <c r="BW194" s="54">
        <f t="shared" si="282"/>
        <v>18904.400000000001</v>
      </c>
      <c r="BX194" s="1"/>
      <c r="BY194" s="1"/>
      <c r="BZ194" s="1"/>
      <c r="CA194" s="1"/>
      <c r="CB194" s="1"/>
      <c r="CC194" s="1"/>
      <c r="CD194" s="1"/>
      <c r="CE194" s="1"/>
      <c r="CF194" s="1"/>
      <c r="CG194" s="1"/>
    </row>
    <row r="195" spans="1:85" ht="15.75" customHeight="1">
      <c r="A195" s="64"/>
      <c r="B195" s="426"/>
      <c r="C195" s="394" t="s">
        <v>306</v>
      </c>
      <c r="D195" s="44" t="s">
        <v>481</v>
      </c>
      <c r="E195" s="45">
        <f>4000+24000</f>
        <v>28000</v>
      </c>
      <c r="F195" s="46"/>
      <c r="G195" s="46">
        <f>E195-F195</f>
        <v>28000</v>
      </c>
      <c r="H195" s="46"/>
      <c r="I195" s="47">
        <f t="shared" si="283"/>
        <v>0</v>
      </c>
      <c r="J195" s="47">
        <f t="shared" si="284"/>
        <v>0</v>
      </c>
      <c r="K195" s="148"/>
      <c r="L195" s="147"/>
      <c r="M195" s="148"/>
      <c r="N195" s="148"/>
      <c r="O195" s="51">
        <f t="shared" si="254"/>
        <v>0</v>
      </c>
      <c r="P195" s="51">
        <f t="shared" si="255"/>
        <v>0</v>
      </c>
      <c r="Q195" s="51">
        <f t="shared" si="256"/>
        <v>0</v>
      </c>
      <c r="R195" s="52">
        <f t="shared" si="257"/>
        <v>0</v>
      </c>
      <c r="S195" s="52">
        <f t="shared" si="258"/>
        <v>0</v>
      </c>
      <c r="T195" s="52">
        <f t="shared" si="259"/>
        <v>0</v>
      </c>
      <c r="U195" s="369">
        <f t="shared" si="260"/>
        <v>0</v>
      </c>
      <c r="V195" s="369">
        <f t="shared" si="261"/>
        <v>0</v>
      </c>
      <c r="W195" s="369">
        <f t="shared" si="262"/>
        <v>0</v>
      </c>
      <c r="X195" s="53">
        <f t="shared" ref="X195:X258" si="285">IF(O195&gt;0,O195/K195,0)</f>
        <v>0</v>
      </c>
      <c r="Y195" s="53">
        <f t="shared" ref="Y195:Y258" si="286">IF(P195&gt;0,P195/L195,0)</f>
        <v>0</v>
      </c>
      <c r="Z195" s="53">
        <f t="shared" ref="Z195:Z258" si="287">IF(Q195&gt;0,Q195/N195,0)</f>
        <v>0</v>
      </c>
      <c r="AA195" s="148"/>
      <c r="AB195" s="148"/>
      <c r="AC195" s="148"/>
      <c r="AD195" s="148"/>
      <c r="AE195" s="132"/>
      <c r="AF195" s="132"/>
      <c r="AG195" s="132"/>
      <c r="AH195" s="132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148"/>
      <c r="BN195" s="54">
        <f t="shared" si="273"/>
        <v>0</v>
      </c>
      <c r="BO195" s="58">
        <f t="shared" si="274"/>
        <v>0</v>
      </c>
      <c r="BP195" s="54">
        <f t="shared" si="275"/>
        <v>0</v>
      </c>
      <c r="BQ195" s="54">
        <f t="shared" si="276"/>
        <v>0</v>
      </c>
      <c r="BR195" s="54">
        <f t="shared" si="277"/>
        <v>0</v>
      </c>
      <c r="BS195" s="54">
        <f t="shared" si="278"/>
        <v>0</v>
      </c>
      <c r="BT195" s="54">
        <f t="shared" si="279"/>
        <v>0</v>
      </c>
      <c r="BU195" s="54">
        <f t="shared" si="280"/>
        <v>0</v>
      </c>
      <c r="BV195" s="54">
        <f t="shared" si="281"/>
        <v>0</v>
      </c>
      <c r="BW195" s="54">
        <f t="shared" si="282"/>
        <v>0</v>
      </c>
      <c r="BX195" s="1"/>
      <c r="BY195" s="1"/>
      <c r="BZ195" s="1"/>
      <c r="CA195" s="1"/>
      <c r="CB195" s="1"/>
      <c r="CC195" s="1"/>
      <c r="CD195" s="1"/>
      <c r="CE195" s="1"/>
      <c r="CF195" s="1"/>
      <c r="CG195" s="1"/>
    </row>
    <row r="196" spans="1:85" ht="15.75" customHeight="1">
      <c r="A196" s="37"/>
      <c r="B196" s="433" t="s">
        <v>482</v>
      </c>
      <c r="C196" s="400"/>
      <c r="D196" s="38"/>
      <c r="E196" s="39">
        <f>E197+E236+E241+E321+E340+E343</f>
        <v>565264.89</v>
      </c>
      <c r="F196" s="40">
        <f>F197+F236+F241+F321+F340+F343</f>
        <v>37840.94</v>
      </c>
      <c r="G196" s="40">
        <f>G197+G236+G241+G321+G340+G343</f>
        <v>527423.95000000007</v>
      </c>
      <c r="H196" s="40">
        <f>H197+H236+H241+H321+H340+H343</f>
        <v>5509944.8700000001</v>
      </c>
      <c r="I196" s="62">
        <f t="shared" si="283"/>
        <v>0.31939135490529008</v>
      </c>
      <c r="J196" s="62">
        <f t="shared" si="284"/>
        <v>0.17246687413417611</v>
      </c>
      <c r="K196" s="40">
        <f t="shared" ref="K196:Q196" si="288">K197+K236+K241+K321+K340+K343</f>
        <v>168454.65</v>
      </c>
      <c r="L196" s="40">
        <f t="shared" si="288"/>
        <v>1739357.3299999998</v>
      </c>
      <c r="M196" s="40">
        <f t="shared" si="288"/>
        <v>39693.29</v>
      </c>
      <c r="N196" s="40">
        <f t="shared" si="288"/>
        <v>3320428.75</v>
      </c>
      <c r="O196" s="40">
        <f t="shared" si="288"/>
        <v>90963.16</v>
      </c>
      <c r="P196" s="40">
        <f t="shared" si="288"/>
        <v>1253251.5899999999</v>
      </c>
      <c r="Q196" s="40">
        <f t="shared" si="288"/>
        <v>2016019.06</v>
      </c>
      <c r="R196" s="42">
        <f t="shared" si="257"/>
        <v>90963.16</v>
      </c>
      <c r="S196" s="42">
        <f t="shared" si="258"/>
        <v>1253251.5900000001</v>
      </c>
      <c r="T196" s="42">
        <f t="shared" si="259"/>
        <v>2016019.06</v>
      </c>
      <c r="U196" s="367">
        <f>U197+U236+U241+U321+U340+U343</f>
        <v>77491.490000000005</v>
      </c>
      <c r="V196" s="367">
        <f>V197+V236+V241+V321+V340+V343</f>
        <v>446412.45000000007</v>
      </c>
      <c r="W196" s="367">
        <f>W197+W236+W241+W321+W340+W343</f>
        <v>1304409.69</v>
      </c>
      <c r="X196" s="41">
        <f t="shared" si="285"/>
        <v>0.53998604372155956</v>
      </c>
      <c r="Y196" s="41">
        <f t="shared" si="286"/>
        <v>0.72052566104976257</v>
      </c>
      <c r="Z196" s="41">
        <f t="shared" si="287"/>
        <v>0.607156247517734</v>
      </c>
      <c r="AA196" s="40">
        <f t="shared" ref="AA196:BW196" si="289">AA197+AA236+AA241+AA321+AA340+AA343</f>
        <v>0</v>
      </c>
      <c r="AB196" s="40">
        <f t="shared" si="289"/>
        <v>52211.55</v>
      </c>
      <c r="AC196" s="40">
        <f t="shared" si="289"/>
        <v>0</v>
      </c>
      <c r="AD196" s="40">
        <f t="shared" si="289"/>
        <v>0</v>
      </c>
      <c r="AE196" s="40">
        <f t="shared" si="289"/>
        <v>210168.14</v>
      </c>
      <c r="AF196" s="40">
        <f t="shared" si="289"/>
        <v>405.27</v>
      </c>
      <c r="AG196" s="40">
        <f t="shared" si="289"/>
        <v>728.04</v>
      </c>
      <c r="AH196" s="40">
        <f t="shared" si="289"/>
        <v>179523.25000000003</v>
      </c>
      <c r="AI196" s="40">
        <f t="shared" si="289"/>
        <v>106717.36</v>
      </c>
      <c r="AJ196" s="40">
        <f t="shared" si="289"/>
        <v>67.680000000000007</v>
      </c>
      <c r="AK196" s="40">
        <f t="shared" si="289"/>
        <v>190877.87000000002</v>
      </c>
      <c r="AL196" s="40">
        <f t="shared" si="289"/>
        <v>203632.5</v>
      </c>
      <c r="AM196" s="40">
        <f t="shared" si="289"/>
        <v>4784.3599999999997</v>
      </c>
      <c r="AN196" s="40">
        <f t="shared" si="289"/>
        <v>108779.45999999999</v>
      </c>
      <c r="AO196" s="40">
        <f t="shared" si="289"/>
        <v>312364.15000000002</v>
      </c>
      <c r="AP196" s="40">
        <f t="shared" si="289"/>
        <v>26539.53</v>
      </c>
      <c r="AQ196" s="40">
        <f t="shared" si="289"/>
        <v>199268.69</v>
      </c>
      <c r="AR196" s="40">
        <f t="shared" si="289"/>
        <v>271111.19000000006</v>
      </c>
      <c r="AS196" s="40">
        <f t="shared" si="289"/>
        <v>5008.32</v>
      </c>
      <c r="AT196" s="40">
        <f t="shared" si="289"/>
        <v>53670.19</v>
      </c>
      <c r="AU196" s="40">
        <f t="shared" si="289"/>
        <v>295189.57</v>
      </c>
      <c r="AV196" s="40">
        <f t="shared" si="289"/>
        <v>26487.66</v>
      </c>
      <c r="AW196" s="40">
        <f t="shared" si="289"/>
        <v>156560.64000000001</v>
      </c>
      <c r="AX196" s="40">
        <f t="shared" si="289"/>
        <v>610107.39</v>
      </c>
      <c r="AY196" s="40">
        <f t="shared" si="289"/>
        <v>27347.57</v>
      </c>
      <c r="AZ196" s="40">
        <f t="shared" si="289"/>
        <v>102191.8</v>
      </c>
      <c r="BA196" s="40">
        <f t="shared" si="289"/>
        <v>216491.63</v>
      </c>
      <c r="BB196" s="40">
        <f t="shared" si="289"/>
        <v>0</v>
      </c>
      <c r="BC196" s="40">
        <f t="shared" si="289"/>
        <v>0</v>
      </c>
      <c r="BD196" s="40">
        <f t="shared" si="289"/>
        <v>0</v>
      </c>
      <c r="BE196" s="40">
        <f t="shared" si="289"/>
        <v>0</v>
      </c>
      <c r="BF196" s="40">
        <f t="shared" si="289"/>
        <v>0</v>
      </c>
      <c r="BG196" s="40">
        <f t="shared" si="289"/>
        <v>0</v>
      </c>
      <c r="BH196" s="40">
        <f t="shared" si="289"/>
        <v>0</v>
      </c>
      <c r="BI196" s="40">
        <f t="shared" si="289"/>
        <v>0</v>
      </c>
      <c r="BJ196" s="40">
        <f t="shared" si="289"/>
        <v>0</v>
      </c>
      <c r="BK196" s="40">
        <f t="shared" si="289"/>
        <v>0</v>
      </c>
      <c r="BL196" s="40">
        <f t="shared" si="289"/>
        <v>0</v>
      </c>
      <c r="BM196" s="40">
        <f t="shared" si="289"/>
        <v>0</v>
      </c>
      <c r="BN196" s="40">
        <f t="shared" si="289"/>
        <v>90963.16</v>
      </c>
      <c r="BO196" s="40">
        <f t="shared" si="289"/>
        <v>2016019.06</v>
      </c>
      <c r="BP196" s="40">
        <f>BP197+BP236+BP241+BP321+BP340+BP343</f>
        <v>2106982.2200000002</v>
      </c>
      <c r="BQ196" s="40">
        <f t="shared" si="289"/>
        <v>77491.490000000005</v>
      </c>
      <c r="BR196" s="40">
        <f t="shared" si="289"/>
        <v>1304409.69</v>
      </c>
      <c r="BS196" s="40">
        <f t="shared" si="289"/>
        <v>1381901.18</v>
      </c>
      <c r="BT196" s="40">
        <f t="shared" si="289"/>
        <v>446412.45000000007</v>
      </c>
      <c r="BU196" s="40">
        <f t="shared" si="289"/>
        <v>2106982.2200000002</v>
      </c>
      <c r="BV196" s="40">
        <f t="shared" si="289"/>
        <v>1381901.18</v>
      </c>
      <c r="BW196" s="40">
        <f t="shared" si="289"/>
        <v>2553394.67</v>
      </c>
      <c r="BX196" s="1"/>
      <c r="BY196" s="1"/>
      <c r="BZ196" s="1"/>
      <c r="CA196" s="1"/>
      <c r="CB196" s="1"/>
      <c r="CC196" s="1"/>
      <c r="CD196" s="1"/>
      <c r="CE196" s="1"/>
      <c r="CF196" s="1"/>
      <c r="CG196" s="1"/>
    </row>
    <row r="197" spans="1:85" ht="15.75" customHeight="1">
      <c r="A197" s="110"/>
      <c r="B197" s="434"/>
      <c r="C197" s="401"/>
      <c r="D197" s="111" t="s">
        <v>355</v>
      </c>
      <c r="E197" s="112">
        <f>SUM(E198:E235)</f>
        <v>218100</v>
      </c>
      <c r="F197" s="113">
        <f>SUM(F198:F235)</f>
        <v>0</v>
      </c>
      <c r="G197" s="113">
        <f>SUM(G198:G235)</f>
        <v>218100</v>
      </c>
      <c r="H197" s="113">
        <f>SUM(H198:H235)</f>
        <v>150000</v>
      </c>
      <c r="I197" s="114">
        <f t="shared" si="283"/>
        <v>0.51817812929848694</v>
      </c>
      <c r="J197" s="114">
        <f t="shared" si="284"/>
        <v>0.28027583677212292</v>
      </c>
      <c r="K197" s="113">
        <f t="shared" ref="K197:Q197" si="290">SUM(K198:K235)</f>
        <v>113014.65</v>
      </c>
      <c r="L197" s="113">
        <f t="shared" si="290"/>
        <v>104203.94000000002</v>
      </c>
      <c r="M197" s="113">
        <f t="shared" si="290"/>
        <v>0</v>
      </c>
      <c r="N197" s="113">
        <f t="shared" si="290"/>
        <v>3433.380000000001</v>
      </c>
      <c r="O197" s="113">
        <f t="shared" si="290"/>
        <v>61128.160000000003</v>
      </c>
      <c r="P197" s="113">
        <f t="shared" si="290"/>
        <v>15884.02</v>
      </c>
      <c r="Q197" s="113">
        <f t="shared" si="290"/>
        <v>3433.380000000001</v>
      </c>
      <c r="R197" s="150">
        <f t="shared" si="257"/>
        <v>61128.159999999996</v>
      </c>
      <c r="S197" s="150">
        <f t="shared" si="258"/>
        <v>15884.02</v>
      </c>
      <c r="T197" s="150">
        <f t="shared" si="259"/>
        <v>3433.380000000001</v>
      </c>
      <c r="U197" s="372">
        <f>SUM(U198:U235)</f>
        <v>51886.490000000005</v>
      </c>
      <c r="V197" s="372">
        <f>SUM(V198:V235)</f>
        <v>88319.920000000013</v>
      </c>
      <c r="W197" s="372">
        <f>SUM(W198:W235)</f>
        <v>0</v>
      </c>
      <c r="X197" s="115">
        <f t="shared" si="285"/>
        <v>0.54088704429027568</v>
      </c>
      <c r="Y197" s="115">
        <f t="shared" si="286"/>
        <v>0.15243204815480105</v>
      </c>
      <c r="Z197" s="115">
        <f t="shared" si="287"/>
        <v>1</v>
      </c>
      <c r="AA197" s="113">
        <f t="shared" ref="AA197:BW197" si="291">SUM(AA198:AA235)</f>
        <v>0</v>
      </c>
      <c r="AB197" s="113">
        <f t="shared" si="291"/>
        <v>3176.17</v>
      </c>
      <c r="AC197" s="113">
        <f t="shared" si="291"/>
        <v>0</v>
      </c>
      <c r="AD197" s="113">
        <f t="shared" si="291"/>
        <v>0</v>
      </c>
      <c r="AE197" s="113">
        <f t="shared" si="291"/>
        <v>3176.17</v>
      </c>
      <c r="AF197" s="113">
        <f t="shared" si="291"/>
        <v>0</v>
      </c>
      <c r="AG197" s="113">
        <f t="shared" si="291"/>
        <v>728.04</v>
      </c>
      <c r="AH197" s="113">
        <f t="shared" si="291"/>
        <v>3176.17</v>
      </c>
      <c r="AI197" s="113">
        <f t="shared" si="291"/>
        <v>0</v>
      </c>
      <c r="AJ197" s="113">
        <f t="shared" si="291"/>
        <v>67.680000000000007</v>
      </c>
      <c r="AK197" s="113">
        <f t="shared" si="291"/>
        <v>3176.17</v>
      </c>
      <c r="AL197" s="113">
        <f t="shared" si="291"/>
        <v>0</v>
      </c>
      <c r="AM197" s="113">
        <f t="shared" si="291"/>
        <v>584.36</v>
      </c>
      <c r="AN197" s="113">
        <f t="shared" si="291"/>
        <v>3070.3</v>
      </c>
      <c r="AO197" s="113">
        <f t="shared" si="291"/>
        <v>0</v>
      </c>
      <c r="AP197" s="113">
        <f t="shared" si="291"/>
        <v>16504.53</v>
      </c>
      <c r="AQ197" s="113">
        <f t="shared" si="291"/>
        <v>109.04</v>
      </c>
      <c r="AR197" s="113">
        <f t="shared" si="291"/>
        <v>3067.13</v>
      </c>
      <c r="AS197" s="113">
        <f t="shared" si="291"/>
        <v>5008.32</v>
      </c>
      <c r="AT197" s="113">
        <f t="shared" si="291"/>
        <v>0</v>
      </c>
      <c r="AU197" s="113">
        <f t="shared" si="291"/>
        <v>6543.58</v>
      </c>
      <c r="AV197" s="113">
        <f t="shared" si="291"/>
        <v>17487.66</v>
      </c>
      <c r="AW197" s="113">
        <f t="shared" si="291"/>
        <v>0</v>
      </c>
      <c r="AX197" s="113">
        <f t="shared" si="291"/>
        <v>3433.38</v>
      </c>
      <c r="AY197" s="113">
        <f t="shared" si="291"/>
        <v>20747.57</v>
      </c>
      <c r="AZ197" s="113">
        <f t="shared" si="291"/>
        <v>0</v>
      </c>
      <c r="BA197" s="113">
        <f t="shared" si="291"/>
        <v>-9610.7099999999991</v>
      </c>
      <c r="BB197" s="113">
        <f t="shared" si="291"/>
        <v>0</v>
      </c>
      <c r="BC197" s="113">
        <f t="shared" si="291"/>
        <v>0</v>
      </c>
      <c r="BD197" s="113">
        <f t="shared" si="291"/>
        <v>0</v>
      </c>
      <c r="BE197" s="113">
        <f t="shared" si="291"/>
        <v>0</v>
      </c>
      <c r="BF197" s="113">
        <f t="shared" si="291"/>
        <v>0</v>
      </c>
      <c r="BG197" s="113">
        <f t="shared" si="291"/>
        <v>0</v>
      </c>
      <c r="BH197" s="113">
        <f t="shared" si="291"/>
        <v>0</v>
      </c>
      <c r="BI197" s="113">
        <f t="shared" si="291"/>
        <v>0</v>
      </c>
      <c r="BJ197" s="113">
        <f t="shared" si="291"/>
        <v>0</v>
      </c>
      <c r="BK197" s="113">
        <f t="shared" si="291"/>
        <v>0</v>
      </c>
      <c r="BL197" s="113">
        <f t="shared" si="291"/>
        <v>0</v>
      </c>
      <c r="BM197" s="113">
        <f t="shared" si="291"/>
        <v>0</v>
      </c>
      <c r="BN197" s="113">
        <f t="shared" si="291"/>
        <v>61128.160000000003</v>
      </c>
      <c r="BO197" s="113">
        <f t="shared" si="291"/>
        <v>3433.380000000001</v>
      </c>
      <c r="BP197" s="113">
        <f>SUM(BP198:BP235)</f>
        <v>64561.54</v>
      </c>
      <c r="BQ197" s="113">
        <f t="shared" si="291"/>
        <v>51886.490000000005</v>
      </c>
      <c r="BR197" s="113">
        <f t="shared" si="291"/>
        <v>0</v>
      </c>
      <c r="BS197" s="113">
        <f t="shared" si="291"/>
        <v>51886.490000000005</v>
      </c>
      <c r="BT197" s="113">
        <f t="shared" si="291"/>
        <v>88319.920000000013</v>
      </c>
      <c r="BU197" s="113">
        <f t="shared" si="291"/>
        <v>64561.54</v>
      </c>
      <c r="BV197" s="113">
        <f t="shared" si="291"/>
        <v>51886.490000000005</v>
      </c>
      <c r="BW197" s="113">
        <f t="shared" si="291"/>
        <v>152881.46000000002</v>
      </c>
      <c r="BX197" s="1"/>
      <c r="BY197" s="1"/>
      <c r="BZ197" s="1"/>
      <c r="CA197" s="1"/>
      <c r="CB197" s="1"/>
      <c r="CC197" s="1"/>
      <c r="CD197" s="1"/>
      <c r="CE197" s="1"/>
      <c r="CF197" s="1"/>
      <c r="CG197" s="1"/>
    </row>
    <row r="198" spans="1:85" ht="15.75" customHeight="1">
      <c r="A198" s="43" t="s">
        <v>483</v>
      </c>
      <c r="B198" s="416"/>
      <c r="C198" s="394" t="s">
        <v>117</v>
      </c>
      <c r="D198" s="44" t="s">
        <v>118</v>
      </c>
      <c r="E198" s="45">
        <f>5000+2000</f>
        <v>7000</v>
      </c>
      <c r="F198" s="46"/>
      <c r="G198" s="46">
        <f t="shared" ref="G198:G207" si="292">E198-F198</f>
        <v>7000</v>
      </c>
      <c r="H198" s="46"/>
      <c r="I198" s="47">
        <f t="shared" si="283"/>
        <v>0.7142857142857143</v>
      </c>
      <c r="J198" s="47">
        <f t="shared" si="284"/>
        <v>0.47048571428571423</v>
      </c>
      <c r="K198" s="48">
        <f>3000+2000</f>
        <v>5000</v>
      </c>
      <c r="L198" s="54"/>
      <c r="M198" s="54"/>
      <c r="N198" s="54"/>
      <c r="O198" s="51">
        <f t="shared" ref="O198:O235" si="293">AA198+AD198+AG198+AJ198+AM198+AP198+AS198+AV198+AY198+BB198+BE198+BH198</f>
        <v>3293.3999999999996</v>
      </c>
      <c r="P198" s="51">
        <f t="shared" ref="P198:P235" si="294">AB198+AE198+AH198+AK198+AN198+AQ198+AT198+AW198+AZ198+BC198+BF198+BI198</f>
        <v>0</v>
      </c>
      <c r="Q198" s="51">
        <f t="shared" ref="Q198:Q235" si="295">AC198+AF198+AI198+AL198+AO198+AR198+AU198+AX198+BA198+BD198+BG198+BJ198</f>
        <v>0</v>
      </c>
      <c r="R198" s="52">
        <f t="shared" si="257"/>
        <v>3293.3999999999996</v>
      </c>
      <c r="S198" s="52">
        <f t="shared" si="258"/>
        <v>0</v>
      </c>
      <c r="T198" s="52">
        <f t="shared" si="259"/>
        <v>0</v>
      </c>
      <c r="U198" s="368">
        <f t="shared" ref="U198:U235" si="296">K198-O198</f>
        <v>1706.6000000000004</v>
      </c>
      <c r="V198" s="369">
        <f t="shared" ref="V198:V235" si="297">L198-P198-M198</f>
        <v>0</v>
      </c>
      <c r="W198" s="369">
        <f t="shared" ref="W198:W235" si="298">N198-Q198</f>
        <v>0</v>
      </c>
      <c r="X198" s="53">
        <f t="shared" si="285"/>
        <v>0.65867999999999993</v>
      </c>
      <c r="Y198" s="53">
        <f t="shared" si="286"/>
        <v>0</v>
      </c>
      <c r="Z198" s="53">
        <f t="shared" si="287"/>
        <v>0</v>
      </c>
      <c r="AA198" s="54"/>
      <c r="AB198" s="54"/>
      <c r="AC198" s="54"/>
      <c r="AD198" s="54"/>
      <c r="AE198" s="55"/>
      <c r="AF198" s="55"/>
      <c r="AG198" s="55">
        <f>67.68*3</f>
        <v>203.04000000000002</v>
      </c>
      <c r="AH198" s="55"/>
      <c r="AI198" s="54"/>
      <c r="AJ198" s="48">
        <v>67.680000000000007</v>
      </c>
      <c r="AK198" s="54"/>
      <c r="AL198" s="54"/>
      <c r="AM198" s="54">
        <f>67.68+67.68</f>
        <v>135.36000000000001</v>
      </c>
      <c r="AN198" s="54"/>
      <c r="AO198" s="54"/>
      <c r="AP198" s="54">
        <f>67.68+84.93+223.86+88.5</f>
        <v>464.97</v>
      </c>
      <c r="AQ198" s="54"/>
      <c r="AR198" s="54"/>
      <c r="AS198" s="54">
        <f>67.68+67.68</f>
        <v>135.36000000000001</v>
      </c>
      <c r="AT198" s="54"/>
      <c r="AU198" s="54"/>
      <c r="AV198" s="54">
        <f>689.79+689.79+129.63</f>
        <v>1509.21</v>
      </c>
      <c r="AW198" s="54"/>
      <c r="AX198" s="54"/>
      <c r="AY198" s="54">
        <f>129.63*6</f>
        <v>777.78</v>
      </c>
      <c r="AZ198" s="54"/>
      <c r="BA198" s="54"/>
      <c r="BB198" s="54"/>
      <c r="BC198" s="54"/>
      <c r="BD198" s="54"/>
      <c r="BE198" s="54"/>
      <c r="BF198" s="54"/>
      <c r="BG198" s="54"/>
      <c r="BH198" s="54"/>
      <c r="BI198" s="54"/>
      <c r="BJ198" s="54"/>
      <c r="BK198" s="54"/>
      <c r="BL198" s="54"/>
      <c r="BM198" s="54"/>
      <c r="BN198" s="54">
        <f t="shared" ref="BN198" si="299">IF(O198-BK198&gt;0,O198-BK198,0)</f>
        <v>3293.3999999999996</v>
      </c>
      <c r="BO198" s="58">
        <f t="shared" ref="BO198" si="300">IF(Q198-BM198&gt;0,Q198-BM198,0)</f>
        <v>0</v>
      </c>
      <c r="BP198" s="54">
        <f t="shared" ref="BP198" si="301">IF(BN198+BO198&gt;0,BN198+BO198,0)</f>
        <v>3293.3999999999996</v>
      </c>
      <c r="BQ198" s="54">
        <f t="shared" ref="BQ198" si="302">IF(U198=0,0,U198)</f>
        <v>1706.6000000000004</v>
      </c>
      <c r="BR198" s="54">
        <f t="shared" ref="BR198" si="303">IF(W198=0,0,W198)</f>
        <v>0</v>
      </c>
      <c r="BS198" s="54">
        <f t="shared" ref="BS198" si="304">IF(BQ198+BR198&gt;0,BQ198+BR198,0)</f>
        <v>1706.6000000000004</v>
      </c>
      <c r="BT198" s="54">
        <f t="shared" ref="BT198" si="305">IF(V198&gt;0,V198,0)</f>
        <v>0</v>
      </c>
      <c r="BU198" s="54">
        <f t="shared" ref="BU198" si="306">IF(BP198=0,0,BP198)</f>
        <v>3293.3999999999996</v>
      </c>
      <c r="BV198" s="54">
        <f t="shared" ref="BV198" si="307">IF(BS198=0,0,BS198)</f>
        <v>1706.6000000000004</v>
      </c>
      <c r="BW198" s="54">
        <f t="shared" ref="BW198" si="308">IF(BP198+BT198&gt;0,BP198+BT198,0)</f>
        <v>3293.3999999999996</v>
      </c>
      <c r="BX198" s="1"/>
      <c r="BY198" s="1"/>
      <c r="BZ198" s="1"/>
      <c r="CA198" s="1"/>
      <c r="CB198" s="1"/>
      <c r="CC198" s="1"/>
      <c r="CD198" s="1"/>
      <c r="CE198" s="1"/>
      <c r="CF198" s="1"/>
      <c r="CG198" s="1"/>
    </row>
    <row r="199" spans="1:85" ht="15.75" customHeight="1">
      <c r="A199" s="43" t="s">
        <v>484</v>
      </c>
      <c r="B199" s="416"/>
      <c r="C199" s="394" t="s">
        <v>127</v>
      </c>
      <c r="D199" s="73" t="s">
        <v>485</v>
      </c>
      <c r="E199" s="45">
        <v>0</v>
      </c>
      <c r="F199" s="46"/>
      <c r="G199" s="46">
        <f t="shared" si="292"/>
        <v>0</v>
      </c>
      <c r="H199" s="46"/>
      <c r="I199" s="47">
        <f t="shared" si="283"/>
        <v>0</v>
      </c>
      <c r="J199" s="47">
        <f t="shared" si="284"/>
        <v>0</v>
      </c>
      <c r="K199" s="48">
        <v>1000</v>
      </c>
      <c r="L199" s="54"/>
      <c r="M199" s="54"/>
      <c r="N199" s="54"/>
      <c r="O199" s="51">
        <f t="shared" si="293"/>
        <v>943.56</v>
      </c>
      <c r="P199" s="51">
        <f t="shared" si="294"/>
        <v>0</v>
      </c>
      <c r="Q199" s="51">
        <f t="shared" si="295"/>
        <v>0</v>
      </c>
      <c r="R199" s="52">
        <f t="shared" si="257"/>
        <v>943.56</v>
      </c>
      <c r="S199" s="52">
        <f t="shared" si="258"/>
        <v>0</v>
      </c>
      <c r="T199" s="52">
        <f t="shared" si="259"/>
        <v>0</v>
      </c>
      <c r="U199" s="368">
        <f t="shared" si="296"/>
        <v>56.440000000000055</v>
      </c>
      <c r="V199" s="369">
        <f t="shared" si="297"/>
        <v>0</v>
      </c>
      <c r="W199" s="369">
        <f t="shared" si="298"/>
        <v>0</v>
      </c>
      <c r="X199" s="53">
        <f t="shared" si="285"/>
        <v>0.94355999999999995</v>
      </c>
      <c r="Y199" s="53">
        <f t="shared" si="286"/>
        <v>0</v>
      </c>
      <c r="Z199" s="53">
        <f t="shared" si="287"/>
        <v>0</v>
      </c>
      <c r="AA199" s="54"/>
      <c r="AB199" s="54"/>
      <c r="AC199" s="54"/>
      <c r="AD199" s="54"/>
      <c r="AE199" s="55"/>
      <c r="AF199" s="55"/>
      <c r="AG199" s="55">
        <f>455+70</f>
        <v>525</v>
      </c>
      <c r="AH199" s="55"/>
      <c r="AI199" s="54"/>
      <c r="AJ199" s="54"/>
      <c r="AK199" s="54"/>
      <c r="AL199" s="54"/>
      <c r="AM199" s="54"/>
      <c r="AN199" s="54"/>
      <c r="AO199" s="54"/>
      <c r="AP199" s="54"/>
      <c r="AQ199" s="54"/>
      <c r="AR199" s="54"/>
      <c r="AS199" s="48">
        <v>134.56</v>
      </c>
      <c r="AT199" s="54"/>
      <c r="AU199" s="54"/>
      <c r="AV199" s="54">
        <f>39</f>
        <v>39</v>
      </c>
      <c r="AW199" s="54"/>
      <c r="AX199" s="54"/>
      <c r="AY199" s="54">
        <f>245</f>
        <v>245</v>
      </c>
      <c r="AZ199" s="54"/>
      <c r="BA199" s="54"/>
      <c r="BB199" s="54"/>
      <c r="BC199" s="54"/>
      <c r="BD199" s="54"/>
      <c r="BE199" s="54"/>
      <c r="BF199" s="54"/>
      <c r="BG199" s="54"/>
      <c r="BH199" s="54"/>
      <c r="BI199" s="54"/>
      <c r="BJ199" s="54"/>
      <c r="BK199" s="54"/>
      <c r="BL199" s="54"/>
      <c r="BM199" s="54"/>
      <c r="BN199" s="54">
        <f t="shared" ref="BN199:BN235" si="309">IF(O199-BK199&gt;0,O199-BK199,0)</f>
        <v>943.56</v>
      </c>
      <c r="BO199" s="58">
        <f t="shared" ref="BO199:BO235" si="310">IF(Q199-BM199&gt;0,Q199-BM199,0)</f>
        <v>0</v>
      </c>
      <c r="BP199" s="54">
        <f t="shared" ref="BP199:BP235" si="311">IF(BN199+BO199&gt;0,BN199+BO199,0)</f>
        <v>943.56</v>
      </c>
      <c r="BQ199" s="54">
        <f t="shared" ref="BQ199:BQ235" si="312">IF(U199=0,0,U199)</f>
        <v>56.440000000000055</v>
      </c>
      <c r="BR199" s="54">
        <f t="shared" ref="BR199:BR235" si="313">IF(W199=0,0,W199)</f>
        <v>0</v>
      </c>
      <c r="BS199" s="54">
        <f t="shared" ref="BS199:BS235" si="314">IF(BQ199+BR199&gt;0,BQ199+BR199,0)</f>
        <v>56.440000000000055</v>
      </c>
      <c r="BT199" s="54">
        <f t="shared" ref="BT199:BT235" si="315">IF(V199&gt;0,V199,0)</f>
        <v>0</v>
      </c>
      <c r="BU199" s="54">
        <f t="shared" ref="BU199:BU235" si="316">IF(BP199=0,0,BP199)</f>
        <v>943.56</v>
      </c>
      <c r="BV199" s="54">
        <f t="shared" ref="BV199:BV235" si="317">IF(BS199=0,0,BS199)</f>
        <v>56.440000000000055</v>
      </c>
      <c r="BW199" s="54">
        <f t="shared" ref="BW199:BW235" si="318">IF(BP199+BT199&gt;0,BP199+BT199,0)</f>
        <v>943.56</v>
      </c>
      <c r="BX199" s="1"/>
      <c r="BY199" s="1"/>
      <c r="BZ199" s="1"/>
      <c r="CA199" s="1"/>
      <c r="CB199" s="1"/>
      <c r="CC199" s="1"/>
      <c r="CD199" s="1"/>
      <c r="CE199" s="1"/>
      <c r="CF199" s="1"/>
      <c r="CG199" s="1"/>
    </row>
    <row r="200" spans="1:85" ht="15.75" customHeight="1">
      <c r="A200" s="56"/>
      <c r="B200" s="416"/>
      <c r="C200" s="394" t="s">
        <v>129</v>
      </c>
      <c r="D200" s="44" t="s">
        <v>130</v>
      </c>
      <c r="E200" s="45">
        <v>2500</v>
      </c>
      <c r="F200" s="46"/>
      <c r="G200" s="46">
        <f t="shared" si="292"/>
        <v>2500</v>
      </c>
      <c r="H200" s="46"/>
      <c r="I200" s="47">
        <f t="shared" si="283"/>
        <v>0</v>
      </c>
      <c r="J200" s="47">
        <f t="shared" si="284"/>
        <v>0</v>
      </c>
      <c r="K200" s="54"/>
      <c r="L200" s="54"/>
      <c r="M200" s="54"/>
      <c r="N200" s="54"/>
      <c r="O200" s="51">
        <f t="shared" si="293"/>
        <v>0</v>
      </c>
      <c r="P200" s="51">
        <f t="shared" si="294"/>
        <v>0</v>
      </c>
      <c r="Q200" s="51">
        <f t="shared" si="295"/>
        <v>0</v>
      </c>
      <c r="R200" s="52">
        <f t="shared" si="257"/>
        <v>0</v>
      </c>
      <c r="S200" s="52">
        <f t="shared" si="258"/>
        <v>0</v>
      </c>
      <c r="T200" s="52">
        <f t="shared" si="259"/>
        <v>0</v>
      </c>
      <c r="U200" s="369">
        <f t="shared" si="296"/>
        <v>0</v>
      </c>
      <c r="V200" s="369">
        <f t="shared" si="297"/>
        <v>0</v>
      </c>
      <c r="W200" s="369">
        <f t="shared" si="298"/>
        <v>0</v>
      </c>
      <c r="X200" s="53">
        <f t="shared" si="285"/>
        <v>0</v>
      </c>
      <c r="Y200" s="53">
        <f t="shared" si="286"/>
        <v>0</v>
      </c>
      <c r="Z200" s="53">
        <f t="shared" si="287"/>
        <v>0</v>
      </c>
      <c r="AA200" s="54"/>
      <c r="AB200" s="54"/>
      <c r="AC200" s="54"/>
      <c r="AD200" s="54"/>
      <c r="AE200" s="55"/>
      <c r="AF200" s="55"/>
      <c r="AG200" s="55"/>
      <c r="AH200" s="55"/>
      <c r="AI200" s="54"/>
      <c r="AJ200" s="54"/>
      <c r="AK200" s="54"/>
      <c r="AL200" s="54"/>
      <c r="AM200" s="54"/>
      <c r="AN200" s="54"/>
      <c r="AO200" s="54"/>
      <c r="AP200" s="54"/>
      <c r="AQ200" s="54"/>
      <c r="AR200" s="54"/>
      <c r="AS200" s="54"/>
      <c r="AT200" s="54"/>
      <c r="AU200" s="54"/>
      <c r="AV200" s="54"/>
      <c r="AW200" s="54"/>
      <c r="AX200" s="54"/>
      <c r="AY200" s="54"/>
      <c r="AZ200" s="54"/>
      <c r="BA200" s="54"/>
      <c r="BB200" s="54"/>
      <c r="BC200" s="54"/>
      <c r="BD200" s="54"/>
      <c r="BE200" s="54"/>
      <c r="BF200" s="54"/>
      <c r="BG200" s="54"/>
      <c r="BH200" s="54"/>
      <c r="BI200" s="54"/>
      <c r="BJ200" s="54"/>
      <c r="BK200" s="54"/>
      <c r="BL200" s="54"/>
      <c r="BM200" s="54"/>
      <c r="BN200" s="54">
        <f t="shared" si="309"/>
        <v>0</v>
      </c>
      <c r="BO200" s="58">
        <f t="shared" si="310"/>
        <v>0</v>
      </c>
      <c r="BP200" s="54">
        <f t="shared" si="311"/>
        <v>0</v>
      </c>
      <c r="BQ200" s="54">
        <f t="shared" si="312"/>
        <v>0</v>
      </c>
      <c r="BR200" s="54">
        <f t="shared" si="313"/>
        <v>0</v>
      </c>
      <c r="BS200" s="54">
        <f t="shared" si="314"/>
        <v>0</v>
      </c>
      <c r="BT200" s="54">
        <f t="shared" si="315"/>
        <v>0</v>
      </c>
      <c r="BU200" s="54">
        <f t="shared" si="316"/>
        <v>0</v>
      </c>
      <c r="BV200" s="54">
        <f t="shared" si="317"/>
        <v>0</v>
      </c>
      <c r="BW200" s="54">
        <f t="shared" si="318"/>
        <v>0</v>
      </c>
      <c r="BX200" s="1"/>
      <c r="BY200" s="1"/>
      <c r="BZ200" s="1"/>
      <c r="CA200" s="1"/>
      <c r="CB200" s="1"/>
      <c r="CC200" s="1"/>
      <c r="CD200" s="1"/>
      <c r="CE200" s="1"/>
      <c r="CF200" s="1"/>
      <c r="CG200" s="1"/>
    </row>
    <row r="201" spans="1:85" ht="15.75" customHeight="1">
      <c r="A201" s="56"/>
      <c r="B201" s="416"/>
      <c r="C201" s="394" t="s">
        <v>486</v>
      </c>
      <c r="D201" s="78" t="s">
        <v>487</v>
      </c>
      <c r="E201" s="45">
        <f>5000</f>
        <v>5000</v>
      </c>
      <c r="F201" s="46"/>
      <c r="G201" s="46">
        <f t="shared" si="292"/>
        <v>5000</v>
      </c>
      <c r="H201" s="46"/>
      <c r="I201" s="47">
        <f t="shared" si="283"/>
        <v>0</v>
      </c>
      <c r="J201" s="47">
        <f t="shared" si="284"/>
        <v>0</v>
      </c>
      <c r="K201" s="54"/>
      <c r="L201" s="54"/>
      <c r="M201" s="54"/>
      <c r="N201" s="54"/>
      <c r="O201" s="51">
        <f t="shared" si="293"/>
        <v>0</v>
      </c>
      <c r="P201" s="51">
        <f t="shared" si="294"/>
        <v>0</v>
      </c>
      <c r="Q201" s="51">
        <f t="shared" si="295"/>
        <v>0</v>
      </c>
      <c r="R201" s="52">
        <f t="shared" si="257"/>
        <v>0</v>
      </c>
      <c r="S201" s="52">
        <f t="shared" si="258"/>
        <v>0</v>
      </c>
      <c r="T201" s="52">
        <f t="shared" si="259"/>
        <v>0</v>
      </c>
      <c r="U201" s="369">
        <f t="shared" si="296"/>
        <v>0</v>
      </c>
      <c r="V201" s="369">
        <f t="shared" si="297"/>
        <v>0</v>
      </c>
      <c r="W201" s="369">
        <f t="shared" si="298"/>
        <v>0</v>
      </c>
      <c r="X201" s="53">
        <f t="shared" si="285"/>
        <v>0</v>
      </c>
      <c r="Y201" s="53">
        <f t="shared" si="286"/>
        <v>0</v>
      </c>
      <c r="Z201" s="53">
        <f t="shared" si="287"/>
        <v>0</v>
      </c>
      <c r="AA201" s="54"/>
      <c r="AB201" s="54"/>
      <c r="AC201" s="54"/>
      <c r="AD201" s="54"/>
      <c r="AE201" s="55"/>
      <c r="AF201" s="55"/>
      <c r="AG201" s="55"/>
      <c r="AH201" s="55"/>
      <c r="AI201" s="54"/>
      <c r="AJ201" s="54"/>
      <c r="AK201" s="54"/>
      <c r="AL201" s="54"/>
      <c r="AM201" s="54"/>
      <c r="AN201" s="54"/>
      <c r="AO201" s="54"/>
      <c r="AP201" s="54"/>
      <c r="AQ201" s="54"/>
      <c r="AR201" s="54"/>
      <c r="AS201" s="54"/>
      <c r="AT201" s="54"/>
      <c r="AU201" s="54"/>
      <c r="AV201" s="54"/>
      <c r="AW201" s="54"/>
      <c r="AX201" s="54"/>
      <c r="AY201" s="54"/>
      <c r="AZ201" s="54"/>
      <c r="BA201" s="54"/>
      <c r="BB201" s="54"/>
      <c r="BC201" s="54"/>
      <c r="BD201" s="54"/>
      <c r="BE201" s="54"/>
      <c r="BF201" s="54"/>
      <c r="BG201" s="54"/>
      <c r="BH201" s="54"/>
      <c r="BI201" s="54"/>
      <c r="BJ201" s="54"/>
      <c r="BK201" s="54"/>
      <c r="BL201" s="54"/>
      <c r="BM201" s="54"/>
      <c r="BN201" s="54">
        <f t="shared" si="309"/>
        <v>0</v>
      </c>
      <c r="BO201" s="58">
        <f t="shared" si="310"/>
        <v>0</v>
      </c>
      <c r="BP201" s="54">
        <f t="shared" si="311"/>
        <v>0</v>
      </c>
      <c r="BQ201" s="54">
        <f t="shared" si="312"/>
        <v>0</v>
      </c>
      <c r="BR201" s="54">
        <f t="shared" si="313"/>
        <v>0</v>
      </c>
      <c r="BS201" s="54">
        <f t="shared" si="314"/>
        <v>0</v>
      </c>
      <c r="BT201" s="54">
        <f t="shared" si="315"/>
        <v>0</v>
      </c>
      <c r="BU201" s="54">
        <f t="shared" si="316"/>
        <v>0</v>
      </c>
      <c r="BV201" s="54">
        <f t="shared" si="317"/>
        <v>0</v>
      </c>
      <c r="BW201" s="54">
        <f t="shared" si="318"/>
        <v>0</v>
      </c>
      <c r="BX201" s="1"/>
      <c r="BY201" s="1"/>
      <c r="BZ201" s="1"/>
      <c r="CA201" s="1"/>
      <c r="CB201" s="1"/>
      <c r="CC201" s="1"/>
      <c r="CD201" s="1"/>
      <c r="CE201" s="1"/>
      <c r="CF201" s="1"/>
      <c r="CG201" s="1"/>
    </row>
    <row r="202" spans="1:85" ht="15.75" customHeight="1">
      <c r="A202" s="43" t="s">
        <v>488</v>
      </c>
      <c r="B202" s="416"/>
      <c r="C202" s="394" t="s">
        <v>489</v>
      </c>
      <c r="D202" s="82" t="s">
        <v>490</v>
      </c>
      <c r="E202" s="45">
        <v>10000</v>
      </c>
      <c r="F202" s="46"/>
      <c r="G202" s="46">
        <f t="shared" si="292"/>
        <v>10000</v>
      </c>
      <c r="H202" s="46"/>
      <c r="I202" s="47">
        <f t="shared" si="283"/>
        <v>2.46E-2</v>
      </c>
      <c r="J202" s="47">
        <f t="shared" si="284"/>
        <v>2.46E-2</v>
      </c>
      <c r="K202" s="48">
        <v>246</v>
      </c>
      <c r="L202" s="54"/>
      <c r="M202" s="54"/>
      <c r="N202" s="54"/>
      <c r="O202" s="51">
        <f t="shared" si="293"/>
        <v>246</v>
      </c>
      <c r="P202" s="51">
        <f t="shared" si="294"/>
        <v>0</v>
      </c>
      <c r="Q202" s="51">
        <f t="shared" si="295"/>
        <v>0</v>
      </c>
      <c r="R202" s="52">
        <f t="shared" ref="R202:R233" si="319">IF(BK202=0,SUM(AA202+AD202+AG202+AJ202+AM202+AP202+AS202+AV202+AY202+BB202+BE202+BH202),BK202)</f>
        <v>246</v>
      </c>
      <c r="S202" s="52">
        <f t="shared" ref="S202:S233" si="320">IF(BL202=0,SUM(AB202+AE202+AH202+AK202+AN202+AQ202+AT202+AW202+AZ202+BC202+BF202+BI202),BL202)</f>
        <v>0</v>
      </c>
      <c r="T202" s="52">
        <f t="shared" ref="T202:T233" si="321">IF(BM202=0,SUM(AC202+AF202+AI202+AL202+AO202+AR202+AU202+AX202+BA202+BD202+BG202+BJ202),BM202)</f>
        <v>0</v>
      </c>
      <c r="U202" s="369">
        <f t="shared" si="296"/>
        <v>0</v>
      </c>
      <c r="V202" s="369">
        <f t="shared" si="297"/>
        <v>0</v>
      </c>
      <c r="W202" s="369">
        <f t="shared" si="298"/>
        <v>0</v>
      </c>
      <c r="X202" s="53">
        <f t="shared" si="285"/>
        <v>1</v>
      </c>
      <c r="Y202" s="53">
        <f t="shared" si="286"/>
        <v>0</v>
      </c>
      <c r="Z202" s="53">
        <f t="shared" si="287"/>
        <v>0</v>
      </c>
      <c r="AA202" s="54"/>
      <c r="AB202" s="54"/>
      <c r="AC202" s="54"/>
      <c r="AD202" s="54"/>
      <c r="AE202" s="55"/>
      <c r="AF202" s="55"/>
      <c r="AG202" s="55"/>
      <c r="AH202" s="55"/>
      <c r="AI202" s="54"/>
      <c r="AJ202" s="54"/>
      <c r="AK202" s="54"/>
      <c r="AL202" s="54"/>
      <c r="AM202" s="54"/>
      <c r="AN202" s="54"/>
      <c r="AO202" s="54"/>
      <c r="AP202" s="54"/>
      <c r="AQ202" s="54"/>
      <c r="AR202" s="54"/>
      <c r="AS202" s="48">
        <v>246</v>
      </c>
      <c r="AT202" s="54"/>
      <c r="AU202" s="54"/>
      <c r="AV202" s="54"/>
      <c r="AW202" s="54"/>
      <c r="AX202" s="54"/>
      <c r="AY202" s="54"/>
      <c r="AZ202" s="54"/>
      <c r="BA202" s="54"/>
      <c r="BB202" s="54"/>
      <c r="BC202" s="54"/>
      <c r="BD202" s="54"/>
      <c r="BE202" s="54"/>
      <c r="BF202" s="54"/>
      <c r="BG202" s="54"/>
      <c r="BH202" s="54"/>
      <c r="BI202" s="54"/>
      <c r="BJ202" s="54"/>
      <c r="BK202" s="54"/>
      <c r="BL202" s="54"/>
      <c r="BM202" s="54"/>
      <c r="BN202" s="54">
        <f t="shared" si="309"/>
        <v>246</v>
      </c>
      <c r="BO202" s="58">
        <f t="shared" si="310"/>
        <v>0</v>
      </c>
      <c r="BP202" s="54">
        <f t="shared" si="311"/>
        <v>246</v>
      </c>
      <c r="BQ202" s="54">
        <f t="shared" si="312"/>
        <v>0</v>
      </c>
      <c r="BR202" s="54">
        <f t="shared" si="313"/>
        <v>0</v>
      </c>
      <c r="BS202" s="54">
        <f t="shared" si="314"/>
        <v>0</v>
      </c>
      <c r="BT202" s="54">
        <f t="shared" si="315"/>
        <v>0</v>
      </c>
      <c r="BU202" s="54">
        <f t="shared" si="316"/>
        <v>246</v>
      </c>
      <c r="BV202" s="54">
        <f t="shared" si="317"/>
        <v>0</v>
      </c>
      <c r="BW202" s="54">
        <f t="shared" si="318"/>
        <v>246</v>
      </c>
      <c r="BX202" s="1"/>
      <c r="BY202" s="1"/>
      <c r="BZ202" s="1"/>
      <c r="CA202" s="1"/>
      <c r="CB202" s="1"/>
      <c r="CC202" s="1"/>
      <c r="CD202" s="1"/>
      <c r="CE202" s="1"/>
      <c r="CF202" s="1"/>
      <c r="CG202" s="1"/>
    </row>
    <row r="203" spans="1:85" ht="15.75" customHeight="1">
      <c r="A203" s="43" t="s">
        <v>491</v>
      </c>
      <c r="B203" s="416"/>
      <c r="C203" s="394" t="s">
        <v>489</v>
      </c>
      <c r="D203" s="157" t="s">
        <v>492</v>
      </c>
      <c r="E203" s="45"/>
      <c r="F203" s="46"/>
      <c r="G203" s="46">
        <f t="shared" si="292"/>
        <v>0</v>
      </c>
      <c r="H203" s="46"/>
      <c r="I203" s="47">
        <f t="shared" si="283"/>
        <v>0</v>
      </c>
      <c r="J203" s="47">
        <f t="shared" si="284"/>
        <v>0</v>
      </c>
      <c r="K203" s="48">
        <v>2169.1999999999998</v>
      </c>
      <c r="L203" s="54"/>
      <c r="M203" s="54"/>
      <c r="N203" s="54"/>
      <c r="O203" s="51">
        <f t="shared" si="293"/>
        <v>2169.1999999999998</v>
      </c>
      <c r="P203" s="51">
        <f t="shared" si="294"/>
        <v>0</v>
      </c>
      <c r="Q203" s="51">
        <f t="shared" si="295"/>
        <v>0</v>
      </c>
      <c r="R203" s="52">
        <f t="shared" si="319"/>
        <v>2169.1999999999998</v>
      </c>
      <c r="S203" s="52">
        <f t="shared" si="320"/>
        <v>0</v>
      </c>
      <c r="T203" s="52">
        <f t="shared" si="321"/>
        <v>0</v>
      </c>
      <c r="U203" s="368">
        <f t="shared" si="296"/>
        <v>0</v>
      </c>
      <c r="V203" s="369">
        <f t="shared" si="297"/>
        <v>0</v>
      </c>
      <c r="W203" s="369">
        <f t="shared" si="298"/>
        <v>0</v>
      </c>
      <c r="X203" s="53">
        <f t="shared" si="285"/>
        <v>1</v>
      </c>
      <c r="Y203" s="53">
        <f t="shared" si="286"/>
        <v>0</v>
      </c>
      <c r="Z203" s="53">
        <f t="shared" si="287"/>
        <v>0</v>
      </c>
      <c r="AA203" s="54"/>
      <c r="AB203" s="54"/>
      <c r="AC203" s="54"/>
      <c r="AD203" s="54"/>
      <c r="AE203" s="55"/>
      <c r="AF203" s="55"/>
      <c r="AG203" s="55"/>
      <c r="AH203" s="55"/>
      <c r="AI203" s="54"/>
      <c r="AJ203" s="54"/>
      <c r="AK203" s="54"/>
      <c r="AL203" s="54"/>
      <c r="AM203" s="54"/>
      <c r="AN203" s="54"/>
      <c r="AO203" s="54"/>
      <c r="AP203" s="54"/>
      <c r="AQ203" s="54"/>
      <c r="AR203" s="54"/>
      <c r="AS203" s="54"/>
      <c r="AT203" s="54"/>
      <c r="AU203" s="54"/>
      <c r="AV203" s="48">
        <v>2169.1999999999998</v>
      </c>
      <c r="AW203" s="54"/>
      <c r="AX203" s="54"/>
      <c r="AY203" s="54"/>
      <c r="AZ203" s="54"/>
      <c r="BA203" s="54"/>
      <c r="BB203" s="54"/>
      <c r="BC203" s="54"/>
      <c r="BD203" s="54"/>
      <c r="BE203" s="54"/>
      <c r="BF203" s="54"/>
      <c r="BG203" s="54"/>
      <c r="BH203" s="54"/>
      <c r="BI203" s="54"/>
      <c r="BJ203" s="54"/>
      <c r="BK203" s="54"/>
      <c r="BL203" s="54"/>
      <c r="BM203" s="54"/>
      <c r="BN203" s="54">
        <f t="shared" si="309"/>
        <v>2169.1999999999998</v>
      </c>
      <c r="BO203" s="58">
        <f t="shared" si="310"/>
        <v>0</v>
      </c>
      <c r="BP203" s="54">
        <f t="shared" si="311"/>
        <v>2169.1999999999998</v>
      </c>
      <c r="BQ203" s="54">
        <f t="shared" si="312"/>
        <v>0</v>
      </c>
      <c r="BR203" s="54">
        <f t="shared" si="313"/>
        <v>0</v>
      </c>
      <c r="BS203" s="54">
        <f t="shared" si="314"/>
        <v>0</v>
      </c>
      <c r="BT203" s="54">
        <f t="shared" si="315"/>
        <v>0</v>
      </c>
      <c r="BU203" s="54">
        <f t="shared" si="316"/>
        <v>2169.1999999999998</v>
      </c>
      <c r="BV203" s="54">
        <f t="shared" si="317"/>
        <v>0</v>
      </c>
      <c r="BW203" s="54">
        <f t="shared" si="318"/>
        <v>2169.1999999999998</v>
      </c>
      <c r="BX203" s="1"/>
      <c r="BY203" s="1"/>
      <c r="BZ203" s="1"/>
      <c r="CA203" s="1"/>
      <c r="CB203" s="1"/>
      <c r="CC203" s="1"/>
      <c r="CD203" s="1"/>
      <c r="CE203" s="1"/>
      <c r="CF203" s="1"/>
      <c r="CG203" s="1"/>
    </row>
    <row r="204" spans="1:85" ht="15.75" customHeight="1">
      <c r="A204" s="43" t="s">
        <v>493</v>
      </c>
      <c r="B204" s="416"/>
      <c r="C204" s="394" t="s">
        <v>489</v>
      </c>
      <c r="D204" s="158" t="s">
        <v>494</v>
      </c>
      <c r="E204" s="45"/>
      <c r="F204" s="46"/>
      <c r="G204" s="46">
        <f t="shared" si="292"/>
        <v>0</v>
      </c>
      <c r="H204" s="46"/>
      <c r="I204" s="47">
        <f t="shared" si="283"/>
        <v>0</v>
      </c>
      <c r="J204" s="47">
        <f t="shared" si="284"/>
        <v>0</v>
      </c>
      <c r="K204" s="48">
        <v>135</v>
      </c>
      <c r="L204" s="54"/>
      <c r="M204" s="54"/>
      <c r="N204" s="54"/>
      <c r="O204" s="51">
        <f t="shared" si="293"/>
        <v>135</v>
      </c>
      <c r="P204" s="51">
        <f t="shared" si="294"/>
        <v>0</v>
      </c>
      <c r="Q204" s="51">
        <f t="shared" si="295"/>
        <v>0</v>
      </c>
      <c r="R204" s="52">
        <f t="shared" si="319"/>
        <v>135</v>
      </c>
      <c r="S204" s="52">
        <f t="shared" si="320"/>
        <v>0</v>
      </c>
      <c r="T204" s="52">
        <f t="shared" si="321"/>
        <v>0</v>
      </c>
      <c r="U204" s="369">
        <f t="shared" si="296"/>
        <v>0</v>
      </c>
      <c r="V204" s="369">
        <f t="shared" si="297"/>
        <v>0</v>
      </c>
      <c r="W204" s="369">
        <f t="shared" si="298"/>
        <v>0</v>
      </c>
      <c r="X204" s="53">
        <f t="shared" si="285"/>
        <v>1</v>
      </c>
      <c r="Y204" s="53">
        <f t="shared" si="286"/>
        <v>0</v>
      </c>
      <c r="Z204" s="53">
        <f t="shared" si="287"/>
        <v>0</v>
      </c>
      <c r="AA204" s="54"/>
      <c r="AB204" s="54"/>
      <c r="AC204" s="54"/>
      <c r="AD204" s="54"/>
      <c r="AE204" s="55"/>
      <c r="AF204" s="55"/>
      <c r="AG204" s="55"/>
      <c r="AH204" s="55"/>
      <c r="AI204" s="54"/>
      <c r="AJ204" s="54"/>
      <c r="AK204" s="54"/>
      <c r="AL204" s="54"/>
      <c r="AM204" s="54"/>
      <c r="AN204" s="54"/>
      <c r="AO204" s="54"/>
      <c r="AP204" s="54"/>
      <c r="AQ204" s="54"/>
      <c r="AR204" s="54"/>
      <c r="AS204" s="48">
        <v>135</v>
      </c>
      <c r="AT204" s="54"/>
      <c r="AU204" s="54"/>
      <c r="AV204" s="54"/>
      <c r="AW204" s="54"/>
      <c r="AX204" s="54"/>
      <c r="AY204" s="54"/>
      <c r="AZ204" s="54"/>
      <c r="BA204" s="54"/>
      <c r="BB204" s="54"/>
      <c r="BC204" s="54"/>
      <c r="BD204" s="54"/>
      <c r="BE204" s="54"/>
      <c r="BF204" s="54"/>
      <c r="BG204" s="54"/>
      <c r="BH204" s="54"/>
      <c r="BI204" s="54"/>
      <c r="BJ204" s="54"/>
      <c r="BK204" s="54"/>
      <c r="BL204" s="54"/>
      <c r="BM204" s="54"/>
      <c r="BN204" s="54">
        <f t="shared" si="309"/>
        <v>135</v>
      </c>
      <c r="BO204" s="58">
        <f t="shared" si="310"/>
        <v>0</v>
      </c>
      <c r="BP204" s="54">
        <f t="shared" si="311"/>
        <v>135</v>
      </c>
      <c r="BQ204" s="54">
        <f t="shared" si="312"/>
        <v>0</v>
      </c>
      <c r="BR204" s="54">
        <f t="shared" si="313"/>
        <v>0</v>
      </c>
      <c r="BS204" s="54">
        <f t="shared" si="314"/>
        <v>0</v>
      </c>
      <c r="BT204" s="54">
        <f t="shared" si="315"/>
        <v>0</v>
      </c>
      <c r="BU204" s="54">
        <f t="shared" si="316"/>
        <v>135</v>
      </c>
      <c r="BV204" s="54">
        <f t="shared" si="317"/>
        <v>0</v>
      </c>
      <c r="BW204" s="54">
        <f t="shared" si="318"/>
        <v>135</v>
      </c>
      <c r="BX204" s="1"/>
      <c r="BY204" s="1"/>
      <c r="BZ204" s="1"/>
      <c r="CA204" s="1"/>
      <c r="CB204" s="1"/>
      <c r="CC204" s="1"/>
      <c r="CD204" s="1"/>
      <c r="CE204" s="1"/>
      <c r="CF204" s="1"/>
      <c r="CG204" s="1"/>
    </row>
    <row r="205" spans="1:85" ht="15.75" customHeight="1">
      <c r="A205" s="43" t="s">
        <v>495</v>
      </c>
      <c r="B205" s="416"/>
      <c r="C205" s="394" t="s">
        <v>489</v>
      </c>
      <c r="D205" s="158" t="s">
        <v>494</v>
      </c>
      <c r="E205" s="45"/>
      <c r="F205" s="46"/>
      <c r="G205" s="46">
        <f t="shared" si="292"/>
        <v>0</v>
      </c>
      <c r="H205" s="46"/>
      <c r="I205" s="47">
        <f t="shared" si="283"/>
        <v>0</v>
      </c>
      <c r="J205" s="47">
        <f t="shared" si="284"/>
        <v>0</v>
      </c>
      <c r="K205" s="48">
        <v>56.96</v>
      </c>
      <c r="L205" s="54"/>
      <c r="M205" s="54"/>
      <c r="N205" s="54"/>
      <c r="O205" s="51">
        <f t="shared" si="293"/>
        <v>56.96</v>
      </c>
      <c r="P205" s="51">
        <f t="shared" si="294"/>
        <v>0</v>
      </c>
      <c r="Q205" s="51">
        <f t="shared" si="295"/>
        <v>0</v>
      </c>
      <c r="R205" s="52">
        <f t="shared" si="319"/>
        <v>56.96</v>
      </c>
      <c r="S205" s="52">
        <f t="shared" si="320"/>
        <v>0</v>
      </c>
      <c r="T205" s="52">
        <f t="shared" si="321"/>
        <v>0</v>
      </c>
      <c r="U205" s="369">
        <f t="shared" si="296"/>
        <v>0</v>
      </c>
      <c r="V205" s="369">
        <f t="shared" si="297"/>
        <v>0</v>
      </c>
      <c r="W205" s="369">
        <f t="shared" si="298"/>
        <v>0</v>
      </c>
      <c r="X205" s="53">
        <f t="shared" si="285"/>
        <v>1</v>
      </c>
      <c r="Y205" s="53">
        <f t="shared" si="286"/>
        <v>0</v>
      </c>
      <c r="Z205" s="53">
        <f t="shared" si="287"/>
        <v>0</v>
      </c>
      <c r="AA205" s="54"/>
      <c r="AB205" s="54"/>
      <c r="AC205" s="54"/>
      <c r="AD205" s="54"/>
      <c r="AE205" s="55"/>
      <c r="AF205" s="55"/>
      <c r="AG205" s="55"/>
      <c r="AH205" s="55"/>
      <c r="AI205" s="54"/>
      <c r="AJ205" s="54"/>
      <c r="AK205" s="54"/>
      <c r="AL205" s="54"/>
      <c r="AM205" s="54"/>
      <c r="AN205" s="54"/>
      <c r="AO205" s="54"/>
      <c r="AP205" s="48">
        <v>56.96</v>
      </c>
      <c r="AQ205" s="54"/>
      <c r="AR205" s="54"/>
      <c r="AS205" s="54"/>
      <c r="AT205" s="54"/>
      <c r="AU205" s="54"/>
      <c r="AV205" s="54"/>
      <c r="AW205" s="54"/>
      <c r="AX205" s="54"/>
      <c r="AY205" s="54"/>
      <c r="AZ205" s="54"/>
      <c r="BA205" s="54"/>
      <c r="BB205" s="54"/>
      <c r="BC205" s="54"/>
      <c r="BD205" s="54"/>
      <c r="BE205" s="54"/>
      <c r="BF205" s="54"/>
      <c r="BG205" s="54"/>
      <c r="BH205" s="54"/>
      <c r="BI205" s="54"/>
      <c r="BJ205" s="54"/>
      <c r="BK205" s="54"/>
      <c r="BL205" s="54"/>
      <c r="BM205" s="54"/>
      <c r="BN205" s="54">
        <f t="shared" si="309"/>
        <v>56.96</v>
      </c>
      <c r="BO205" s="58">
        <f t="shared" si="310"/>
        <v>0</v>
      </c>
      <c r="BP205" s="54">
        <f t="shared" si="311"/>
        <v>56.96</v>
      </c>
      <c r="BQ205" s="54">
        <f t="shared" si="312"/>
        <v>0</v>
      </c>
      <c r="BR205" s="54">
        <f t="shared" si="313"/>
        <v>0</v>
      </c>
      <c r="BS205" s="54">
        <f t="shared" si="314"/>
        <v>0</v>
      </c>
      <c r="BT205" s="54">
        <f t="shared" si="315"/>
        <v>0</v>
      </c>
      <c r="BU205" s="54">
        <f t="shared" si="316"/>
        <v>56.96</v>
      </c>
      <c r="BV205" s="54">
        <f t="shared" si="317"/>
        <v>0</v>
      </c>
      <c r="BW205" s="54">
        <f t="shared" si="318"/>
        <v>56.96</v>
      </c>
      <c r="BX205" s="1"/>
      <c r="BY205" s="1"/>
      <c r="BZ205" s="1"/>
      <c r="CA205" s="1"/>
      <c r="CB205" s="1"/>
      <c r="CC205" s="1"/>
      <c r="CD205" s="1"/>
      <c r="CE205" s="1"/>
      <c r="CF205" s="1"/>
      <c r="CG205" s="1"/>
    </row>
    <row r="206" spans="1:85" ht="15.75" customHeight="1">
      <c r="A206" s="43" t="s">
        <v>496</v>
      </c>
      <c r="B206" s="416"/>
      <c r="C206" s="394" t="s">
        <v>489</v>
      </c>
      <c r="D206" s="158" t="s">
        <v>494</v>
      </c>
      <c r="E206" s="45"/>
      <c r="F206" s="46"/>
      <c r="G206" s="46">
        <f t="shared" si="292"/>
        <v>0</v>
      </c>
      <c r="H206" s="46"/>
      <c r="I206" s="47">
        <f t="shared" si="283"/>
        <v>0</v>
      </c>
      <c r="J206" s="47">
        <f t="shared" si="284"/>
        <v>0</v>
      </c>
      <c r="K206" s="48">
        <v>1078</v>
      </c>
      <c r="L206" s="54"/>
      <c r="M206" s="54"/>
      <c r="N206" s="54"/>
      <c r="O206" s="51">
        <f t="shared" si="293"/>
        <v>1078</v>
      </c>
      <c r="P206" s="51">
        <f t="shared" si="294"/>
        <v>0</v>
      </c>
      <c r="Q206" s="51">
        <f t="shared" si="295"/>
        <v>0</v>
      </c>
      <c r="R206" s="52">
        <f t="shared" si="319"/>
        <v>1078</v>
      </c>
      <c r="S206" s="52">
        <f t="shared" si="320"/>
        <v>0</v>
      </c>
      <c r="T206" s="52">
        <f t="shared" si="321"/>
        <v>0</v>
      </c>
      <c r="U206" s="368">
        <f t="shared" si="296"/>
        <v>0</v>
      </c>
      <c r="V206" s="369">
        <f t="shared" si="297"/>
        <v>0</v>
      </c>
      <c r="W206" s="369">
        <f t="shared" si="298"/>
        <v>0</v>
      </c>
      <c r="X206" s="53">
        <f t="shared" si="285"/>
        <v>1</v>
      </c>
      <c r="Y206" s="53">
        <f t="shared" si="286"/>
        <v>0</v>
      </c>
      <c r="Z206" s="53">
        <f t="shared" si="287"/>
        <v>0</v>
      </c>
      <c r="AA206" s="54"/>
      <c r="AB206" s="54"/>
      <c r="AC206" s="54"/>
      <c r="AD206" s="54"/>
      <c r="AE206" s="55"/>
      <c r="AF206" s="55"/>
      <c r="AG206" s="55"/>
      <c r="AH206" s="55"/>
      <c r="AI206" s="54"/>
      <c r="AJ206" s="54"/>
      <c r="AK206" s="54"/>
      <c r="AL206" s="54"/>
      <c r="AM206" s="54"/>
      <c r="AN206" s="54"/>
      <c r="AO206" s="54"/>
      <c r="AP206" s="54"/>
      <c r="AQ206" s="54"/>
      <c r="AR206" s="54"/>
      <c r="AS206" s="54"/>
      <c r="AT206" s="54"/>
      <c r="AU206" s="54"/>
      <c r="AV206" s="54"/>
      <c r="AW206" s="54"/>
      <c r="AX206" s="54"/>
      <c r="AY206" s="54">
        <f>1078</f>
        <v>1078</v>
      </c>
      <c r="AZ206" s="54"/>
      <c r="BA206" s="54"/>
      <c r="BB206" s="54"/>
      <c r="BC206" s="54"/>
      <c r="BD206" s="54"/>
      <c r="BE206" s="54"/>
      <c r="BF206" s="54"/>
      <c r="BG206" s="54"/>
      <c r="BH206" s="54"/>
      <c r="BI206" s="54"/>
      <c r="BJ206" s="54"/>
      <c r="BK206" s="54"/>
      <c r="BL206" s="54"/>
      <c r="BM206" s="54"/>
      <c r="BN206" s="54">
        <f t="shared" si="309"/>
        <v>1078</v>
      </c>
      <c r="BO206" s="58">
        <f t="shared" si="310"/>
        <v>0</v>
      </c>
      <c r="BP206" s="54">
        <f t="shared" si="311"/>
        <v>1078</v>
      </c>
      <c r="BQ206" s="54">
        <f t="shared" si="312"/>
        <v>0</v>
      </c>
      <c r="BR206" s="54">
        <f t="shared" si="313"/>
        <v>0</v>
      </c>
      <c r="BS206" s="54">
        <f t="shared" si="314"/>
        <v>0</v>
      </c>
      <c r="BT206" s="54">
        <f t="shared" si="315"/>
        <v>0</v>
      </c>
      <c r="BU206" s="54">
        <f t="shared" si="316"/>
        <v>1078</v>
      </c>
      <c r="BV206" s="54">
        <f t="shared" si="317"/>
        <v>0</v>
      </c>
      <c r="BW206" s="54">
        <f t="shared" si="318"/>
        <v>1078</v>
      </c>
      <c r="BX206" s="1"/>
      <c r="BY206" s="1"/>
      <c r="BZ206" s="1"/>
      <c r="CA206" s="1"/>
      <c r="CB206" s="1"/>
      <c r="CC206" s="1"/>
      <c r="CD206" s="1"/>
      <c r="CE206" s="1"/>
      <c r="CF206" s="1"/>
      <c r="CG206" s="1"/>
    </row>
    <row r="207" spans="1:85" ht="15.75" customHeight="1">
      <c r="A207" s="43" t="s">
        <v>497</v>
      </c>
      <c r="B207" s="416"/>
      <c r="C207" s="394" t="s">
        <v>489</v>
      </c>
      <c r="D207" s="159" t="s">
        <v>498</v>
      </c>
      <c r="E207" s="45"/>
      <c r="F207" s="46"/>
      <c r="G207" s="46">
        <f t="shared" si="292"/>
        <v>0</v>
      </c>
      <c r="H207" s="46"/>
      <c r="I207" s="47">
        <f t="shared" si="283"/>
        <v>0</v>
      </c>
      <c r="J207" s="47">
        <f t="shared" si="284"/>
        <v>0</v>
      </c>
      <c r="K207" s="48">
        <v>2500</v>
      </c>
      <c r="L207" s="54"/>
      <c r="M207" s="54"/>
      <c r="N207" s="54"/>
      <c r="O207" s="51">
        <f t="shared" si="293"/>
        <v>2500</v>
      </c>
      <c r="P207" s="51">
        <f t="shared" si="294"/>
        <v>0</v>
      </c>
      <c r="Q207" s="51">
        <f t="shared" si="295"/>
        <v>0</v>
      </c>
      <c r="R207" s="52">
        <f t="shared" si="319"/>
        <v>2500</v>
      </c>
      <c r="S207" s="52">
        <f t="shared" si="320"/>
        <v>0</v>
      </c>
      <c r="T207" s="52">
        <f t="shared" si="321"/>
        <v>0</v>
      </c>
      <c r="U207" s="368">
        <f t="shared" si="296"/>
        <v>0</v>
      </c>
      <c r="V207" s="369">
        <f t="shared" si="297"/>
        <v>0</v>
      </c>
      <c r="W207" s="369">
        <f t="shared" si="298"/>
        <v>0</v>
      </c>
      <c r="X207" s="53">
        <f t="shared" si="285"/>
        <v>1</v>
      </c>
      <c r="Y207" s="53">
        <f t="shared" si="286"/>
        <v>0</v>
      </c>
      <c r="Z207" s="53">
        <f t="shared" si="287"/>
        <v>0</v>
      </c>
      <c r="AA207" s="54"/>
      <c r="AB207" s="54"/>
      <c r="AC207" s="54"/>
      <c r="AD207" s="54"/>
      <c r="AE207" s="55"/>
      <c r="AF207" s="55"/>
      <c r="AG207" s="55"/>
      <c r="AH207" s="55"/>
      <c r="AI207" s="54"/>
      <c r="AJ207" s="54"/>
      <c r="AK207" s="54"/>
      <c r="AL207" s="54"/>
      <c r="AM207" s="54"/>
      <c r="AN207" s="54"/>
      <c r="AO207" s="54"/>
      <c r="AP207" s="54"/>
      <c r="AQ207" s="54"/>
      <c r="AR207" s="54"/>
      <c r="AS207" s="54"/>
      <c r="AT207" s="54"/>
      <c r="AU207" s="54"/>
      <c r="AV207" s="48">
        <v>2500</v>
      </c>
      <c r="AW207" s="54"/>
      <c r="AX207" s="54"/>
      <c r="AY207" s="54"/>
      <c r="AZ207" s="54"/>
      <c r="BA207" s="54"/>
      <c r="BB207" s="54"/>
      <c r="BC207" s="54"/>
      <c r="BD207" s="54"/>
      <c r="BE207" s="54"/>
      <c r="BF207" s="54"/>
      <c r="BG207" s="54"/>
      <c r="BH207" s="54"/>
      <c r="BI207" s="54"/>
      <c r="BJ207" s="54"/>
      <c r="BK207" s="54"/>
      <c r="BL207" s="54"/>
      <c r="BM207" s="54"/>
      <c r="BN207" s="54">
        <f t="shared" si="309"/>
        <v>2500</v>
      </c>
      <c r="BO207" s="58">
        <f t="shared" si="310"/>
        <v>0</v>
      </c>
      <c r="BP207" s="54">
        <f t="shared" si="311"/>
        <v>2500</v>
      </c>
      <c r="BQ207" s="54">
        <f t="shared" si="312"/>
        <v>0</v>
      </c>
      <c r="BR207" s="54">
        <f t="shared" si="313"/>
        <v>0</v>
      </c>
      <c r="BS207" s="54">
        <f t="shared" si="314"/>
        <v>0</v>
      </c>
      <c r="BT207" s="54">
        <f t="shared" si="315"/>
        <v>0</v>
      </c>
      <c r="BU207" s="54">
        <f t="shared" si="316"/>
        <v>2500</v>
      </c>
      <c r="BV207" s="54">
        <f t="shared" si="317"/>
        <v>0</v>
      </c>
      <c r="BW207" s="54">
        <f t="shared" si="318"/>
        <v>2500</v>
      </c>
      <c r="BX207" s="1"/>
      <c r="BY207" s="1"/>
      <c r="BZ207" s="1"/>
      <c r="CA207" s="1"/>
      <c r="CB207" s="1"/>
      <c r="CC207" s="1"/>
      <c r="CD207" s="1"/>
      <c r="CE207" s="1"/>
      <c r="CF207" s="1"/>
      <c r="CG207" s="1"/>
    </row>
    <row r="208" spans="1:85" ht="15.75" customHeight="1">
      <c r="A208" s="43" t="s">
        <v>499</v>
      </c>
      <c r="B208" s="416"/>
      <c r="C208" s="394" t="s">
        <v>489</v>
      </c>
      <c r="D208" s="159" t="s">
        <v>500</v>
      </c>
      <c r="E208" s="45"/>
      <c r="F208" s="46"/>
      <c r="G208" s="46"/>
      <c r="H208" s="46"/>
      <c r="I208" s="47"/>
      <c r="J208" s="47"/>
      <c r="K208" s="48">
        <v>90</v>
      </c>
      <c r="L208" s="54"/>
      <c r="M208" s="54"/>
      <c r="N208" s="54"/>
      <c r="O208" s="51">
        <f t="shared" si="293"/>
        <v>0</v>
      </c>
      <c r="P208" s="51">
        <f t="shared" si="294"/>
        <v>0</v>
      </c>
      <c r="Q208" s="51">
        <f t="shared" si="295"/>
        <v>0</v>
      </c>
      <c r="R208" s="52">
        <f t="shared" si="319"/>
        <v>0</v>
      </c>
      <c r="S208" s="52">
        <f t="shared" si="320"/>
        <v>0</v>
      </c>
      <c r="T208" s="52">
        <f t="shared" si="321"/>
        <v>0</v>
      </c>
      <c r="U208" s="368">
        <f t="shared" si="296"/>
        <v>90</v>
      </c>
      <c r="V208" s="369">
        <f t="shared" si="297"/>
        <v>0</v>
      </c>
      <c r="W208" s="369">
        <f t="shared" si="298"/>
        <v>0</v>
      </c>
      <c r="X208" s="53">
        <f t="shared" si="285"/>
        <v>0</v>
      </c>
      <c r="Y208" s="53">
        <f t="shared" si="286"/>
        <v>0</v>
      </c>
      <c r="Z208" s="53">
        <f t="shared" si="287"/>
        <v>0</v>
      </c>
      <c r="AA208" s="54"/>
      <c r="AB208" s="54"/>
      <c r="AC208" s="54"/>
      <c r="AD208" s="54"/>
      <c r="AE208" s="55"/>
      <c r="AF208" s="55"/>
      <c r="AG208" s="55"/>
      <c r="AH208" s="55"/>
      <c r="AI208" s="54"/>
      <c r="AJ208" s="54"/>
      <c r="AK208" s="54"/>
      <c r="AL208" s="54"/>
      <c r="AM208" s="54"/>
      <c r="AN208" s="54"/>
      <c r="AO208" s="54"/>
      <c r="AP208" s="54"/>
      <c r="AQ208" s="54"/>
      <c r="AR208" s="54"/>
      <c r="AS208" s="54"/>
      <c r="AT208" s="54"/>
      <c r="AU208" s="54"/>
      <c r="AV208" s="54"/>
      <c r="AW208" s="54"/>
      <c r="AX208" s="54"/>
      <c r="AY208" s="54"/>
      <c r="AZ208" s="54"/>
      <c r="BA208" s="54"/>
      <c r="BB208" s="54"/>
      <c r="BC208" s="54"/>
      <c r="BD208" s="54"/>
      <c r="BE208" s="54"/>
      <c r="BF208" s="54"/>
      <c r="BG208" s="54"/>
      <c r="BH208" s="54"/>
      <c r="BI208" s="54"/>
      <c r="BJ208" s="54"/>
      <c r="BK208" s="54"/>
      <c r="BL208" s="54"/>
      <c r="BM208" s="54"/>
      <c r="BN208" s="54">
        <f t="shared" si="309"/>
        <v>0</v>
      </c>
      <c r="BO208" s="58">
        <f t="shared" si="310"/>
        <v>0</v>
      </c>
      <c r="BP208" s="54">
        <f t="shared" si="311"/>
        <v>0</v>
      </c>
      <c r="BQ208" s="54">
        <f t="shared" si="312"/>
        <v>90</v>
      </c>
      <c r="BR208" s="54">
        <f t="shared" si="313"/>
        <v>0</v>
      </c>
      <c r="BS208" s="54">
        <f t="shared" si="314"/>
        <v>90</v>
      </c>
      <c r="BT208" s="54">
        <f t="shared" si="315"/>
        <v>0</v>
      </c>
      <c r="BU208" s="54">
        <f t="shared" si="316"/>
        <v>0</v>
      </c>
      <c r="BV208" s="54">
        <f t="shared" si="317"/>
        <v>90</v>
      </c>
      <c r="BW208" s="54">
        <f t="shared" si="318"/>
        <v>0</v>
      </c>
      <c r="BX208" s="1"/>
      <c r="BY208" s="1"/>
      <c r="BZ208" s="1"/>
      <c r="CA208" s="1"/>
      <c r="CB208" s="1"/>
      <c r="CC208" s="1"/>
      <c r="CD208" s="1"/>
      <c r="CE208" s="1"/>
      <c r="CF208" s="1"/>
      <c r="CG208" s="1"/>
    </row>
    <row r="209" spans="1:85" ht="15.75" customHeight="1">
      <c r="A209" s="56"/>
      <c r="B209" s="416"/>
      <c r="C209" s="394" t="s">
        <v>135</v>
      </c>
      <c r="D209" s="78" t="s">
        <v>501</v>
      </c>
      <c r="E209" s="45">
        <v>10000</v>
      </c>
      <c r="F209" s="46"/>
      <c r="G209" s="46">
        <f>E209-F209</f>
        <v>10000</v>
      </c>
      <c r="H209" s="46"/>
      <c r="I209" s="47">
        <f>IF(G209&gt;0,K209/G209,0)</f>
        <v>0</v>
      </c>
      <c r="J209" s="47">
        <f>IF(G209&gt;0,O209/G209,0)</f>
        <v>0</v>
      </c>
      <c r="K209" s="54"/>
      <c r="L209" s="54"/>
      <c r="M209" s="54"/>
      <c r="N209" s="54"/>
      <c r="O209" s="51">
        <f t="shared" si="293"/>
        <v>0</v>
      </c>
      <c r="P209" s="51">
        <f t="shared" si="294"/>
        <v>0</v>
      </c>
      <c r="Q209" s="51">
        <f t="shared" si="295"/>
        <v>0</v>
      </c>
      <c r="R209" s="52">
        <f t="shared" si="319"/>
        <v>0</v>
      </c>
      <c r="S209" s="52">
        <f t="shared" si="320"/>
        <v>0</v>
      </c>
      <c r="T209" s="52">
        <f t="shared" si="321"/>
        <v>0</v>
      </c>
      <c r="U209" s="369">
        <f t="shared" si="296"/>
        <v>0</v>
      </c>
      <c r="V209" s="369">
        <f t="shared" si="297"/>
        <v>0</v>
      </c>
      <c r="W209" s="369">
        <f t="shared" si="298"/>
        <v>0</v>
      </c>
      <c r="X209" s="53">
        <f t="shared" si="285"/>
        <v>0</v>
      </c>
      <c r="Y209" s="53">
        <f t="shared" si="286"/>
        <v>0</v>
      </c>
      <c r="Z209" s="53">
        <f t="shared" si="287"/>
        <v>0</v>
      </c>
      <c r="AA209" s="54"/>
      <c r="AB209" s="54"/>
      <c r="AC209" s="54"/>
      <c r="AD209" s="54"/>
      <c r="AE209" s="55"/>
      <c r="AF209" s="55"/>
      <c r="AG209" s="55"/>
      <c r="AH209" s="55"/>
      <c r="AI209" s="54"/>
      <c r="AJ209" s="54"/>
      <c r="AK209" s="54"/>
      <c r="AL209" s="54"/>
      <c r="AM209" s="54"/>
      <c r="AN209" s="54"/>
      <c r="AO209" s="54"/>
      <c r="AP209" s="54"/>
      <c r="AQ209" s="54"/>
      <c r="AR209" s="54"/>
      <c r="AS209" s="54"/>
      <c r="AT209" s="54"/>
      <c r="AU209" s="54"/>
      <c r="AV209" s="54"/>
      <c r="AW209" s="54"/>
      <c r="AX209" s="54"/>
      <c r="AY209" s="54"/>
      <c r="AZ209" s="54"/>
      <c r="BA209" s="54"/>
      <c r="BB209" s="54"/>
      <c r="BC209" s="54"/>
      <c r="BD209" s="54"/>
      <c r="BE209" s="54"/>
      <c r="BF209" s="54"/>
      <c r="BG209" s="54"/>
      <c r="BH209" s="54"/>
      <c r="BI209" s="54"/>
      <c r="BJ209" s="54"/>
      <c r="BK209" s="54"/>
      <c r="BL209" s="54"/>
      <c r="BM209" s="54"/>
      <c r="BN209" s="54">
        <f t="shared" si="309"/>
        <v>0</v>
      </c>
      <c r="BO209" s="58">
        <f t="shared" si="310"/>
        <v>0</v>
      </c>
      <c r="BP209" s="54">
        <f t="shared" si="311"/>
        <v>0</v>
      </c>
      <c r="BQ209" s="54">
        <f t="shared" si="312"/>
        <v>0</v>
      </c>
      <c r="BR209" s="54">
        <f t="shared" si="313"/>
        <v>0</v>
      </c>
      <c r="BS209" s="54">
        <f t="shared" si="314"/>
        <v>0</v>
      </c>
      <c r="BT209" s="54">
        <f t="shared" si="315"/>
        <v>0</v>
      </c>
      <c r="BU209" s="54">
        <f t="shared" si="316"/>
        <v>0</v>
      </c>
      <c r="BV209" s="54">
        <f t="shared" si="317"/>
        <v>0</v>
      </c>
      <c r="BW209" s="54">
        <f t="shared" si="318"/>
        <v>0</v>
      </c>
      <c r="BX209" s="1"/>
      <c r="BY209" s="1"/>
      <c r="BZ209" s="1"/>
      <c r="CA209" s="1"/>
      <c r="CB209" s="1"/>
      <c r="CC209" s="1"/>
      <c r="CD209" s="1"/>
      <c r="CE209" s="1"/>
      <c r="CF209" s="1"/>
      <c r="CG209" s="1"/>
    </row>
    <row r="210" spans="1:85" ht="15.75" customHeight="1">
      <c r="A210" s="56"/>
      <c r="B210" s="416"/>
      <c r="C210" s="394" t="s">
        <v>166</v>
      </c>
      <c r="D210" s="78" t="s">
        <v>502</v>
      </c>
      <c r="E210" s="45">
        <f>8000+5000</f>
        <v>13000</v>
      </c>
      <c r="F210" s="46"/>
      <c r="G210" s="46">
        <f>E210-F210</f>
        <v>13000</v>
      </c>
      <c r="H210" s="46"/>
      <c r="I210" s="47">
        <f>IF(G210&gt;0,K210/G210,0)</f>
        <v>0</v>
      </c>
      <c r="J210" s="47">
        <f>IF(G210&gt;0,O210/G210,0)</f>
        <v>0</v>
      </c>
      <c r="K210" s="54"/>
      <c r="L210" s="54"/>
      <c r="M210" s="54"/>
      <c r="N210" s="54"/>
      <c r="O210" s="51">
        <f t="shared" si="293"/>
        <v>0</v>
      </c>
      <c r="P210" s="51">
        <f t="shared" si="294"/>
        <v>0</v>
      </c>
      <c r="Q210" s="51">
        <f t="shared" si="295"/>
        <v>0</v>
      </c>
      <c r="R210" s="52">
        <f t="shared" si="319"/>
        <v>0</v>
      </c>
      <c r="S210" s="52">
        <f t="shared" si="320"/>
        <v>0</v>
      </c>
      <c r="T210" s="52">
        <f t="shared" si="321"/>
        <v>0</v>
      </c>
      <c r="U210" s="369">
        <f t="shared" si="296"/>
        <v>0</v>
      </c>
      <c r="V210" s="369">
        <f t="shared" si="297"/>
        <v>0</v>
      </c>
      <c r="W210" s="369">
        <f t="shared" si="298"/>
        <v>0</v>
      </c>
      <c r="X210" s="53">
        <f t="shared" si="285"/>
        <v>0</v>
      </c>
      <c r="Y210" s="53">
        <f t="shared" si="286"/>
        <v>0</v>
      </c>
      <c r="Z210" s="53">
        <f t="shared" si="287"/>
        <v>0</v>
      </c>
      <c r="AA210" s="54"/>
      <c r="AB210" s="54"/>
      <c r="AC210" s="54"/>
      <c r="AD210" s="54"/>
      <c r="AE210" s="55"/>
      <c r="AF210" s="55"/>
      <c r="AG210" s="55"/>
      <c r="AH210" s="55"/>
      <c r="AI210" s="54"/>
      <c r="AJ210" s="54"/>
      <c r="AK210" s="54"/>
      <c r="AL210" s="54"/>
      <c r="AM210" s="54"/>
      <c r="AN210" s="54"/>
      <c r="AO210" s="54"/>
      <c r="AP210" s="54"/>
      <c r="AQ210" s="54"/>
      <c r="AR210" s="54"/>
      <c r="AS210" s="54"/>
      <c r="AT210" s="54"/>
      <c r="AU210" s="54"/>
      <c r="AV210" s="54"/>
      <c r="AW210" s="54"/>
      <c r="AX210" s="54"/>
      <c r="AY210" s="54"/>
      <c r="AZ210" s="54"/>
      <c r="BA210" s="54"/>
      <c r="BB210" s="54"/>
      <c r="BC210" s="54"/>
      <c r="BD210" s="54"/>
      <c r="BE210" s="54"/>
      <c r="BF210" s="54"/>
      <c r="BG210" s="54"/>
      <c r="BH210" s="54"/>
      <c r="BI210" s="54"/>
      <c r="BJ210" s="54"/>
      <c r="BK210" s="54"/>
      <c r="BL210" s="54"/>
      <c r="BM210" s="54"/>
      <c r="BN210" s="54">
        <f t="shared" si="309"/>
        <v>0</v>
      </c>
      <c r="BO210" s="58">
        <f t="shared" si="310"/>
        <v>0</v>
      </c>
      <c r="BP210" s="54">
        <f t="shared" si="311"/>
        <v>0</v>
      </c>
      <c r="BQ210" s="54">
        <f t="shared" si="312"/>
        <v>0</v>
      </c>
      <c r="BR210" s="54">
        <f t="shared" si="313"/>
        <v>0</v>
      </c>
      <c r="BS210" s="54">
        <f t="shared" si="314"/>
        <v>0</v>
      </c>
      <c r="BT210" s="54">
        <f t="shared" si="315"/>
        <v>0</v>
      </c>
      <c r="BU210" s="54">
        <f t="shared" si="316"/>
        <v>0</v>
      </c>
      <c r="BV210" s="54">
        <f t="shared" si="317"/>
        <v>0</v>
      </c>
      <c r="BW210" s="54">
        <f t="shared" si="318"/>
        <v>0</v>
      </c>
      <c r="BX210" s="1"/>
      <c r="BY210" s="1"/>
      <c r="BZ210" s="1"/>
      <c r="CA210" s="1"/>
      <c r="CB210" s="1"/>
      <c r="CC210" s="1"/>
      <c r="CD210" s="1"/>
      <c r="CE210" s="1"/>
      <c r="CF210" s="1"/>
      <c r="CG210" s="1"/>
    </row>
    <row r="211" spans="1:85" ht="15.75" customHeight="1">
      <c r="A211" s="43" t="s">
        <v>503</v>
      </c>
      <c r="B211" s="416"/>
      <c r="C211" s="394" t="s">
        <v>504</v>
      </c>
      <c r="D211" s="82" t="s">
        <v>505</v>
      </c>
      <c r="E211" s="45">
        <v>3000</v>
      </c>
      <c r="F211" s="46"/>
      <c r="G211" s="46">
        <f>E211-F211</f>
        <v>3000</v>
      </c>
      <c r="H211" s="46"/>
      <c r="I211" s="47">
        <f>IF(G211&gt;0,K211/G211,0)</f>
        <v>0.11</v>
      </c>
      <c r="J211" s="47">
        <f>IF(G211&gt;0,O211/G211,0)</f>
        <v>0.11</v>
      </c>
      <c r="K211" s="48">
        <v>330</v>
      </c>
      <c r="L211" s="54"/>
      <c r="M211" s="54"/>
      <c r="N211" s="54"/>
      <c r="O211" s="51">
        <f t="shared" si="293"/>
        <v>330</v>
      </c>
      <c r="P211" s="51">
        <f t="shared" si="294"/>
        <v>0</v>
      </c>
      <c r="Q211" s="51">
        <f t="shared" si="295"/>
        <v>0</v>
      </c>
      <c r="R211" s="52">
        <f t="shared" si="319"/>
        <v>330</v>
      </c>
      <c r="S211" s="52">
        <f t="shared" si="320"/>
        <v>0</v>
      </c>
      <c r="T211" s="52">
        <f t="shared" si="321"/>
        <v>0</v>
      </c>
      <c r="U211" s="369">
        <f t="shared" si="296"/>
        <v>0</v>
      </c>
      <c r="V211" s="369">
        <f t="shared" si="297"/>
        <v>0</v>
      </c>
      <c r="W211" s="369">
        <f t="shared" si="298"/>
        <v>0</v>
      </c>
      <c r="X211" s="53">
        <f t="shared" si="285"/>
        <v>1</v>
      </c>
      <c r="Y211" s="53">
        <f t="shared" si="286"/>
        <v>0</v>
      </c>
      <c r="Z211" s="53">
        <f t="shared" si="287"/>
        <v>0</v>
      </c>
      <c r="AA211" s="54"/>
      <c r="AB211" s="54"/>
      <c r="AC211" s="54"/>
      <c r="AD211" s="54"/>
      <c r="AE211" s="55"/>
      <c r="AF211" s="55"/>
      <c r="AG211" s="55"/>
      <c r="AH211" s="55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  <c r="AV211" s="54"/>
      <c r="AW211" s="54"/>
      <c r="AX211" s="54"/>
      <c r="AY211" s="48">
        <v>330</v>
      </c>
      <c r="AZ211" s="54"/>
      <c r="BA211" s="54"/>
      <c r="BB211" s="54"/>
      <c r="BC211" s="54"/>
      <c r="BD211" s="54"/>
      <c r="BE211" s="54"/>
      <c r="BF211" s="54"/>
      <c r="BG211" s="54"/>
      <c r="BH211" s="54"/>
      <c r="BI211" s="54"/>
      <c r="BJ211" s="54"/>
      <c r="BK211" s="54"/>
      <c r="BL211" s="54"/>
      <c r="BM211" s="54"/>
      <c r="BN211" s="54">
        <f t="shared" si="309"/>
        <v>330</v>
      </c>
      <c r="BO211" s="58">
        <f t="shared" si="310"/>
        <v>0</v>
      </c>
      <c r="BP211" s="54">
        <f t="shared" si="311"/>
        <v>330</v>
      </c>
      <c r="BQ211" s="54">
        <f t="shared" si="312"/>
        <v>0</v>
      </c>
      <c r="BR211" s="54">
        <f t="shared" si="313"/>
        <v>0</v>
      </c>
      <c r="BS211" s="54">
        <f t="shared" si="314"/>
        <v>0</v>
      </c>
      <c r="BT211" s="54">
        <f t="shared" si="315"/>
        <v>0</v>
      </c>
      <c r="BU211" s="54">
        <f t="shared" si="316"/>
        <v>330</v>
      </c>
      <c r="BV211" s="54">
        <f t="shared" si="317"/>
        <v>0</v>
      </c>
      <c r="BW211" s="54">
        <f t="shared" si="318"/>
        <v>330</v>
      </c>
      <c r="BX211" s="1"/>
      <c r="BY211" s="1"/>
      <c r="BZ211" s="1"/>
      <c r="CA211" s="1"/>
      <c r="CB211" s="1"/>
      <c r="CC211" s="1"/>
      <c r="CD211" s="1"/>
      <c r="CE211" s="1"/>
      <c r="CF211" s="1"/>
      <c r="CG211" s="1"/>
    </row>
    <row r="212" spans="1:85" ht="15.75" customHeight="1">
      <c r="A212" s="43" t="s">
        <v>506</v>
      </c>
      <c r="B212" s="416"/>
      <c r="C212" s="394" t="s">
        <v>504</v>
      </c>
      <c r="D212" s="82" t="s">
        <v>507</v>
      </c>
      <c r="E212" s="45"/>
      <c r="F212" s="46"/>
      <c r="G212" s="46"/>
      <c r="H212" s="46"/>
      <c r="I212" s="47"/>
      <c r="J212" s="47"/>
      <c r="K212" s="48">
        <v>417</v>
      </c>
      <c r="L212" s="54"/>
      <c r="M212" s="54"/>
      <c r="N212" s="54"/>
      <c r="O212" s="51">
        <f t="shared" si="293"/>
        <v>0</v>
      </c>
      <c r="P212" s="51">
        <f t="shared" si="294"/>
        <v>0</v>
      </c>
      <c r="Q212" s="51">
        <f t="shared" si="295"/>
        <v>0</v>
      </c>
      <c r="R212" s="52">
        <f t="shared" si="319"/>
        <v>0</v>
      </c>
      <c r="S212" s="52">
        <f t="shared" si="320"/>
        <v>0</v>
      </c>
      <c r="T212" s="52">
        <f t="shared" si="321"/>
        <v>0</v>
      </c>
      <c r="U212" s="369">
        <f t="shared" si="296"/>
        <v>417</v>
      </c>
      <c r="V212" s="369">
        <f t="shared" si="297"/>
        <v>0</v>
      </c>
      <c r="W212" s="369">
        <f t="shared" si="298"/>
        <v>0</v>
      </c>
      <c r="X212" s="53">
        <f t="shared" si="285"/>
        <v>0</v>
      </c>
      <c r="Y212" s="53">
        <f t="shared" si="286"/>
        <v>0</v>
      </c>
      <c r="Z212" s="53">
        <f t="shared" si="287"/>
        <v>0</v>
      </c>
      <c r="AA212" s="54"/>
      <c r="AB212" s="54"/>
      <c r="AC212" s="54"/>
      <c r="AD212" s="54"/>
      <c r="AE212" s="55"/>
      <c r="AF212" s="55"/>
      <c r="AG212" s="55"/>
      <c r="AH212" s="55"/>
      <c r="AI212" s="54"/>
      <c r="AJ212" s="54"/>
      <c r="AK212" s="54"/>
      <c r="AL212" s="54"/>
      <c r="AM212" s="54"/>
      <c r="AN212" s="54"/>
      <c r="AO212" s="54"/>
      <c r="AP212" s="54"/>
      <c r="AQ212" s="54"/>
      <c r="AR212" s="54"/>
      <c r="AS212" s="54"/>
      <c r="AT212" s="54"/>
      <c r="AU212" s="54"/>
      <c r="AV212" s="54"/>
      <c r="AW212" s="54"/>
      <c r="AX212" s="54"/>
      <c r="AY212" s="48"/>
      <c r="AZ212" s="54"/>
      <c r="BA212" s="54"/>
      <c r="BB212" s="54"/>
      <c r="BC212" s="54"/>
      <c r="BD212" s="54"/>
      <c r="BE212" s="54"/>
      <c r="BF212" s="54"/>
      <c r="BG212" s="54"/>
      <c r="BH212" s="54"/>
      <c r="BI212" s="54"/>
      <c r="BJ212" s="54"/>
      <c r="BK212" s="54"/>
      <c r="BL212" s="54"/>
      <c r="BM212" s="54"/>
      <c r="BN212" s="54">
        <f t="shared" si="309"/>
        <v>0</v>
      </c>
      <c r="BO212" s="58">
        <f t="shared" si="310"/>
        <v>0</v>
      </c>
      <c r="BP212" s="54">
        <f t="shared" si="311"/>
        <v>0</v>
      </c>
      <c r="BQ212" s="54">
        <f t="shared" si="312"/>
        <v>417</v>
      </c>
      <c r="BR212" s="54">
        <f t="shared" si="313"/>
        <v>0</v>
      </c>
      <c r="BS212" s="54">
        <f t="shared" si="314"/>
        <v>417</v>
      </c>
      <c r="BT212" s="54">
        <f t="shared" si="315"/>
        <v>0</v>
      </c>
      <c r="BU212" s="54">
        <f t="shared" si="316"/>
        <v>0</v>
      </c>
      <c r="BV212" s="54">
        <f t="shared" si="317"/>
        <v>417</v>
      </c>
      <c r="BW212" s="54">
        <f t="shared" si="318"/>
        <v>0</v>
      </c>
      <c r="BX212" s="1"/>
      <c r="BY212" s="1"/>
      <c r="BZ212" s="1"/>
      <c r="CA212" s="1"/>
      <c r="CB212" s="1"/>
      <c r="CC212" s="1"/>
      <c r="CD212" s="1"/>
      <c r="CE212" s="1"/>
      <c r="CF212" s="1"/>
      <c r="CG212" s="1"/>
    </row>
    <row r="213" spans="1:85" ht="15.75" customHeight="1">
      <c r="A213" s="43" t="s">
        <v>508</v>
      </c>
      <c r="B213" s="416"/>
      <c r="C213" s="394" t="s">
        <v>504</v>
      </c>
      <c r="D213" s="82" t="s">
        <v>509</v>
      </c>
      <c r="E213" s="45"/>
      <c r="F213" s="46"/>
      <c r="G213" s="46"/>
      <c r="H213" s="46"/>
      <c r="I213" s="47"/>
      <c r="J213" s="47"/>
      <c r="K213" s="48">
        <v>190.45</v>
      </c>
      <c r="L213" s="54"/>
      <c r="M213" s="54"/>
      <c r="N213" s="54"/>
      <c r="O213" s="51">
        <f t="shared" si="293"/>
        <v>190.45</v>
      </c>
      <c r="P213" s="51">
        <f t="shared" si="294"/>
        <v>0</v>
      </c>
      <c r="Q213" s="51">
        <f t="shared" si="295"/>
        <v>0</v>
      </c>
      <c r="R213" s="52">
        <f t="shared" si="319"/>
        <v>190.45</v>
      </c>
      <c r="S213" s="52">
        <f t="shared" si="320"/>
        <v>0</v>
      </c>
      <c r="T213" s="52">
        <f t="shared" si="321"/>
        <v>0</v>
      </c>
      <c r="U213" s="369">
        <f t="shared" si="296"/>
        <v>0</v>
      </c>
      <c r="V213" s="369">
        <f t="shared" si="297"/>
        <v>0</v>
      </c>
      <c r="W213" s="369">
        <f t="shared" si="298"/>
        <v>0</v>
      </c>
      <c r="X213" s="53">
        <f t="shared" si="285"/>
        <v>1</v>
      </c>
      <c r="Y213" s="53">
        <f t="shared" si="286"/>
        <v>0</v>
      </c>
      <c r="Z213" s="53">
        <f t="shared" si="287"/>
        <v>0</v>
      </c>
      <c r="AA213" s="54"/>
      <c r="AB213" s="54"/>
      <c r="AC213" s="54"/>
      <c r="AD213" s="54"/>
      <c r="AE213" s="55"/>
      <c r="AF213" s="55"/>
      <c r="AG213" s="55"/>
      <c r="AH213" s="55"/>
      <c r="AI213" s="54"/>
      <c r="AJ213" s="54"/>
      <c r="AK213" s="54"/>
      <c r="AL213" s="54"/>
      <c r="AM213" s="54"/>
      <c r="AN213" s="54"/>
      <c r="AO213" s="54"/>
      <c r="AP213" s="54"/>
      <c r="AQ213" s="54"/>
      <c r="AR213" s="54"/>
      <c r="AS213" s="54"/>
      <c r="AT213" s="54"/>
      <c r="AU213" s="54"/>
      <c r="AV213" s="54"/>
      <c r="AW213" s="54"/>
      <c r="AX213" s="54"/>
      <c r="AY213" s="48">
        <v>190.45</v>
      </c>
      <c r="AZ213" s="54"/>
      <c r="BA213" s="54"/>
      <c r="BB213" s="54"/>
      <c r="BC213" s="54"/>
      <c r="BD213" s="54"/>
      <c r="BE213" s="54"/>
      <c r="BF213" s="54"/>
      <c r="BG213" s="54"/>
      <c r="BH213" s="54"/>
      <c r="BI213" s="54"/>
      <c r="BJ213" s="54"/>
      <c r="BK213" s="54"/>
      <c r="BL213" s="54"/>
      <c r="BM213" s="54"/>
      <c r="BN213" s="54">
        <f t="shared" si="309"/>
        <v>190.45</v>
      </c>
      <c r="BO213" s="58">
        <f t="shared" si="310"/>
        <v>0</v>
      </c>
      <c r="BP213" s="54">
        <f t="shared" si="311"/>
        <v>190.45</v>
      </c>
      <c r="BQ213" s="54">
        <f t="shared" si="312"/>
        <v>0</v>
      </c>
      <c r="BR213" s="54">
        <f t="shared" si="313"/>
        <v>0</v>
      </c>
      <c r="BS213" s="54">
        <f t="shared" si="314"/>
        <v>0</v>
      </c>
      <c r="BT213" s="54">
        <f t="shared" si="315"/>
        <v>0</v>
      </c>
      <c r="BU213" s="54">
        <f t="shared" si="316"/>
        <v>190.45</v>
      </c>
      <c r="BV213" s="54">
        <f t="shared" si="317"/>
        <v>0</v>
      </c>
      <c r="BW213" s="54">
        <f t="shared" si="318"/>
        <v>190.45</v>
      </c>
      <c r="BX213" s="1"/>
      <c r="BY213" s="1"/>
      <c r="BZ213" s="1"/>
      <c r="CA213" s="1"/>
      <c r="CB213" s="1"/>
      <c r="CC213" s="1"/>
      <c r="CD213" s="1"/>
      <c r="CE213" s="1"/>
      <c r="CF213" s="1"/>
      <c r="CG213" s="1"/>
    </row>
    <row r="214" spans="1:85" ht="15.75" customHeight="1">
      <c r="A214" s="43" t="s">
        <v>510</v>
      </c>
      <c r="B214" s="416"/>
      <c r="C214" s="394" t="s">
        <v>504</v>
      </c>
      <c r="D214" s="82" t="s">
        <v>511</v>
      </c>
      <c r="E214" s="45"/>
      <c r="F214" s="46"/>
      <c r="G214" s="46"/>
      <c r="H214" s="46"/>
      <c r="I214" s="47"/>
      <c r="J214" s="47"/>
      <c r="K214" s="48">
        <v>5436.04</v>
      </c>
      <c r="L214" s="54"/>
      <c r="M214" s="54"/>
      <c r="N214" s="54"/>
      <c r="O214" s="51">
        <f t="shared" si="293"/>
        <v>5436.04</v>
      </c>
      <c r="P214" s="51">
        <f t="shared" si="294"/>
        <v>0</v>
      </c>
      <c r="Q214" s="51">
        <f t="shared" si="295"/>
        <v>0</v>
      </c>
      <c r="R214" s="52">
        <f t="shared" si="319"/>
        <v>5436.04</v>
      </c>
      <c r="S214" s="52">
        <f t="shared" si="320"/>
        <v>0</v>
      </c>
      <c r="T214" s="52">
        <f t="shared" si="321"/>
        <v>0</v>
      </c>
      <c r="U214" s="369">
        <f t="shared" si="296"/>
        <v>0</v>
      </c>
      <c r="V214" s="369">
        <f t="shared" si="297"/>
        <v>0</v>
      </c>
      <c r="W214" s="369">
        <f t="shared" si="298"/>
        <v>0</v>
      </c>
      <c r="X214" s="53">
        <f t="shared" si="285"/>
        <v>1</v>
      </c>
      <c r="Y214" s="53">
        <f t="shared" si="286"/>
        <v>0</v>
      </c>
      <c r="Z214" s="53">
        <f t="shared" si="287"/>
        <v>0</v>
      </c>
      <c r="AA214" s="54"/>
      <c r="AB214" s="54"/>
      <c r="AC214" s="54"/>
      <c r="AD214" s="54"/>
      <c r="AE214" s="55"/>
      <c r="AF214" s="55"/>
      <c r="AG214" s="55"/>
      <c r="AH214" s="55"/>
      <c r="AI214" s="54"/>
      <c r="AJ214" s="54"/>
      <c r="AK214" s="54"/>
      <c r="AL214" s="54"/>
      <c r="AM214" s="54"/>
      <c r="AN214" s="54"/>
      <c r="AO214" s="54"/>
      <c r="AP214" s="54"/>
      <c r="AQ214" s="54"/>
      <c r="AR214" s="54"/>
      <c r="AS214" s="54"/>
      <c r="AT214" s="54"/>
      <c r="AU214" s="54"/>
      <c r="AV214" s="54"/>
      <c r="AW214" s="54"/>
      <c r="AX214" s="54"/>
      <c r="AY214" s="48">
        <v>5436.04</v>
      </c>
      <c r="AZ214" s="54"/>
      <c r="BA214" s="54"/>
      <c r="BB214" s="54"/>
      <c r="BC214" s="54"/>
      <c r="BD214" s="54"/>
      <c r="BE214" s="54"/>
      <c r="BF214" s="54"/>
      <c r="BG214" s="54"/>
      <c r="BH214" s="54"/>
      <c r="BI214" s="54"/>
      <c r="BJ214" s="54"/>
      <c r="BK214" s="54"/>
      <c r="BL214" s="54"/>
      <c r="BM214" s="54"/>
      <c r="BN214" s="54">
        <f t="shared" si="309"/>
        <v>5436.04</v>
      </c>
      <c r="BO214" s="58">
        <f t="shared" si="310"/>
        <v>0</v>
      </c>
      <c r="BP214" s="54">
        <f t="shared" si="311"/>
        <v>5436.04</v>
      </c>
      <c r="BQ214" s="54">
        <f t="shared" si="312"/>
        <v>0</v>
      </c>
      <c r="BR214" s="54">
        <f t="shared" si="313"/>
        <v>0</v>
      </c>
      <c r="BS214" s="54">
        <f t="shared" si="314"/>
        <v>0</v>
      </c>
      <c r="BT214" s="54">
        <f t="shared" si="315"/>
        <v>0</v>
      </c>
      <c r="BU214" s="54">
        <f t="shared" si="316"/>
        <v>5436.04</v>
      </c>
      <c r="BV214" s="54">
        <f t="shared" si="317"/>
        <v>0</v>
      </c>
      <c r="BW214" s="54">
        <f t="shared" si="318"/>
        <v>5436.04</v>
      </c>
      <c r="BX214" s="1"/>
      <c r="BY214" s="1"/>
      <c r="BZ214" s="1"/>
      <c r="CA214" s="1"/>
      <c r="CB214" s="1"/>
      <c r="CC214" s="1"/>
      <c r="CD214" s="1"/>
      <c r="CE214" s="1"/>
      <c r="CF214" s="1"/>
      <c r="CG214" s="1"/>
    </row>
    <row r="215" spans="1:85" ht="15.75" customHeight="1">
      <c r="A215" s="43" t="s">
        <v>512</v>
      </c>
      <c r="B215" s="416"/>
      <c r="C215" s="394" t="s">
        <v>504</v>
      </c>
      <c r="D215" s="82" t="s">
        <v>513</v>
      </c>
      <c r="E215" s="45"/>
      <c r="F215" s="46"/>
      <c r="G215" s="46"/>
      <c r="H215" s="46"/>
      <c r="I215" s="47"/>
      <c r="J215" s="47"/>
      <c r="K215" s="48">
        <v>802</v>
      </c>
      <c r="L215" s="54"/>
      <c r="M215" s="54"/>
      <c r="N215" s="54"/>
      <c r="O215" s="51">
        <f t="shared" si="293"/>
        <v>0</v>
      </c>
      <c r="P215" s="51">
        <f t="shared" si="294"/>
        <v>0</v>
      </c>
      <c r="Q215" s="51">
        <f t="shared" si="295"/>
        <v>0</v>
      </c>
      <c r="R215" s="52">
        <f t="shared" si="319"/>
        <v>0</v>
      </c>
      <c r="S215" s="52">
        <f t="shared" si="320"/>
        <v>0</v>
      </c>
      <c r="T215" s="52">
        <f t="shared" si="321"/>
        <v>0</v>
      </c>
      <c r="U215" s="369">
        <f t="shared" si="296"/>
        <v>802</v>
      </c>
      <c r="V215" s="369">
        <f t="shared" si="297"/>
        <v>0</v>
      </c>
      <c r="W215" s="369">
        <f t="shared" si="298"/>
        <v>0</v>
      </c>
      <c r="X215" s="53">
        <f t="shared" si="285"/>
        <v>0</v>
      </c>
      <c r="Y215" s="53">
        <f t="shared" si="286"/>
        <v>0</v>
      </c>
      <c r="Z215" s="53">
        <f t="shared" si="287"/>
        <v>0</v>
      </c>
      <c r="AA215" s="54"/>
      <c r="AB215" s="54"/>
      <c r="AC215" s="54"/>
      <c r="AD215" s="54"/>
      <c r="AE215" s="55"/>
      <c r="AF215" s="55"/>
      <c r="AG215" s="55"/>
      <c r="AH215" s="55"/>
      <c r="AI215" s="54"/>
      <c r="AJ215" s="54"/>
      <c r="AK215" s="54"/>
      <c r="AL215" s="54"/>
      <c r="AM215" s="54"/>
      <c r="AN215" s="54"/>
      <c r="AO215" s="54"/>
      <c r="AP215" s="54"/>
      <c r="AQ215" s="54"/>
      <c r="AR215" s="54"/>
      <c r="AS215" s="54"/>
      <c r="AT215" s="54"/>
      <c r="AU215" s="54"/>
      <c r="AV215" s="54"/>
      <c r="AW215" s="54"/>
      <c r="AX215" s="54"/>
      <c r="AY215" s="54"/>
      <c r="AZ215" s="54"/>
      <c r="BA215" s="54"/>
      <c r="BB215" s="54"/>
      <c r="BC215" s="54"/>
      <c r="BD215" s="54"/>
      <c r="BE215" s="54"/>
      <c r="BF215" s="54"/>
      <c r="BG215" s="54"/>
      <c r="BH215" s="54"/>
      <c r="BI215" s="54"/>
      <c r="BJ215" s="54"/>
      <c r="BK215" s="54"/>
      <c r="BL215" s="54"/>
      <c r="BM215" s="54"/>
      <c r="BN215" s="54">
        <f t="shared" si="309"/>
        <v>0</v>
      </c>
      <c r="BO215" s="58">
        <f t="shared" si="310"/>
        <v>0</v>
      </c>
      <c r="BP215" s="54">
        <f t="shared" si="311"/>
        <v>0</v>
      </c>
      <c r="BQ215" s="54">
        <f t="shared" si="312"/>
        <v>802</v>
      </c>
      <c r="BR215" s="54">
        <f t="shared" si="313"/>
        <v>0</v>
      </c>
      <c r="BS215" s="54">
        <f t="shared" si="314"/>
        <v>802</v>
      </c>
      <c r="BT215" s="54">
        <f t="shared" si="315"/>
        <v>0</v>
      </c>
      <c r="BU215" s="54">
        <f t="shared" si="316"/>
        <v>0</v>
      </c>
      <c r="BV215" s="54">
        <f t="shared" si="317"/>
        <v>802</v>
      </c>
      <c r="BW215" s="54">
        <f t="shared" si="318"/>
        <v>0</v>
      </c>
      <c r="BX215" s="1"/>
      <c r="BY215" s="1"/>
      <c r="BZ215" s="1"/>
      <c r="CA215" s="1"/>
      <c r="CB215" s="1"/>
      <c r="CC215" s="1"/>
      <c r="CD215" s="1"/>
      <c r="CE215" s="1"/>
      <c r="CF215" s="1"/>
      <c r="CG215" s="1"/>
    </row>
    <row r="216" spans="1:85" ht="15.75" customHeight="1">
      <c r="A216" s="43" t="s">
        <v>514</v>
      </c>
      <c r="B216" s="416"/>
      <c r="C216" s="394" t="s">
        <v>504</v>
      </c>
      <c r="D216" s="82" t="s">
        <v>515</v>
      </c>
      <c r="E216" s="45"/>
      <c r="F216" s="46"/>
      <c r="G216" s="46"/>
      <c r="H216" s="46"/>
      <c r="I216" s="47"/>
      <c r="J216" s="47"/>
      <c r="K216" s="48">
        <v>1545</v>
      </c>
      <c r="L216" s="54"/>
      <c r="M216" s="54"/>
      <c r="N216" s="54"/>
      <c r="O216" s="51">
        <f t="shared" si="293"/>
        <v>0</v>
      </c>
      <c r="P216" s="51">
        <f t="shared" si="294"/>
        <v>0</v>
      </c>
      <c r="Q216" s="51">
        <f t="shared" si="295"/>
        <v>0</v>
      </c>
      <c r="R216" s="52">
        <f t="shared" si="319"/>
        <v>0</v>
      </c>
      <c r="S216" s="52">
        <f t="shared" si="320"/>
        <v>0</v>
      </c>
      <c r="T216" s="52">
        <f t="shared" si="321"/>
        <v>0</v>
      </c>
      <c r="U216" s="369">
        <f t="shared" si="296"/>
        <v>1545</v>
      </c>
      <c r="V216" s="369">
        <f t="shared" si="297"/>
        <v>0</v>
      </c>
      <c r="W216" s="369">
        <f t="shared" si="298"/>
        <v>0</v>
      </c>
      <c r="X216" s="53">
        <f t="shared" si="285"/>
        <v>0</v>
      </c>
      <c r="Y216" s="53">
        <f t="shared" si="286"/>
        <v>0</v>
      </c>
      <c r="Z216" s="53">
        <f t="shared" si="287"/>
        <v>0</v>
      </c>
      <c r="AA216" s="54"/>
      <c r="AB216" s="54"/>
      <c r="AC216" s="54"/>
      <c r="AD216" s="54"/>
      <c r="AE216" s="55"/>
      <c r="AF216" s="55"/>
      <c r="AG216" s="55"/>
      <c r="AH216" s="55"/>
      <c r="AI216" s="54"/>
      <c r="AJ216" s="54"/>
      <c r="AK216" s="54"/>
      <c r="AL216" s="54"/>
      <c r="AM216" s="54"/>
      <c r="AN216" s="54"/>
      <c r="AO216" s="54"/>
      <c r="AP216" s="54"/>
      <c r="AQ216" s="54"/>
      <c r="AR216" s="54"/>
      <c r="AS216" s="54"/>
      <c r="AT216" s="54"/>
      <c r="AU216" s="54"/>
      <c r="AV216" s="54"/>
      <c r="AW216" s="54"/>
      <c r="AX216" s="54"/>
      <c r="AY216" s="54"/>
      <c r="AZ216" s="54"/>
      <c r="BA216" s="54"/>
      <c r="BB216" s="54"/>
      <c r="BC216" s="54"/>
      <c r="BD216" s="54"/>
      <c r="BE216" s="54"/>
      <c r="BF216" s="54"/>
      <c r="BG216" s="54"/>
      <c r="BH216" s="54"/>
      <c r="BI216" s="54"/>
      <c r="BJ216" s="54"/>
      <c r="BK216" s="54"/>
      <c r="BL216" s="54"/>
      <c r="BM216" s="54"/>
      <c r="BN216" s="54">
        <f t="shared" si="309"/>
        <v>0</v>
      </c>
      <c r="BO216" s="58">
        <f t="shared" si="310"/>
        <v>0</v>
      </c>
      <c r="BP216" s="54">
        <f t="shared" si="311"/>
        <v>0</v>
      </c>
      <c r="BQ216" s="54">
        <f t="shared" si="312"/>
        <v>1545</v>
      </c>
      <c r="BR216" s="54">
        <f t="shared" si="313"/>
        <v>0</v>
      </c>
      <c r="BS216" s="54">
        <f t="shared" si="314"/>
        <v>1545</v>
      </c>
      <c r="BT216" s="54">
        <f t="shared" si="315"/>
        <v>0</v>
      </c>
      <c r="BU216" s="54">
        <f t="shared" si="316"/>
        <v>0</v>
      </c>
      <c r="BV216" s="54">
        <f t="shared" si="317"/>
        <v>1545</v>
      </c>
      <c r="BW216" s="54">
        <f t="shared" si="318"/>
        <v>0</v>
      </c>
      <c r="BX216" s="1"/>
      <c r="BY216" s="1"/>
      <c r="BZ216" s="1"/>
      <c r="CA216" s="1"/>
      <c r="CB216" s="1"/>
      <c r="CC216" s="1"/>
      <c r="CD216" s="1"/>
      <c r="CE216" s="1"/>
      <c r="CF216" s="1"/>
      <c r="CG216" s="1"/>
    </row>
    <row r="217" spans="1:85" ht="15.75" customHeight="1">
      <c r="A217" s="43" t="s">
        <v>516</v>
      </c>
      <c r="B217" s="416"/>
      <c r="C217" s="394" t="s">
        <v>504</v>
      </c>
      <c r="D217" s="82" t="s">
        <v>517</v>
      </c>
      <c r="E217" s="45"/>
      <c r="F217" s="46"/>
      <c r="G217" s="46"/>
      <c r="H217" s="46"/>
      <c r="I217" s="47"/>
      <c r="J217" s="47"/>
      <c r="K217" s="48">
        <v>786</v>
      </c>
      <c r="L217" s="54"/>
      <c r="M217" s="54"/>
      <c r="N217" s="54"/>
      <c r="O217" s="51">
        <f t="shared" si="293"/>
        <v>0</v>
      </c>
      <c r="P217" s="51">
        <f t="shared" si="294"/>
        <v>0</v>
      </c>
      <c r="Q217" s="51">
        <f t="shared" si="295"/>
        <v>0</v>
      </c>
      <c r="R217" s="52">
        <f t="shared" si="319"/>
        <v>0</v>
      </c>
      <c r="S217" s="52">
        <f t="shared" si="320"/>
        <v>0</v>
      </c>
      <c r="T217" s="52">
        <f t="shared" si="321"/>
        <v>0</v>
      </c>
      <c r="U217" s="369">
        <f t="shared" si="296"/>
        <v>786</v>
      </c>
      <c r="V217" s="369">
        <f t="shared" si="297"/>
        <v>0</v>
      </c>
      <c r="W217" s="369">
        <f t="shared" si="298"/>
        <v>0</v>
      </c>
      <c r="X217" s="53">
        <f t="shared" si="285"/>
        <v>0</v>
      </c>
      <c r="Y217" s="53">
        <f t="shared" si="286"/>
        <v>0</v>
      </c>
      <c r="Z217" s="53">
        <f t="shared" si="287"/>
        <v>0</v>
      </c>
      <c r="AA217" s="54"/>
      <c r="AB217" s="54"/>
      <c r="AC217" s="54"/>
      <c r="AD217" s="54"/>
      <c r="AE217" s="55"/>
      <c r="AF217" s="55"/>
      <c r="AG217" s="55"/>
      <c r="AH217" s="55"/>
      <c r="AI217" s="54"/>
      <c r="AJ217" s="54"/>
      <c r="AK217" s="54"/>
      <c r="AL217" s="54"/>
      <c r="AM217" s="54"/>
      <c r="AN217" s="54"/>
      <c r="AO217" s="54"/>
      <c r="AP217" s="54"/>
      <c r="AQ217" s="54"/>
      <c r="AR217" s="54"/>
      <c r="AS217" s="54"/>
      <c r="AT217" s="54"/>
      <c r="AU217" s="54"/>
      <c r="AV217" s="54"/>
      <c r="AW217" s="54"/>
      <c r="AX217" s="54"/>
      <c r="AY217" s="54"/>
      <c r="AZ217" s="54"/>
      <c r="BA217" s="54"/>
      <c r="BB217" s="54"/>
      <c r="BC217" s="54"/>
      <c r="BD217" s="54"/>
      <c r="BE217" s="54"/>
      <c r="BF217" s="54"/>
      <c r="BG217" s="54"/>
      <c r="BH217" s="54"/>
      <c r="BI217" s="54"/>
      <c r="BJ217" s="54"/>
      <c r="BK217" s="54"/>
      <c r="BL217" s="54"/>
      <c r="BM217" s="54"/>
      <c r="BN217" s="54">
        <f t="shared" si="309"/>
        <v>0</v>
      </c>
      <c r="BO217" s="58">
        <f t="shared" si="310"/>
        <v>0</v>
      </c>
      <c r="BP217" s="54">
        <f t="shared" si="311"/>
        <v>0</v>
      </c>
      <c r="BQ217" s="54">
        <f t="shared" si="312"/>
        <v>786</v>
      </c>
      <c r="BR217" s="54">
        <f t="shared" si="313"/>
        <v>0</v>
      </c>
      <c r="BS217" s="54">
        <f t="shared" si="314"/>
        <v>786</v>
      </c>
      <c r="BT217" s="54">
        <f t="shared" si="315"/>
        <v>0</v>
      </c>
      <c r="BU217" s="54">
        <f t="shared" si="316"/>
        <v>0</v>
      </c>
      <c r="BV217" s="54">
        <f t="shared" si="317"/>
        <v>786</v>
      </c>
      <c r="BW217" s="54">
        <f t="shared" si="318"/>
        <v>0</v>
      </c>
      <c r="BX217" s="1"/>
      <c r="BY217" s="1"/>
      <c r="BZ217" s="1"/>
      <c r="CA217" s="1"/>
      <c r="CB217" s="1"/>
      <c r="CC217" s="1"/>
      <c r="CD217" s="1"/>
      <c r="CE217" s="1"/>
      <c r="CF217" s="1"/>
      <c r="CG217" s="1"/>
    </row>
    <row r="218" spans="1:85" ht="15.75" customHeight="1">
      <c r="A218" s="56"/>
      <c r="B218" s="416"/>
      <c r="C218" s="394" t="s">
        <v>518</v>
      </c>
      <c r="D218" s="78" t="s">
        <v>519</v>
      </c>
      <c r="E218" s="45">
        <v>2000</v>
      </c>
      <c r="F218" s="46"/>
      <c r="G218" s="46">
        <f t="shared" ref="G218:G233" si="322">E218-F218</f>
        <v>2000</v>
      </c>
      <c r="H218" s="46"/>
      <c r="I218" s="47">
        <f t="shared" ref="I218:I233" si="323">IF(G218&gt;0,K218/G218,0)</f>
        <v>0</v>
      </c>
      <c r="J218" s="47">
        <f t="shared" ref="J218:J233" si="324">IF(G218&gt;0,O218/G218,0)</f>
        <v>0</v>
      </c>
      <c r="K218" s="54"/>
      <c r="L218" s="54"/>
      <c r="M218" s="54"/>
      <c r="N218" s="54"/>
      <c r="O218" s="51">
        <f t="shared" si="293"/>
        <v>0</v>
      </c>
      <c r="P218" s="51">
        <f t="shared" si="294"/>
        <v>0</v>
      </c>
      <c r="Q218" s="51">
        <f t="shared" si="295"/>
        <v>0</v>
      </c>
      <c r="R218" s="52">
        <f t="shared" si="319"/>
        <v>0</v>
      </c>
      <c r="S218" s="52">
        <f t="shared" si="320"/>
        <v>0</v>
      </c>
      <c r="T218" s="52">
        <f t="shared" si="321"/>
        <v>0</v>
      </c>
      <c r="U218" s="369">
        <f t="shared" si="296"/>
        <v>0</v>
      </c>
      <c r="V218" s="369">
        <f t="shared" si="297"/>
        <v>0</v>
      </c>
      <c r="W218" s="369">
        <f t="shared" si="298"/>
        <v>0</v>
      </c>
      <c r="X218" s="53">
        <f t="shared" si="285"/>
        <v>0</v>
      </c>
      <c r="Y218" s="53">
        <f t="shared" si="286"/>
        <v>0</v>
      </c>
      <c r="Z218" s="53">
        <f t="shared" si="287"/>
        <v>0</v>
      </c>
      <c r="AA218" s="54"/>
      <c r="AB218" s="54"/>
      <c r="AC218" s="54"/>
      <c r="AD218" s="54"/>
      <c r="AE218" s="55"/>
      <c r="AF218" s="55"/>
      <c r="AG218" s="55"/>
      <c r="AH218" s="55"/>
      <c r="AI218" s="54"/>
      <c r="AJ218" s="54"/>
      <c r="AK218" s="54"/>
      <c r="AL218" s="54"/>
      <c r="AM218" s="54"/>
      <c r="AN218" s="54"/>
      <c r="AO218" s="54"/>
      <c r="AP218" s="54"/>
      <c r="AQ218" s="54"/>
      <c r="AR218" s="54"/>
      <c r="AS218" s="54"/>
      <c r="AT218" s="54"/>
      <c r="AU218" s="54"/>
      <c r="AV218" s="54"/>
      <c r="AW218" s="54"/>
      <c r="AX218" s="54"/>
      <c r="AY218" s="54"/>
      <c r="AZ218" s="54"/>
      <c r="BA218" s="54"/>
      <c r="BB218" s="54"/>
      <c r="BC218" s="54"/>
      <c r="BD218" s="54"/>
      <c r="BE218" s="54"/>
      <c r="BF218" s="54"/>
      <c r="BG218" s="54"/>
      <c r="BH218" s="54"/>
      <c r="BI218" s="54"/>
      <c r="BJ218" s="54"/>
      <c r="BK218" s="54"/>
      <c r="BL218" s="54"/>
      <c r="BM218" s="54"/>
      <c r="BN218" s="54">
        <f t="shared" si="309"/>
        <v>0</v>
      </c>
      <c r="BO218" s="58">
        <f t="shared" si="310"/>
        <v>0</v>
      </c>
      <c r="BP218" s="54">
        <f t="shared" si="311"/>
        <v>0</v>
      </c>
      <c r="BQ218" s="54">
        <f t="shared" si="312"/>
        <v>0</v>
      </c>
      <c r="BR218" s="54">
        <f t="shared" si="313"/>
        <v>0</v>
      </c>
      <c r="BS218" s="54">
        <f t="shared" si="314"/>
        <v>0</v>
      </c>
      <c r="BT218" s="54">
        <f t="shared" si="315"/>
        <v>0</v>
      </c>
      <c r="BU218" s="54">
        <f t="shared" si="316"/>
        <v>0</v>
      </c>
      <c r="BV218" s="54">
        <f t="shared" si="317"/>
        <v>0</v>
      </c>
      <c r="BW218" s="54">
        <f t="shared" si="318"/>
        <v>0</v>
      </c>
      <c r="BX218" s="1"/>
      <c r="BY218" s="1"/>
      <c r="BZ218" s="1"/>
      <c r="CA218" s="1"/>
      <c r="CB218" s="1"/>
      <c r="CC218" s="1"/>
      <c r="CD218" s="1"/>
      <c r="CE218" s="1"/>
      <c r="CF218" s="1"/>
      <c r="CG218" s="1"/>
    </row>
    <row r="219" spans="1:85" ht="15.75" customHeight="1">
      <c r="A219" s="56"/>
      <c r="B219" s="416"/>
      <c r="C219" s="394" t="s">
        <v>224</v>
      </c>
      <c r="D219" s="44" t="s">
        <v>520</v>
      </c>
      <c r="E219" s="45">
        <v>5000</v>
      </c>
      <c r="F219" s="46"/>
      <c r="G219" s="46">
        <f t="shared" si="322"/>
        <v>5000</v>
      </c>
      <c r="H219" s="46"/>
      <c r="I219" s="47">
        <f t="shared" si="323"/>
        <v>0</v>
      </c>
      <c r="J219" s="47">
        <f t="shared" si="324"/>
        <v>0</v>
      </c>
      <c r="K219" s="54"/>
      <c r="L219" s="54"/>
      <c r="M219" s="54"/>
      <c r="N219" s="54"/>
      <c r="O219" s="51">
        <f t="shared" si="293"/>
        <v>0</v>
      </c>
      <c r="P219" s="51">
        <f t="shared" si="294"/>
        <v>0</v>
      </c>
      <c r="Q219" s="51">
        <f t="shared" si="295"/>
        <v>0</v>
      </c>
      <c r="R219" s="52">
        <f t="shared" si="319"/>
        <v>0</v>
      </c>
      <c r="S219" s="52">
        <f t="shared" si="320"/>
        <v>0</v>
      </c>
      <c r="T219" s="52">
        <f t="shared" si="321"/>
        <v>0</v>
      </c>
      <c r="U219" s="369">
        <f t="shared" si="296"/>
        <v>0</v>
      </c>
      <c r="V219" s="369">
        <f t="shared" si="297"/>
        <v>0</v>
      </c>
      <c r="W219" s="369">
        <f t="shared" si="298"/>
        <v>0</v>
      </c>
      <c r="X219" s="53">
        <f t="shared" si="285"/>
        <v>0</v>
      </c>
      <c r="Y219" s="53">
        <f t="shared" si="286"/>
        <v>0</v>
      </c>
      <c r="Z219" s="53">
        <f t="shared" si="287"/>
        <v>0</v>
      </c>
      <c r="AA219" s="54"/>
      <c r="AB219" s="54"/>
      <c r="AC219" s="54"/>
      <c r="AD219" s="54"/>
      <c r="AE219" s="55"/>
      <c r="AF219" s="55"/>
      <c r="AG219" s="55"/>
      <c r="AH219" s="55"/>
      <c r="AI219" s="54"/>
      <c r="AJ219" s="54"/>
      <c r="AK219" s="54"/>
      <c r="AL219" s="54"/>
      <c r="AM219" s="54"/>
      <c r="AN219" s="54"/>
      <c r="AO219" s="54"/>
      <c r="AP219" s="54"/>
      <c r="AQ219" s="54"/>
      <c r="AR219" s="54"/>
      <c r="AS219" s="54"/>
      <c r="AT219" s="54"/>
      <c r="AU219" s="54"/>
      <c r="AV219" s="54"/>
      <c r="AW219" s="54"/>
      <c r="AX219" s="54"/>
      <c r="AY219" s="54"/>
      <c r="AZ219" s="54"/>
      <c r="BA219" s="54"/>
      <c r="BB219" s="54"/>
      <c r="BC219" s="54"/>
      <c r="BD219" s="54"/>
      <c r="BE219" s="54"/>
      <c r="BF219" s="54"/>
      <c r="BG219" s="54"/>
      <c r="BH219" s="54"/>
      <c r="BI219" s="54"/>
      <c r="BJ219" s="54"/>
      <c r="BK219" s="54"/>
      <c r="BL219" s="54"/>
      <c r="BM219" s="54"/>
      <c r="BN219" s="54">
        <f t="shared" si="309"/>
        <v>0</v>
      </c>
      <c r="BO219" s="58">
        <f t="shared" si="310"/>
        <v>0</v>
      </c>
      <c r="BP219" s="54">
        <f t="shared" si="311"/>
        <v>0</v>
      </c>
      <c r="BQ219" s="54">
        <f t="shared" si="312"/>
        <v>0</v>
      </c>
      <c r="BR219" s="54">
        <f t="shared" si="313"/>
        <v>0</v>
      </c>
      <c r="BS219" s="54">
        <f t="shared" si="314"/>
        <v>0</v>
      </c>
      <c r="BT219" s="54">
        <f t="shared" si="315"/>
        <v>0</v>
      </c>
      <c r="BU219" s="54">
        <f t="shared" si="316"/>
        <v>0</v>
      </c>
      <c r="BV219" s="54">
        <f t="shared" si="317"/>
        <v>0</v>
      </c>
      <c r="BW219" s="54">
        <f t="shared" si="318"/>
        <v>0</v>
      </c>
      <c r="BX219" s="1"/>
      <c r="BY219" s="1"/>
      <c r="BZ219" s="1"/>
      <c r="CA219" s="1"/>
      <c r="CB219" s="1"/>
      <c r="CC219" s="1"/>
      <c r="CD219" s="1"/>
      <c r="CE219" s="1"/>
      <c r="CF219" s="1"/>
      <c r="CG219" s="1"/>
    </row>
    <row r="220" spans="1:85" ht="15.75" customHeight="1">
      <c r="A220" s="43" t="s">
        <v>521</v>
      </c>
      <c r="B220" s="416"/>
      <c r="C220" s="394" t="s">
        <v>122</v>
      </c>
      <c r="D220" s="44" t="s">
        <v>522</v>
      </c>
      <c r="E220" s="45">
        <v>5000</v>
      </c>
      <c r="F220" s="46"/>
      <c r="G220" s="46">
        <f t="shared" si="322"/>
        <v>5000</v>
      </c>
      <c r="H220" s="46"/>
      <c r="I220" s="47">
        <f t="shared" si="323"/>
        <v>0.6</v>
      </c>
      <c r="J220" s="47">
        <f t="shared" si="324"/>
        <v>0.42078999999999994</v>
      </c>
      <c r="K220" s="48">
        <f>2000+1000</f>
        <v>3000</v>
      </c>
      <c r="L220" s="54"/>
      <c r="M220" s="54"/>
      <c r="N220" s="54"/>
      <c r="O220" s="51">
        <f t="shared" si="293"/>
        <v>2103.9499999999998</v>
      </c>
      <c r="P220" s="51">
        <f t="shared" si="294"/>
        <v>0</v>
      </c>
      <c r="Q220" s="51">
        <f t="shared" si="295"/>
        <v>0</v>
      </c>
      <c r="R220" s="52">
        <f t="shared" si="319"/>
        <v>2103.9499999999998</v>
      </c>
      <c r="S220" s="52">
        <f t="shared" si="320"/>
        <v>0</v>
      </c>
      <c r="T220" s="52">
        <f t="shared" si="321"/>
        <v>0</v>
      </c>
      <c r="U220" s="368">
        <f t="shared" si="296"/>
        <v>896.05000000000018</v>
      </c>
      <c r="V220" s="369">
        <f t="shared" si="297"/>
        <v>0</v>
      </c>
      <c r="W220" s="369">
        <f t="shared" si="298"/>
        <v>0</v>
      </c>
      <c r="X220" s="53">
        <f t="shared" si="285"/>
        <v>0.70131666666666659</v>
      </c>
      <c r="Y220" s="53">
        <f t="shared" si="286"/>
        <v>0</v>
      </c>
      <c r="Z220" s="53">
        <f t="shared" si="287"/>
        <v>0</v>
      </c>
      <c r="AA220" s="54"/>
      <c r="AB220" s="54"/>
      <c r="AC220" s="54"/>
      <c r="AD220" s="54"/>
      <c r="AE220" s="55"/>
      <c r="AF220" s="55"/>
      <c r="AG220" s="55"/>
      <c r="AH220" s="55"/>
      <c r="AI220" s="54"/>
      <c r="AJ220" s="54"/>
      <c r="AK220" s="54"/>
      <c r="AL220" s="54"/>
      <c r="AM220" s="54">
        <f>360.5+88.5</f>
        <v>449</v>
      </c>
      <c r="AN220" s="54"/>
      <c r="AO220" s="54"/>
      <c r="AP220" s="54"/>
      <c r="AQ220" s="54"/>
      <c r="AR220" s="54"/>
      <c r="AS220" s="54"/>
      <c r="AT220" s="54"/>
      <c r="AU220" s="54"/>
      <c r="AV220" s="54">
        <f>451.35+150.45+150.45</f>
        <v>752.25</v>
      </c>
      <c r="AW220" s="54"/>
      <c r="AX220" s="54"/>
      <c r="AY220" s="54">
        <f>752.25+150.45</f>
        <v>902.7</v>
      </c>
      <c r="AZ220" s="54"/>
      <c r="BA220" s="54"/>
      <c r="BB220" s="54"/>
      <c r="BC220" s="54"/>
      <c r="BD220" s="54"/>
      <c r="BE220" s="54"/>
      <c r="BF220" s="54"/>
      <c r="BG220" s="54"/>
      <c r="BH220" s="54"/>
      <c r="BI220" s="54"/>
      <c r="BJ220" s="54"/>
      <c r="BK220" s="54"/>
      <c r="BL220" s="54"/>
      <c r="BM220" s="54"/>
      <c r="BN220" s="54">
        <f t="shared" si="309"/>
        <v>2103.9499999999998</v>
      </c>
      <c r="BO220" s="58">
        <f t="shared" si="310"/>
        <v>0</v>
      </c>
      <c r="BP220" s="54">
        <f t="shared" si="311"/>
        <v>2103.9499999999998</v>
      </c>
      <c r="BQ220" s="54">
        <f t="shared" si="312"/>
        <v>896.05000000000018</v>
      </c>
      <c r="BR220" s="54">
        <f t="shared" si="313"/>
        <v>0</v>
      </c>
      <c r="BS220" s="54">
        <f t="shared" si="314"/>
        <v>896.05000000000018</v>
      </c>
      <c r="BT220" s="54">
        <f t="shared" si="315"/>
        <v>0</v>
      </c>
      <c r="BU220" s="54">
        <f t="shared" si="316"/>
        <v>2103.9499999999998</v>
      </c>
      <c r="BV220" s="54">
        <f t="shared" si="317"/>
        <v>896.05000000000018</v>
      </c>
      <c r="BW220" s="54">
        <f t="shared" si="318"/>
        <v>2103.9499999999998</v>
      </c>
      <c r="BX220" s="1"/>
      <c r="BY220" s="1"/>
      <c r="BZ220" s="1"/>
      <c r="CA220" s="1"/>
      <c r="CB220" s="1"/>
      <c r="CC220" s="1"/>
      <c r="CD220" s="1"/>
      <c r="CE220" s="1"/>
      <c r="CF220" s="1"/>
      <c r="CG220" s="1"/>
    </row>
    <row r="221" spans="1:85" ht="15.75" customHeight="1">
      <c r="A221" s="56"/>
      <c r="B221" s="416"/>
      <c r="C221" s="394" t="s">
        <v>122</v>
      </c>
      <c r="D221" s="44" t="s">
        <v>523</v>
      </c>
      <c r="E221" s="45">
        <v>4000</v>
      </c>
      <c r="F221" s="46"/>
      <c r="G221" s="46">
        <f t="shared" si="322"/>
        <v>4000</v>
      </c>
      <c r="H221" s="46"/>
      <c r="I221" s="47">
        <f t="shared" si="323"/>
        <v>0</v>
      </c>
      <c r="J221" s="47">
        <f t="shared" si="324"/>
        <v>0</v>
      </c>
      <c r="K221" s="54"/>
      <c r="L221" s="54"/>
      <c r="M221" s="54"/>
      <c r="N221" s="54"/>
      <c r="O221" s="51">
        <f t="shared" si="293"/>
        <v>0</v>
      </c>
      <c r="P221" s="51">
        <f t="shared" si="294"/>
        <v>0</v>
      </c>
      <c r="Q221" s="51">
        <f t="shared" si="295"/>
        <v>0</v>
      </c>
      <c r="R221" s="52">
        <f t="shared" si="319"/>
        <v>0</v>
      </c>
      <c r="S221" s="52">
        <f t="shared" si="320"/>
        <v>0</v>
      </c>
      <c r="T221" s="52">
        <f t="shared" si="321"/>
        <v>0</v>
      </c>
      <c r="U221" s="369">
        <f t="shared" si="296"/>
        <v>0</v>
      </c>
      <c r="V221" s="369">
        <f t="shared" si="297"/>
        <v>0</v>
      </c>
      <c r="W221" s="369">
        <f t="shared" si="298"/>
        <v>0</v>
      </c>
      <c r="X221" s="53">
        <f t="shared" si="285"/>
        <v>0</v>
      </c>
      <c r="Y221" s="53">
        <f t="shared" si="286"/>
        <v>0</v>
      </c>
      <c r="Z221" s="53">
        <f t="shared" si="287"/>
        <v>0</v>
      </c>
      <c r="AA221" s="54"/>
      <c r="AB221" s="54"/>
      <c r="AC221" s="54"/>
      <c r="AD221" s="54"/>
      <c r="AE221" s="55"/>
      <c r="AF221" s="55"/>
      <c r="AG221" s="55"/>
      <c r="AH221" s="55"/>
      <c r="AI221" s="54"/>
      <c r="AJ221" s="54"/>
      <c r="AK221" s="54"/>
      <c r="AL221" s="54"/>
      <c r="AM221" s="54"/>
      <c r="AN221" s="54"/>
      <c r="AO221" s="54"/>
      <c r="AP221" s="54"/>
      <c r="AQ221" s="54"/>
      <c r="AR221" s="54"/>
      <c r="AS221" s="54"/>
      <c r="AT221" s="54"/>
      <c r="AU221" s="54"/>
      <c r="AV221" s="54"/>
      <c r="AW221" s="54"/>
      <c r="AX221" s="54"/>
      <c r="AY221" s="54"/>
      <c r="AZ221" s="54"/>
      <c r="BA221" s="54"/>
      <c r="BB221" s="54"/>
      <c r="BC221" s="54"/>
      <c r="BD221" s="54"/>
      <c r="BE221" s="54"/>
      <c r="BF221" s="54"/>
      <c r="BG221" s="54"/>
      <c r="BH221" s="54"/>
      <c r="BI221" s="54"/>
      <c r="BJ221" s="54"/>
      <c r="BK221" s="54"/>
      <c r="BL221" s="54"/>
      <c r="BM221" s="54"/>
      <c r="BN221" s="54">
        <f t="shared" si="309"/>
        <v>0</v>
      </c>
      <c r="BO221" s="58">
        <f t="shared" si="310"/>
        <v>0</v>
      </c>
      <c r="BP221" s="54">
        <f t="shared" si="311"/>
        <v>0</v>
      </c>
      <c r="BQ221" s="54">
        <f t="shared" si="312"/>
        <v>0</v>
      </c>
      <c r="BR221" s="54">
        <f t="shared" si="313"/>
        <v>0</v>
      </c>
      <c r="BS221" s="54">
        <f t="shared" si="314"/>
        <v>0</v>
      </c>
      <c r="BT221" s="54">
        <f t="shared" si="315"/>
        <v>0</v>
      </c>
      <c r="BU221" s="54">
        <f t="shared" si="316"/>
        <v>0</v>
      </c>
      <c r="BV221" s="54">
        <f t="shared" si="317"/>
        <v>0</v>
      </c>
      <c r="BW221" s="54">
        <f t="shared" si="318"/>
        <v>0</v>
      </c>
      <c r="BX221" s="1"/>
      <c r="BY221" s="1"/>
      <c r="BZ221" s="1"/>
      <c r="CA221" s="1"/>
      <c r="CB221" s="1"/>
      <c r="CC221" s="1"/>
      <c r="CD221" s="1"/>
      <c r="CE221" s="1"/>
      <c r="CF221" s="1"/>
      <c r="CG221" s="1"/>
    </row>
    <row r="222" spans="1:85" ht="15.75" customHeight="1">
      <c r="A222" s="103"/>
      <c r="B222" s="426"/>
      <c r="C222" s="394" t="s">
        <v>409</v>
      </c>
      <c r="D222" s="86" t="s">
        <v>524</v>
      </c>
      <c r="E222" s="45">
        <v>0</v>
      </c>
      <c r="F222" s="46"/>
      <c r="G222" s="46">
        <f t="shared" si="322"/>
        <v>0</v>
      </c>
      <c r="H222" s="46">
        <v>40000</v>
      </c>
      <c r="I222" s="47">
        <f t="shared" si="323"/>
        <v>0</v>
      </c>
      <c r="J222" s="47">
        <f t="shared" si="324"/>
        <v>0</v>
      </c>
      <c r="K222" s="54"/>
      <c r="L222" s="54"/>
      <c r="M222" s="54"/>
      <c r="N222" s="54"/>
      <c r="O222" s="51">
        <f t="shared" si="293"/>
        <v>0</v>
      </c>
      <c r="P222" s="51">
        <f t="shared" si="294"/>
        <v>0</v>
      </c>
      <c r="Q222" s="51">
        <f t="shared" si="295"/>
        <v>0</v>
      </c>
      <c r="R222" s="52">
        <f t="shared" si="319"/>
        <v>0</v>
      </c>
      <c r="S222" s="52">
        <f t="shared" si="320"/>
        <v>0</v>
      </c>
      <c r="T222" s="52">
        <f t="shared" si="321"/>
        <v>0</v>
      </c>
      <c r="U222" s="369">
        <f t="shared" si="296"/>
        <v>0</v>
      </c>
      <c r="V222" s="369">
        <f t="shared" si="297"/>
        <v>0</v>
      </c>
      <c r="W222" s="369">
        <f t="shared" si="298"/>
        <v>0</v>
      </c>
      <c r="X222" s="53">
        <f t="shared" si="285"/>
        <v>0</v>
      </c>
      <c r="Y222" s="53">
        <f t="shared" si="286"/>
        <v>0</v>
      </c>
      <c r="Z222" s="53">
        <f t="shared" si="287"/>
        <v>0</v>
      </c>
      <c r="AA222" s="54"/>
      <c r="AB222" s="54"/>
      <c r="AC222" s="54"/>
      <c r="AD222" s="54"/>
      <c r="AE222" s="55"/>
      <c r="AF222" s="55"/>
      <c r="AG222" s="55"/>
      <c r="AH222" s="55"/>
      <c r="AI222" s="54"/>
      <c r="AJ222" s="54"/>
      <c r="AK222" s="54"/>
      <c r="AL222" s="54"/>
      <c r="AM222" s="54"/>
      <c r="AN222" s="54"/>
      <c r="AO222" s="54"/>
      <c r="AP222" s="54"/>
      <c r="AQ222" s="54"/>
      <c r="AR222" s="54"/>
      <c r="AS222" s="54"/>
      <c r="AT222" s="54"/>
      <c r="AU222" s="54"/>
      <c r="AV222" s="54"/>
      <c r="AW222" s="54"/>
      <c r="AX222" s="54"/>
      <c r="AY222" s="54"/>
      <c r="AZ222" s="54"/>
      <c r="BA222" s="54"/>
      <c r="BB222" s="54"/>
      <c r="BC222" s="54"/>
      <c r="BD222" s="54"/>
      <c r="BE222" s="54"/>
      <c r="BF222" s="54"/>
      <c r="BG222" s="54"/>
      <c r="BH222" s="54"/>
      <c r="BI222" s="54"/>
      <c r="BJ222" s="54"/>
      <c r="BK222" s="54"/>
      <c r="BL222" s="54"/>
      <c r="BM222" s="54"/>
      <c r="BN222" s="54">
        <f t="shared" si="309"/>
        <v>0</v>
      </c>
      <c r="BO222" s="58">
        <f t="shared" si="310"/>
        <v>0</v>
      </c>
      <c r="BP222" s="54">
        <f t="shared" si="311"/>
        <v>0</v>
      </c>
      <c r="BQ222" s="54">
        <f t="shared" si="312"/>
        <v>0</v>
      </c>
      <c r="BR222" s="54">
        <f t="shared" si="313"/>
        <v>0</v>
      </c>
      <c r="BS222" s="54">
        <f t="shared" si="314"/>
        <v>0</v>
      </c>
      <c r="BT222" s="54">
        <f t="shared" si="315"/>
        <v>0</v>
      </c>
      <c r="BU222" s="54">
        <f t="shared" si="316"/>
        <v>0</v>
      </c>
      <c r="BV222" s="54">
        <f t="shared" si="317"/>
        <v>0</v>
      </c>
      <c r="BW222" s="54">
        <f t="shared" si="318"/>
        <v>0</v>
      </c>
      <c r="BX222" s="1"/>
      <c r="BY222" s="1"/>
      <c r="BZ222" s="1"/>
      <c r="CA222" s="1"/>
      <c r="CB222" s="1"/>
      <c r="CC222" s="1"/>
      <c r="CD222" s="1"/>
      <c r="CE222" s="1"/>
      <c r="CF222" s="1"/>
      <c r="CG222" s="1"/>
    </row>
    <row r="223" spans="1:85" ht="15.75" customHeight="1">
      <c r="A223" s="81" t="s">
        <v>525</v>
      </c>
      <c r="B223" s="429" t="s">
        <v>526</v>
      </c>
      <c r="C223" s="394" t="s">
        <v>226</v>
      </c>
      <c r="D223" s="160" t="s">
        <v>527</v>
      </c>
      <c r="E223" s="45">
        <v>80000</v>
      </c>
      <c r="F223" s="92"/>
      <c r="G223" s="46">
        <f t="shared" si="322"/>
        <v>80000</v>
      </c>
      <c r="H223" s="46"/>
      <c r="I223" s="47">
        <f t="shared" si="323"/>
        <v>0</v>
      </c>
      <c r="J223" s="47">
        <f t="shared" si="324"/>
        <v>0</v>
      </c>
      <c r="K223" s="48"/>
      <c r="L223" s="54">
        <v>15884.02</v>
      </c>
      <c r="M223" s="54"/>
      <c r="N223" s="161">
        <f>25409.36+4801.63-17166.9-9610.71</f>
        <v>3433.380000000001</v>
      </c>
      <c r="O223" s="51">
        <f t="shared" si="293"/>
        <v>0</v>
      </c>
      <c r="P223" s="51">
        <f t="shared" si="294"/>
        <v>15884.02</v>
      </c>
      <c r="Q223" s="51">
        <f t="shared" si="295"/>
        <v>3433.380000000001</v>
      </c>
      <c r="R223" s="52">
        <f t="shared" si="319"/>
        <v>0</v>
      </c>
      <c r="S223" s="52">
        <f t="shared" si="320"/>
        <v>15884.02</v>
      </c>
      <c r="T223" s="52">
        <f t="shared" si="321"/>
        <v>3433.380000000001</v>
      </c>
      <c r="U223" s="369">
        <f t="shared" si="296"/>
        <v>0</v>
      </c>
      <c r="V223" s="369">
        <f t="shared" si="297"/>
        <v>0</v>
      </c>
      <c r="W223" s="368">
        <f t="shared" si="298"/>
        <v>0</v>
      </c>
      <c r="X223" s="53">
        <f t="shared" si="285"/>
        <v>0</v>
      </c>
      <c r="Y223" s="53">
        <f t="shared" si="286"/>
        <v>1</v>
      </c>
      <c r="Z223" s="53">
        <f t="shared" si="287"/>
        <v>1</v>
      </c>
      <c r="AA223" s="54"/>
      <c r="AB223" s="48">
        <v>3176.17</v>
      </c>
      <c r="AC223" s="54"/>
      <c r="AD223" s="54"/>
      <c r="AE223" s="76">
        <v>3176.17</v>
      </c>
      <c r="AF223" s="55"/>
      <c r="AG223" s="55"/>
      <c r="AH223" s="48">
        <v>3176.17</v>
      </c>
      <c r="AI223" s="48"/>
      <c r="AJ223" s="54"/>
      <c r="AK223" s="48">
        <v>3176.17</v>
      </c>
      <c r="AL223" s="54"/>
      <c r="AM223" s="54"/>
      <c r="AN223" s="48">
        <v>3070.3</v>
      </c>
      <c r="AO223" s="54"/>
      <c r="AP223" s="54"/>
      <c r="AQ223" s="48">
        <v>109.04</v>
      </c>
      <c r="AR223" s="54">
        <f>3176.17+3067.13-5434.97+2258.8</f>
        <v>3067.13</v>
      </c>
      <c r="AS223" s="54"/>
      <c r="AT223" s="54"/>
      <c r="AU223" s="54">
        <f>3176.17+3367.41</f>
        <v>6543.58</v>
      </c>
      <c r="AV223" s="54"/>
      <c r="AW223" s="54"/>
      <c r="AX223" s="54">
        <f>3433.38</f>
        <v>3433.38</v>
      </c>
      <c r="AY223" s="54"/>
      <c r="AZ223" s="54"/>
      <c r="BA223" s="54">
        <f>-3067.13-3176.17-3367.41</f>
        <v>-9610.7099999999991</v>
      </c>
      <c r="BB223" s="54"/>
      <c r="BC223" s="54"/>
      <c r="BD223" s="54"/>
      <c r="BE223" s="54"/>
      <c r="BF223" s="54"/>
      <c r="BG223" s="54"/>
      <c r="BH223" s="54"/>
      <c r="BI223" s="54"/>
      <c r="BJ223" s="54"/>
      <c r="BK223" s="54"/>
      <c r="BL223" s="54"/>
      <c r="BM223" s="54"/>
      <c r="BN223" s="54">
        <f t="shared" si="309"/>
        <v>0</v>
      </c>
      <c r="BO223" s="58">
        <f t="shared" si="310"/>
        <v>3433.380000000001</v>
      </c>
      <c r="BP223" s="54">
        <f t="shared" si="311"/>
        <v>3433.380000000001</v>
      </c>
      <c r="BQ223" s="54">
        <f t="shared" si="312"/>
        <v>0</v>
      </c>
      <c r="BR223" s="54">
        <f t="shared" si="313"/>
        <v>0</v>
      </c>
      <c r="BS223" s="54">
        <f t="shared" si="314"/>
        <v>0</v>
      </c>
      <c r="BT223" s="54">
        <f t="shared" si="315"/>
        <v>0</v>
      </c>
      <c r="BU223" s="54">
        <f t="shared" si="316"/>
        <v>3433.380000000001</v>
      </c>
      <c r="BV223" s="54">
        <f t="shared" si="317"/>
        <v>0</v>
      </c>
      <c r="BW223" s="54">
        <f t="shared" si="318"/>
        <v>3433.380000000001</v>
      </c>
      <c r="BX223" s="1"/>
      <c r="BY223" s="1"/>
      <c r="BZ223" s="1"/>
      <c r="CA223" s="1"/>
      <c r="CB223" s="1"/>
      <c r="CC223" s="1"/>
      <c r="CD223" s="1"/>
      <c r="CE223" s="1"/>
      <c r="CF223" s="1"/>
      <c r="CG223" s="1"/>
    </row>
    <row r="224" spans="1:85" ht="15.75" customHeight="1">
      <c r="A224" s="83"/>
      <c r="B224" s="430" t="s">
        <v>528</v>
      </c>
      <c r="C224" s="394" t="s">
        <v>240</v>
      </c>
      <c r="D224" s="44" t="s">
        <v>529</v>
      </c>
      <c r="E224" s="45">
        <v>0</v>
      </c>
      <c r="F224" s="46"/>
      <c r="G224" s="46">
        <f t="shared" si="322"/>
        <v>0</v>
      </c>
      <c r="H224" s="46"/>
      <c r="I224" s="47">
        <f t="shared" si="323"/>
        <v>0</v>
      </c>
      <c r="J224" s="47">
        <f t="shared" si="324"/>
        <v>0</v>
      </c>
      <c r="K224" s="54"/>
      <c r="L224" s="54">
        <v>80063.320000000007</v>
      </c>
      <c r="M224" s="54"/>
      <c r="N224" s="54"/>
      <c r="O224" s="51">
        <f t="shared" si="293"/>
        <v>0</v>
      </c>
      <c r="P224" s="51">
        <f t="shared" si="294"/>
        <v>0</v>
      </c>
      <c r="Q224" s="51">
        <f t="shared" si="295"/>
        <v>0</v>
      </c>
      <c r="R224" s="52">
        <f t="shared" si="319"/>
        <v>0</v>
      </c>
      <c r="S224" s="52">
        <f t="shared" si="320"/>
        <v>0</v>
      </c>
      <c r="T224" s="52">
        <f t="shared" si="321"/>
        <v>0</v>
      </c>
      <c r="U224" s="369">
        <f t="shared" si="296"/>
        <v>0</v>
      </c>
      <c r="V224" s="369">
        <f t="shared" si="297"/>
        <v>80063.320000000007</v>
      </c>
      <c r="W224" s="369">
        <f t="shared" si="298"/>
        <v>0</v>
      </c>
      <c r="X224" s="53">
        <f t="shared" si="285"/>
        <v>0</v>
      </c>
      <c r="Y224" s="53">
        <f t="shared" si="286"/>
        <v>0</v>
      </c>
      <c r="Z224" s="53">
        <f t="shared" si="287"/>
        <v>0</v>
      </c>
      <c r="AA224" s="54"/>
      <c r="AB224" s="54"/>
      <c r="AC224" s="54"/>
      <c r="AD224" s="54"/>
      <c r="AE224" s="55"/>
      <c r="AF224" s="55"/>
      <c r="AG224" s="55"/>
      <c r="AH224" s="55"/>
      <c r="AI224" s="54"/>
      <c r="AJ224" s="54"/>
      <c r="AK224" s="54"/>
      <c r="AL224" s="54"/>
      <c r="AM224" s="54"/>
      <c r="AN224" s="54"/>
      <c r="AO224" s="54"/>
      <c r="AP224" s="54"/>
      <c r="AQ224" s="54"/>
      <c r="AR224" s="54"/>
      <c r="AS224" s="54"/>
      <c r="AT224" s="54"/>
      <c r="AU224" s="54"/>
      <c r="AV224" s="54"/>
      <c r="AW224" s="54"/>
      <c r="AX224" s="54"/>
      <c r="AY224" s="54"/>
      <c r="AZ224" s="54"/>
      <c r="BA224" s="54"/>
      <c r="BB224" s="54"/>
      <c r="BC224" s="54"/>
      <c r="BD224" s="54"/>
      <c r="BE224" s="54"/>
      <c r="BF224" s="54"/>
      <c r="BG224" s="54"/>
      <c r="BH224" s="54"/>
      <c r="BI224" s="54"/>
      <c r="BJ224" s="54"/>
      <c r="BK224" s="54"/>
      <c r="BL224" s="54"/>
      <c r="BM224" s="54"/>
      <c r="BN224" s="54">
        <f t="shared" si="309"/>
        <v>0</v>
      </c>
      <c r="BO224" s="58">
        <f t="shared" si="310"/>
        <v>0</v>
      </c>
      <c r="BP224" s="54">
        <f t="shared" si="311"/>
        <v>0</v>
      </c>
      <c r="BQ224" s="54">
        <f t="shared" si="312"/>
        <v>0</v>
      </c>
      <c r="BR224" s="54">
        <f t="shared" si="313"/>
        <v>0</v>
      </c>
      <c r="BS224" s="54">
        <f t="shared" si="314"/>
        <v>0</v>
      </c>
      <c r="BT224" s="54">
        <f t="shared" si="315"/>
        <v>80063.320000000007</v>
      </c>
      <c r="BU224" s="54">
        <f t="shared" si="316"/>
        <v>0</v>
      </c>
      <c r="BV224" s="54">
        <f t="shared" si="317"/>
        <v>0</v>
      </c>
      <c r="BW224" s="54">
        <f t="shared" si="318"/>
        <v>80063.320000000007</v>
      </c>
      <c r="BX224" s="1"/>
      <c r="BY224" s="1"/>
      <c r="BZ224" s="1"/>
      <c r="CA224" s="1"/>
      <c r="CB224" s="1"/>
      <c r="CC224" s="1"/>
      <c r="CD224" s="1"/>
      <c r="CE224" s="1"/>
      <c r="CF224" s="1"/>
      <c r="CG224" s="1"/>
    </row>
    <row r="225" spans="1:85" ht="15.75" customHeight="1">
      <c r="A225" s="83"/>
      <c r="B225" s="429" t="s">
        <v>530</v>
      </c>
      <c r="C225" s="394" t="s">
        <v>240</v>
      </c>
      <c r="D225" s="44" t="s">
        <v>529</v>
      </c>
      <c r="E225" s="45"/>
      <c r="F225" s="46"/>
      <c r="G225" s="46">
        <f t="shared" si="322"/>
        <v>0</v>
      </c>
      <c r="H225" s="46"/>
      <c r="I225" s="47">
        <f t="shared" si="323"/>
        <v>0</v>
      </c>
      <c r="J225" s="47">
        <f t="shared" si="324"/>
        <v>0</v>
      </c>
      <c r="K225" s="54"/>
      <c r="L225" s="54">
        <v>8256.6</v>
      </c>
      <c r="M225" s="54"/>
      <c r="N225" s="54"/>
      <c r="O225" s="51">
        <f t="shared" si="293"/>
        <v>0</v>
      </c>
      <c r="P225" s="51">
        <f t="shared" si="294"/>
        <v>0</v>
      </c>
      <c r="Q225" s="51">
        <f t="shared" si="295"/>
        <v>0</v>
      </c>
      <c r="R225" s="52">
        <f t="shared" si="319"/>
        <v>0</v>
      </c>
      <c r="S225" s="52">
        <f t="shared" si="320"/>
        <v>0</v>
      </c>
      <c r="T225" s="52">
        <f t="shared" si="321"/>
        <v>0</v>
      </c>
      <c r="U225" s="369">
        <f t="shared" si="296"/>
        <v>0</v>
      </c>
      <c r="V225" s="369">
        <f t="shared" si="297"/>
        <v>8256.6</v>
      </c>
      <c r="W225" s="369">
        <f t="shared" si="298"/>
        <v>0</v>
      </c>
      <c r="X225" s="53">
        <f t="shared" si="285"/>
        <v>0</v>
      </c>
      <c r="Y225" s="53">
        <f t="shared" si="286"/>
        <v>0</v>
      </c>
      <c r="Z225" s="53">
        <f t="shared" si="287"/>
        <v>0</v>
      </c>
      <c r="AA225" s="54"/>
      <c r="AB225" s="54"/>
      <c r="AC225" s="54"/>
      <c r="AD225" s="54"/>
      <c r="AE225" s="55"/>
      <c r="AF225" s="55"/>
      <c r="AG225" s="55"/>
      <c r="AH225" s="55"/>
      <c r="AI225" s="54"/>
      <c r="AJ225" s="54"/>
      <c r="AK225" s="54"/>
      <c r="AL225" s="54"/>
      <c r="AM225" s="54"/>
      <c r="AN225" s="54"/>
      <c r="AO225" s="54"/>
      <c r="AP225" s="54"/>
      <c r="AQ225" s="54"/>
      <c r="AR225" s="54"/>
      <c r="AS225" s="54"/>
      <c r="AT225" s="54"/>
      <c r="AU225" s="54"/>
      <c r="AV225" s="54"/>
      <c r="AW225" s="54"/>
      <c r="AX225" s="54"/>
      <c r="AY225" s="54"/>
      <c r="AZ225" s="54"/>
      <c r="BA225" s="54"/>
      <c r="BB225" s="54"/>
      <c r="BC225" s="54"/>
      <c r="BD225" s="54"/>
      <c r="BE225" s="54"/>
      <c r="BF225" s="54"/>
      <c r="BG225" s="54"/>
      <c r="BH225" s="54"/>
      <c r="BI225" s="54"/>
      <c r="BJ225" s="54"/>
      <c r="BK225" s="54"/>
      <c r="BL225" s="54"/>
      <c r="BM225" s="54"/>
      <c r="BN225" s="54">
        <f t="shared" si="309"/>
        <v>0</v>
      </c>
      <c r="BO225" s="58">
        <f t="shared" si="310"/>
        <v>0</v>
      </c>
      <c r="BP225" s="54">
        <f t="shared" si="311"/>
        <v>0</v>
      </c>
      <c r="BQ225" s="54">
        <f t="shared" si="312"/>
        <v>0</v>
      </c>
      <c r="BR225" s="54">
        <f t="shared" si="313"/>
        <v>0</v>
      </c>
      <c r="BS225" s="54">
        <f t="shared" si="314"/>
        <v>0</v>
      </c>
      <c r="BT225" s="54">
        <f t="shared" si="315"/>
        <v>8256.6</v>
      </c>
      <c r="BU225" s="54">
        <f t="shared" si="316"/>
        <v>0</v>
      </c>
      <c r="BV225" s="54">
        <f t="shared" si="317"/>
        <v>0</v>
      </c>
      <c r="BW225" s="54">
        <f t="shared" si="318"/>
        <v>8256.6</v>
      </c>
      <c r="BX225" s="1"/>
      <c r="BY225" s="1"/>
      <c r="BZ225" s="1"/>
      <c r="CA225" s="1"/>
      <c r="CB225" s="1"/>
      <c r="CC225" s="1"/>
      <c r="CD225" s="1"/>
      <c r="CE225" s="1"/>
      <c r="CF225" s="1"/>
      <c r="CG225" s="1"/>
    </row>
    <row r="226" spans="1:85" ht="15.75" customHeight="1">
      <c r="A226" s="64"/>
      <c r="B226" s="426"/>
      <c r="C226" s="394" t="s">
        <v>254</v>
      </c>
      <c r="D226" s="44" t="s">
        <v>531</v>
      </c>
      <c r="E226" s="45">
        <v>12000</v>
      </c>
      <c r="F226" s="46"/>
      <c r="G226" s="46">
        <f t="shared" si="322"/>
        <v>12000</v>
      </c>
      <c r="H226" s="46"/>
      <c r="I226" s="47">
        <f t="shared" si="323"/>
        <v>0</v>
      </c>
      <c r="J226" s="47">
        <f t="shared" si="324"/>
        <v>0</v>
      </c>
      <c r="K226" s="54"/>
      <c r="L226" s="54"/>
      <c r="M226" s="54"/>
      <c r="N226" s="54"/>
      <c r="O226" s="51">
        <f t="shared" si="293"/>
        <v>0</v>
      </c>
      <c r="P226" s="51">
        <f t="shared" si="294"/>
        <v>0</v>
      </c>
      <c r="Q226" s="51">
        <f t="shared" si="295"/>
        <v>0</v>
      </c>
      <c r="R226" s="52">
        <f t="shared" si="319"/>
        <v>0</v>
      </c>
      <c r="S226" s="52">
        <f t="shared" si="320"/>
        <v>0</v>
      </c>
      <c r="T226" s="52">
        <f t="shared" si="321"/>
        <v>0</v>
      </c>
      <c r="U226" s="369">
        <f t="shared" si="296"/>
        <v>0</v>
      </c>
      <c r="V226" s="369">
        <f t="shared" si="297"/>
        <v>0</v>
      </c>
      <c r="W226" s="369">
        <f t="shared" si="298"/>
        <v>0</v>
      </c>
      <c r="X226" s="53">
        <f t="shared" si="285"/>
        <v>0</v>
      </c>
      <c r="Y226" s="53">
        <f t="shared" si="286"/>
        <v>0</v>
      </c>
      <c r="Z226" s="53">
        <f t="shared" si="287"/>
        <v>0</v>
      </c>
      <c r="AA226" s="54"/>
      <c r="AB226" s="54"/>
      <c r="AC226" s="54"/>
      <c r="AD226" s="54"/>
      <c r="AE226" s="55"/>
      <c r="AF226" s="55"/>
      <c r="AG226" s="55"/>
      <c r="AH226" s="55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  <c r="AV226" s="54"/>
      <c r="AW226" s="54"/>
      <c r="AX226" s="54"/>
      <c r="AY226" s="54"/>
      <c r="AZ226" s="54"/>
      <c r="BA226" s="54"/>
      <c r="BB226" s="54"/>
      <c r="BC226" s="54"/>
      <c r="BD226" s="54"/>
      <c r="BE226" s="54"/>
      <c r="BF226" s="54"/>
      <c r="BG226" s="54"/>
      <c r="BH226" s="54"/>
      <c r="BI226" s="54"/>
      <c r="BJ226" s="54"/>
      <c r="BK226" s="54"/>
      <c r="BL226" s="54"/>
      <c r="BM226" s="54"/>
      <c r="BN226" s="54">
        <f t="shared" si="309"/>
        <v>0</v>
      </c>
      <c r="BO226" s="58">
        <f t="shared" si="310"/>
        <v>0</v>
      </c>
      <c r="BP226" s="54">
        <f t="shared" si="311"/>
        <v>0</v>
      </c>
      <c r="BQ226" s="54">
        <f t="shared" si="312"/>
        <v>0</v>
      </c>
      <c r="BR226" s="54">
        <f t="shared" si="313"/>
        <v>0</v>
      </c>
      <c r="BS226" s="54">
        <f t="shared" si="314"/>
        <v>0</v>
      </c>
      <c r="BT226" s="54">
        <f t="shared" si="315"/>
        <v>0</v>
      </c>
      <c r="BU226" s="54">
        <f t="shared" si="316"/>
        <v>0</v>
      </c>
      <c r="BV226" s="54">
        <f t="shared" si="317"/>
        <v>0</v>
      </c>
      <c r="BW226" s="54">
        <f t="shared" si="318"/>
        <v>0</v>
      </c>
      <c r="BX226" s="1"/>
      <c r="BY226" s="1"/>
      <c r="BZ226" s="1"/>
      <c r="CA226" s="1"/>
      <c r="CB226" s="1"/>
      <c r="CC226" s="1"/>
      <c r="CD226" s="1"/>
      <c r="CE226" s="1"/>
      <c r="CF226" s="1"/>
      <c r="CG226" s="1"/>
    </row>
    <row r="227" spans="1:85" ht="15.75" customHeight="1">
      <c r="A227" s="56"/>
      <c r="B227" s="426"/>
      <c r="C227" s="394" t="s">
        <v>357</v>
      </c>
      <c r="D227" s="44" t="s">
        <v>532</v>
      </c>
      <c r="E227" s="45">
        <v>17600</v>
      </c>
      <c r="F227" s="46"/>
      <c r="G227" s="46">
        <f t="shared" si="322"/>
        <v>17600</v>
      </c>
      <c r="H227" s="46"/>
      <c r="I227" s="47">
        <f t="shared" si="323"/>
        <v>0</v>
      </c>
      <c r="J227" s="47">
        <f t="shared" si="324"/>
        <v>0</v>
      </c>
      <c r="K227" s="54"/>
      <c r="L227" s="54"/>
      <c r="M227" s="54"/>
      <c r="N227" s="54"/>
      <c r="O227" s="51">
        <f t="shared" si="293"/>
        <v>0</v>
      </c>
      <c r="P227" s="51">
        <f t="shared" si="294"/>
        <v>0</v>
      </c>
      <c r="Q227" s="51">
        <f t="shared" si="295"/>
        <v>0</v>
      </c>
      <c r="R227" s="52">
        <f t="shared" si="319"/>
        <v>0</v>
      </c>
      <c r="S227" s="52">
        <f t="shared" si="320"/>
        <v>0</v>
      </c>
      <c r="T227" s="52">
        <f t="shared" si="321"/>
        <v>0</v>
      </c>
      <c r="U227" s="369">
        <f t="shared" si="296"/>
        <v>0</v>
      </c>
      <c r="V227" s="369">
        <f t="shared" si="297"/>
        <v>0</v>
      </c>
      <c r="W227" s="369">
        <f t="shared" si="298"/>
        <v>0</v>
      </c>
      <c r="X227" s="53">
        <f t="shared" si="285"/>
        <v>0</v>
      </c>
      <c r="Y227" s="53">
        <f t="shared" si="286"/>
        <v>0</v>
      </c>
      <c r="Z227" s="53">
        <f t="shared" si="287"/>
        <v>0</v>
      </c>
      <c r="AA227" s="54"/>
      <c r="AB227" s="54"/>
      <c r="AC227" s="54"/>
      <c r="AD227" s="54"/>
      <c r="AE227" s="55"/>
      <c r="AF227" s="55"/>
      <c r="AG227" s="55"/>
      <c r="AH227" s="55"/>
      <c r="AI227" s="54"/>
      <c r="AJ227" s="54"/>
      <c r="AK227" s="54"/>
      <c r="AL227" s="54"/>
      <c r="AM227" s="54"/>
      <c r="AN227" s="54"/>
      <c r="AO227" s="54"/>
      <c r="AP227" s="54"/>
      <c r="AQ227" s="54"/>
      <c r="AR227" s="54"/>
      <c r="AS227" s="54"/>
      <c r="AT227" s="54"/>
      <c r="AU227" s="54"/>
      <c r="AV227" s="54"/>
      <c r="AW227" s="54"/>
      <c r="AX227" s="54"/>
      <c r="AY227" s="54"/>
      <c r="AZ227" s="54"/>
      <c r="BA227" s="54"/>
      <c r="BB227" s="54"/>
      <c r="BC227" s="54"/>
      <c r="BD227" s="54"/>
      <c r="BE227" s="54"/>
      <c r="BF227" s="54"/>
      <c r="BG227" s="54"/>
      <c r="BH227" s="54"/>
      <c r="BI227" s="54"/>
      <c r="BJ227" s="54"/>
      <c r="BK227" s="54"/>
      <c r="BL227" s="54"/>
      <c r="BM227" s="54"/>
      <c r="BN227" s="54">
        <f t="shared" si="309"/>
        <v>0</v>
      </c>
      <c r="BO227" s="58">
        <f t="shared" si="310"/>
        <v>0</v>
      </c>
      <c r="BP227" s="54">
        <f t="shared" si="311"/>
        <v>0</v>
      </c>
      <c r="BQ227" s="54">
        <f t="shared" si="312"/>
        <v>0</v>
      </c>
      <c r="BR227" s="54">
        <f t="shared" si="313"/>
        <v>0</v>
      </c>
      <c r="BS227" s="54">
        <f t="shared" si="314"/>
        <v>0</v>
      </c>
      <c r="BT227" s="54">
        <f t="shared" si="315"/>
        <v>0</v>
      </c>
      <c r="BU227" s="54">
        <f t="shared" si="316"/>
        <v>0</v>
      </c>
      <c r="BV227" s="54">
        <f t="shared" si="317"/>
        <v>0</v>
      </c>
      <c r="BW227" s="54">
        <f t="shared" si="318"/>
        <v>0</v>
      </c>
      <c r="BX227" s="1"/>
      <c r="BY227" s="1"/>
      <c r="BZ227" s="1"/>
      <c r="CA227" s="1"/>
      <c r="CB227" s="1"/>
      <c r="CC227" s="1"/>
      <c r="CD227" s="1"/>
      <c r="CE227" s="1"/>
      <c r="CF227" s="1"/>
      <c r="CG227" s="1"/>
    </row>
    <row r="228" spans="1:85" ht="15.75" customHeight="1">
      <c r="A228" s="56"/>
      <c r="B228" s="426"/>
      <c r="C228" s="394" t="s">
        <v>290</v>
      </c>
      <c r="D228" s="44" t="s">
        <v>291</v>
      </c>
      <c r="E228" s="45">
        <v>0</v>
      </c>
      <c r="F228" s="46"/>
      <c r="G228" s="46">
        <f t="shared" si="322"/>
        <v>0</v>
      </c>
      <c r="H228" s="46"/>
      <c r="I228" s="47">
        <f t="shared" si="323"/>
        <v>0</v>
      </c>
      <c r="J228" s="47">
        <f t="shared" si="324"/>
        <v>0</v>
      </c>
      <c r="K228" s="54"/>
      <c r="L228" s="54"/>
      <c r="M228" s="54"/>
      <c r="N228" s="54"/>
      <c r="O228" s="51">
        <f t="shared" si="293"/>
        <v>0</v>
      </c>
      <c r="P228" s="51">
        <f t="shared" si="294"/>
        <v>0</v>
      </c>
      <c r="Q228" s="51">
        <f t="shared" si="295"/>
        <v>0</v>
      </c>
      <c r="R228" s="52">
        <f t="shared" si="319"/>
        <v>0</v>
      </c>
      <c r="S228" s="52">
        <f t="shared" si="320"/>
        <v>0</v>
      </c>
      <c r="T228" s="52">
        <f t="shared" si="321"/>
        <v>0</v>
      </c>
      <c r="U228" s="369">
        <f t="shared" si="296"/>
        <v>0</v>
      </c>
      <c r="V228" s="369">
        <f t="shared" si="297"/>
        <v>0</v>
      </c>
      <c r="W228" s="369">
        <f t="shared" si="298"/>
        <v>0</v>
      </c>
      <c r="X228" s="53">
        <f t="shared" si="285"/>
        <v>0</v>
      </c>
      <c r="Y228" s="53">
        <f t="shared" si="286"/>
        <v>0</v>
      </c>
      <c r="Z228" s="53">
        <f t="shared" si="287"/>
        <v>0</v>
      </c>
      <c r="AA228" s="54"/>
      <c r="AB228" s="54"/>
      <c r="AC228" s="54"/>
      <c r="AD228" s="54"/>
      <c r="AE228" s="55"/>
      <c r="AF228" s="55"/>
      <c r="AG228" s="55"/>
      <c r="AH228" s="55"/>
      <c r="AI228" s="54"/>
      <c r="AJ228" s="54"/>
      <c r="AK228" s="54"/>
      <c r="AL228" s="54"/>
      <c r="AM228" s="54"/>
      <c r="AN228" s="54"/>
      <c r="AO228" s="54"/>
      <c r="AP228" s="54"/>
      <c r="AQ228" s="54"/>
      <c r="AR228" s="54"/>
      <c r="AS228" s="54"/>
      <c r="AT228" s="54"/>
      <c r="AU228" s="54"/>
      <c r="AV228" s="54"/>
      <c r="AW228" s="54"/>
      <c r="AX228" s="54"/>
      <c r="AY228" s="54"/>
      <c r="AZ228" s="54"/>
      <c r="BA228" s="54"/>
      <c r="BB228" s="54"/>
      <c r="BC228" s="54"/>
      <c r="BD228" s="54"/>
      <c r="BE228" s="54"/>
      <c r="BF228" s="54"/>
      <c r="BG228" s="54"/>
      <c r="BH228" s="54"/>
      <c r="BI228" s="54"/>
      <c r="BJ228" s="54"/>
      <c r="BK228" s="54"/>
      <c r="BL228" s="54"/>
      <c r="BM228" s="54"/>
      <c r="BN228" s="54">
        <f t="shared" si="309"/>
        <v>0</v>
      </c>
      <c r="BO228" s="58">
        <f t="shared" si="310"/>
        <v>0</v>
      </c>
      <c r="BP228" s="54">
        <f t="shared" si="311"/>
        <v>0</v>
      </c>
      <c r="BQ228" s="54">
        <f t="shared" si="312"/>
        <v>0</v>
      </c>
      <c r="BR228" s="54">
        <f t="shared" si="313"/>
        <v>0</v>
      </c>
      <c r="BS228" s="54">
        <f t="shared" si="314"/>
        <v>0</v>
      </c>
      <c r="BT228" s="54">
        <f t="shared" si="315"/>
        <v>0</v>
      </c>
      <c r="BU228" s="54">
        <f t="shared" si="316"/>
        <v>0</v>
      </c>
      <c r="BV228" s="54">
        <f t="shared" si="317"/>
        <v>0</v>
      </c>
      <c r="BW228" s="54">
        <f t="shared" si="318"/>
        <v>0</v>
      </c>
      <c r="BX228" s="1"/>
      <c r="BY228" s="1"/>
      <c r="BZ228" s="1"/>
      <c r="CA228" s="1"/>
      <c r="CB228" s="1"/>
      <c r="CC228" s="1"/>
      <c r="CD228" s="1"/>
      <c r="CE228" s="1"/>
      <c r="CF228" s="1"/>
      <c r="CG228" s="1"/>
    </row>
    <row r="229" spans="1:85" ht="15.75" customHeight="1">
      <c r="A229" s="56"/>
      <c r="B229" s="426"/>
      <c r="C229" s="394" t="s">
        <v>533</v>
      </c>
      <c r="D229" s="44" t="s">
        <v>534</v>
      </c>
      <c r="E229" s="45">
        <v>2000</v>
      </c>
      <c r="F229" s="46"/>
      <c r="G229" s="46">
        <f t="shared" si="322"/>
        <v>2000</v>
      </c>
      <c r="H229" s="46"/>
      <c r="I229" s="47">
        <f t="shared" si="323"/>
        <v>0</v>
      </c>
      <c r="J229" s="47">
        <f t="shared" si="324"/>
        <v>0</v>
      </c>
      <c r="K229" s="54"/>
      <c r="L229" s="54"/>
      <c r="M229" s="54"/>
      <c r="N229" s="54"/>
      <c r="O229" s="51">
        <f t="shared" si="293"/>
        <v>0</v>
      </c>
      <c r="P229" s="51">
        <f t="shared" si="294"/>
        <v>0</v>
      </c>
      <c r="Q229" s="51">
        <f t="shared" si="295"/>
        <v>0</v>
      </c>
      <c r="R229" s="52">
        <f t="shared" si="319"/>
        <v>0</v>
      </c>
      <c r="S229" s="52">
        <f t="shared" si="320"/>
        <v>0</v>
      </c>
      <c r="T229" s="52">
        <f t="shared" si="321"/>
        <v>0</v>
      </c>
      <c r="U229" s="369">
        <f t="shared" si="296"/>
        <v>0</v>
      </c>
      <c r="V229" s="369">
        <f t="shared" si="297"/>
        <v>0</v>
      </c>
      <c r="W229" s="369">
        <f t="shared" si="298"/>
        <v>0</v>
      </c>
      <c r="X229" s="53">
        <f t="shared" si="285"/>
        <v>0</v>
      </c>
      <c r="Y229" s="53">
        <f t="shared" si="286"/>
        <v>0</v>
      </c>
      <c r="Z229" s="53">
        <f t="shared" si="287"/>
        <v>0</v>
      </c>
      <c r="AA229" s="54"/>
      <c r="AB229" s="54"/>
      <c r="AC229" s="54"/>
      <c r="AD229" s="54"/>
      <c r="AE229" s="55"/>
      <c r="AF229" s="55"/>
      <c r="AG229" s="55"/>
      <c r="AH229" s="55"/>
      <c r="AI229" s="54"/>
      <c r="AJ229" s="54"/>
      <c r="AK229" s="54"/>
      <c r="AL229" s="54"/>
      <c r="AM229" s="54"/>
      <c r="AN229" s="54"/>
      <c r="AO229" s="54"/>
      <c r="AP229" s="54"/>
      <c r="AQ229" s="54"/>
      <c r="AR229" s="54"/>
      <c r="AS229" s="54"/>
      <c r="AT229" s="54"/>
      <c r="AU229" s="54"/>
      <c r="AV229" s="54"/>
      <c r="AW229" s="54"/>
      <c r="AX229" s="54"/>
      <c r="AY229" s="54"/>
      <c r="AZ229" s="54"/>
      <c r="BA229" s="54"/>
      <c r="BB229" s="54"/>
      <c r="BC229" s="54"/>
      <c r="BD229" s="54"/>
      <c r="BE229" s="54"/>
      <c r="BF229" s="54"/>
      <c r="BG229" s="54"/>
      <c r="BH229" s="54"/>
      <c r="BI229" s="54"/>
      <c r="BJ229" s="54"/>
      <c r="BK229" s="54"/>
      <c r="BL229" s="54"/>
      <c r="BM229" s="54"/>
      <c r="BN229" s="54">
        <f t="shared" si="309"/>
        <v>0</v>
      </c>
      <c r="BO229" s="58">
        <f t="shared" si="310"/>
        <v>0</v>
      </c>
      <c r="BP229" s="54">
        <f t="shared" si="311"/>
        <v>0</v>
      </c>
      <c r="BQ229" s="54">
        <f t="shared" si="312"/>
        <v>0</v>
      </c>
      <c r="BR229" s="54">
        <f t="shared" si="313"/>
        <v>0</v>
      </c>
      <c r="BS229" s="54">
        <f t="shared" si="314"/>
        <v>0</v>
      </c>
      <c r="BT229" s="54">
        <f t="shared" si="315"/>
        <v>0</v>
      </c>
      <c r="BU229" s="54">
        <f t="shared" si="316"/>
        <v>0</v>
      </c>
      <c r="BV229" s="54">
        <f t="shared" si="317"/>
        <v>0</v>
      </c>
      <c r="BW229" s="54">
        <f t="shared" si="318"/>
        <v>0</v>
      </c>
      <c r="BX229" s="1"/>
      <c r="BY229" s="1"/>
      <c r="BZ229" s="1"/>
      <c r="CA229" s="1"/>
      <c r="CB229" s="1"/>
      <c r="CC229" s="1"/>
      <c r="CD229" s="1"/>
      <c r="CE229" s="1"/>
      <c r="CF229" s="1"/>
      <c r="CG229" s="1"/>
    </row>
    <row r="230" spans="1:85" ht="15.75" customHeight="1">
      <c r="A230" s="43" t="s">
        <v>535</v>
      </c>
      <c r="B230" s="426"/>
      <c r="C230" s="394" t="s">
        <v>536</v>
      </c>
      <c r="D230" s="44" t="s">
        <v>537</v>
      </c>
      <c r="E230" s="45">
        <v>40000</v>
      </c>
      <c r="F230" s="46"/>
      <c r="G230" s="46">
        <f t="shared" si="322"/>
        <v>40000</v>
      </c>
      <c r="H230" s="46"/>
      <c r="I230" s="47">
        <f t="shared" si="323"/>
        <v>1.76145</v>
      </c>
      <c r="J230" s="47">
        <f t="shared" si="324"/>
        <v>1.0661399999999999</v>
      </c>
      <c r="K230" s="48">
        <f>10180+9200+15084.9-3606.9+144780-105180</f>
        <v>70458</v>
      </c>
      <c r="L230" s="54"/>
      <c r="M230" s="54"/>
      <c r="N230" s="54"/>
      <c r="O230" s="51">
        <f t="shared" si="293"/>
        <v>42645.599999999999</v>
      </c>
      <c r="P230" s="51">
        <f t="shared" si="294"/>
        <v>0</v>
      </c>
      <c r="Q230" s="51">
        <f t="shared" si="295"/>
        <v>0</v>
      </c>
      <c r="R230" s="52">
        <f t="shared" si="319"/>
        <v>42645.599999999999</v>
      </c>
      <c r="S230" s="52">
        <f t="shared" si="320"/>
        <v>0</v>
      </c>
      <c r="T230" s="52">
        <f t="shared" si="321"/>
        <v>0</v>
      </c>
      <c r="U230" s="368">
        <f t="shared" si="296"/>
        <v>27812.400000000001</v>
      </c>
      <c r="V230" s="369">
        <f t="shared" si="297"/>
        <v>0</v>
      </c>
      <c r="W230" s="369">
        <f t="shared" si="298"/>
        <v>0</v>
      </c>
      <c r="X230" s="53">
        <f t="shared" si="285"/>
        <v>0.60526270969939533</v>
      </c>
      <c r="Y230" s="53">
        <f t="shared" si="286"/>
        <v>0</v>
      </c>
      <c r="Z230" s="53">
        <f t="shared" si="287"/>
        <v>0</v>
      </c>
      <c r="AA230" s="54"/>
      <c r="AB230" s="54"/>
      <c r="AC230" s="54"/>
      <c r="AD230" s="54"/>
      <c r="AE230" s="55"/>
      <c r="AF230" s="55"/>
      <c r="AG230" s="55"/>
      <c r="AH230" s="55"/>
      <c r="AI230" s="54"/>
      <c r="AJ230" s="54"/>
      <c r="AK230" s="54"/>
      <c r="AL230" s="54"/>
      <c r="AM230" s="54"/>
      <c r="AN230" s="54"/>
      <c r="AO230" s="54"/>
      <c r="AP230" s="54">
        <f>5090+967.1+8653+1272.5</f>
        <v>15982.6</v>
      </c>
      <c r="AQ230" s="54"/>
      <c r="AR230" s="54"/>
      <c r="AS230" s="54">
        <f>763.5+509+3084.9</f>
        <v>4357.3999999999996</v>
      </c>
      <c r="AT230" s="54"/>
      <c r="AU230" s="54"/>
      <c r="AV230" s="54">
        <f>4800+744+3900+1074</f>
        <v>10518</v>
      </c>
      <c r="AW230" s="54"/>
      <c r="AX230" s="54"/>
      <c r="AY230" s="54">
        <f>(2162*4)+319.6-319.6+2820+319.6</f>
        <v>11787.6</v>
      </c>
      <c r="AZ230" s="54"/>
      <c r="BA230" s="54"/>
      <c r="BB230" s="54"/>
      <c r="BC230" s="54"/>
      <c r="BD230" s="54"/>
      <c r="BE230" s="54"/>
      <c r="BF230" s="54"/>
      <c r="BG230" s="54"/>
      <c r="BH230" s="54"/>
      <c r="BI230" s="54"/>
      <c r="BJ230" s="54"/>
      <c r="BK230" s="54"/>
      <c r="BL230" s="54"/>
      <c r="BM230" s="54"/>
      <c r="BN230" s="54">
        <f t="shared" si="309"/>
        <v>42645.599999999999</v>
      </c>
      <c r="BO230" s="58">
        <f t="shared" si="310"/>
        <v>0</v>
      </c>
      <c r="BP230" s="54">
        <f t="shared" si="311"/>
        <v>42645.599999999999</v>
      </c>
      <c r="BQ230" s="54">
        <f t="shared" si="312"/>
        <v>27812.400000000001</v>
      </c>
      <c r="BR230" s="54">
        <f t="shared" si="313"/>
        <v>0</v>
      </c>
      <c r="BS230" s="54">
        <f t="shared" si="314"/>
        <v>27812.400000000001</v>
      </c>
      <c r="BT230" s="54">
        <f t="shared" si="315"/>
        <v>0</v>
      </c>
      <c r="BU230" s="54">
        <f t="shared" si="316"/>
        <v>42645.599999999999</v>
      </c>
      <c r="BV230" s="54">
        <f t="shared" si="317"/>
        <v>27812.400000000001</v>
      </c>
      <c r="BW230" s="54">
        <f t="shared" si="318"/>
        <v>42645.599999999999</v>
      </c>
      <c r="BX230" s="1"/>
      <c r="BY230" s="1"/>
      <c r="BZ230" s="1"/>
      <c r="CA230" s="1"/>
      <c r="CB230" s="1"/>
      <c r="CC230" s="1"/>
      <c r="CD230" s="1"/>
      <c r="CE230" s="1"/>
      <c r="CF230" s="1"/>
      <c r="CG230" s="1"/>
    </row>
    <row r="231" spans="1:85" ht="15.75" customHeight="1">
      <c r="A231" s="56"/>
      <c r="B231" s="426"/>
      <c r="C231" s="394" t="s">
        <v>402</v>
      </c>
      <c r="D231" s="44" t="s">
        <v>538</v>
      </c>
      <c r="E231" s="45"/>
      <c r="F231" s="46"/>
      <c r="G231" s="46">
        <f t="shared" si="322"/>
        <v>0</v>
      </c>
      <c r="H231" s="46"/>
      <c r="I231" s="47">
        <f t="shared" si="323"/>
        <v>0</v>
      </c>
      <c r="J231" s="47">
        <f t="shared" si="324"/>
        <v>0</v>
      </c>
      <c r="K231" s="54"/>
      <c r="L231" s="54"/>
      <c r="M231" s="54"/>
      <c r="N231" s="49"/>
      <c r="O231" s="51">
        <f t="shared" si="293"/>
        <v>0</v>
      </c>
      <c r="P231" s="51">
        <f t="shared" si="294"/>
        <v>0</v>
      </c>
      <c r="Q231" s="51">
        <f t="shared" si="295"/>
        <v>0</v>
      </c>
      <c r="R231" s="52">
        <f t="shared" si="319"/>
        <v>0</v>
      </c>
      <c r="S231" s="52">
        <f t="shared" si="320"/>
        <v>0</v>
      </c>
      <c r="T231" s="52">
        <f t="shared" si="321"/>
        <v>0</v>
      </c>
      <c r="U231" s="369">
        <f t="shared" si="296"/>
        <v>0</v>
      </c>
      <c r="V231" s="369">
        <f t="shared" si="297"/>
        <v>0</v>
      </c>
      <c r="W231" s="369">
        <f t="shared" si="298"/>
        <v>0</v>
      </c>
      <c r="X231" s="53">
        <f t="shared" si="285"/>
        <v>0</v>
      </c>
      <c r="Y231" s="53">
        <f t="shared" si="286"/>
        <v>0</v>
      </c>
      <c r="Z231" s="53">
        <f t="shared" si="287"/>
        <v>0</v>
      </c>
      <c r="AA231" s="54"/>
      <c r="AB231" s="54"/>
      <c r="AC231" s="54"/>
      <c r="AD231" s="54"/>
      <c r="AE231" s="55"/>
      <c r="AF231" s="55"/>
      <c r="AG231" s="55"/>
      <c r="AH231" s="55"/>
      <c r="AI231" s="54"/>
      <c r="AJ231" s="54"/>
      <c r="AK231" s="54"/>
      <c r="AL231" s="54"/>
      <c r="AM231" s="54"/>
      <c r="AN231" s="54"/>
      <c r="AO231" s="54"/>
      <c r="AP231" s="54"/>
      <c r="AQ231" s="54"/>
      <c r="AR231" s="54"/>
      <c r="AS231" s="54"/>
      <c r="AT231" s="54"/>
      <c r="AU231" s="54"/>
      <c r="AV231" s="54"/>
      <c r="AW231" s="54"/>
      <c r="AX231" s="54"/>
      <c r="AY231" s="54"/>
      <c r="AZ231" s="54"/>
      <c r="BA231" s="54"/>
      <c r="BB231" s="54"/>
      <c r="BC231" s="54"/>
      <c r="BD231" s="54"/>
      <c r="BE231" s="54"/>
      <c r="BF231" s="54"/>
      <c r="BG231" s="54"/>
      <c r="BH231" s="54"/>
      <c r="BI231" s="54"/>
      <c r="BJ231" s="54"/>
      <c r="BK231" s="54"/>
      <c r="BL231" s="54"/>
      <c r="BM231" s="54"/>
      <c r="BN231" s="54">
        <f t="shared" si="309"/>
        <v>0</v>
      </c>
      <c r="BO231" s="58">
        <f t="shared" si="310"/>
        <v>0</v>
      </c>
      <c r="BP231" s="54">
        <f t="shared" si="311"/>
        <v>0</v>
      </c>
      <c r="BQ231" s="54">
        <f t="shared" si="312"/>
        <v>0</v>
      </c>
      <c r="BR231" s="54">
        <f t="shared" si="313"/>
        <v>0</v>
      </c>
      <c r="BS231" s="54">
        <f t="shared" si="314"/>
        <v>0</v>
      </c>
      <c r="BT231" s="54">
        <f t="shared" si="315"/>
        <v>0</v>
      </c>
      <c r="BU231" s="54">
        <f t="shared" si="316"/>
        <v>0</v>
      </c>
      <c r="BV231" s="54">
        <f t="shared" si="317"/>
        <v>0</v>
      </c>
      <c r="BW231" s="54">
        <f t="shared" si="318"/>
        <v>0</v>
      </c>
      <c r="BX231" s="1"/>
      <c r="BY231" s="1"/>
      <c r="BZ231" s="1"/>
      <c r="CA231" s="1"/>
      <c r="CB231" s="1"/>
      <c r="CC231" s="1"/>
      <c r="CD231" s="1"/>
      <c r="CE231" s="1"/>
      <c r="CF231" s="1"/>
      <c r="CG231" s="1"/>
    </row>
    <row r="232" spans="1:85" ht="15.75" customHeight="1">
      <c r="A232" s="56"/>
      <c r="B232" s="426"/>
      <c r="C232" s="394" t="s">
        <v>323</v>
      </c>
      <c r="D232" s="44" t="s">
        <v>539</v>
      </c>
      <c r="E232" s="45"/>
      <c r="F232" s="46"/>
      <c r="G232" s="46">
        <f t="shared" si="322"/>
        <v>0</v>
      </c>
      <c r="H232" s="46">
        <v>10000</v>
      </c>
      <c r="I232" s="47">
        <f t="shared" si="323"/>
        <v>0</v>
      </c>
      <c r="J232" s="47">
        <f t="shared" si="324"/>
        <v>0</v>
      </c>
      <c r="K232" s="54"/>
      <c r="L232" s="54"/>
      <c r="M232" s="54"/>
      <c r="N232" s="49"/>
      <c r="O232" s="51">
        <f t="shared" si="293"/>
        <v>0</v>
      </c>
      <c r="P232" s="51">
        <f t="shared" si="294"/>
        <v>0</v>
      </c>
      <c r="Q232" s="51">
        <f t="shared" si="295"/>
        <v>0</v>
      </c>
      <c r="R232" s="52">
        <f t="shared" si="319"/>
        <v>0</v>
      </c>
      <c r="S232" s="52">
        <f t="shared" si="320"/>
        <v>0</v>
      </c>
      <c r="T232" s="52">
        <f t="shared" si="321"/>
        <v>0</v>
      </c>
      <c r="U232" s="369">
        <f t="shared" si="296"/>
        <v>0</v>
      </c>
      <c r="V232" s="369">
        <f t="shared" si="297"/>
        <v>0</v>
      </c>
      <c r="W232" s="369">
        <f t="shared" si="298"/>
        <v>0</v>
      </c>
      <c r="X232" s="53">
        <f t="shared" si="285"/>
        <v>0</v>
      </c>
      <c r="Y232" s="53">
        <f t="shared" si="286"/>
        <v>0</v>
      </c>
      <c r="Z232" s="53">
        <f t="shared" si="287"/>
        <v>0</v>
      </c>
      <c r="AA232" s="54"/>
      <c r="AB232" s="54"/>
      <c r="AC232" s="54"/>
      <c r="AD232" s="54"/>
      <c r="AE232" s="55"/>
      <c r="AF232" s="55"/>
      <c r="AG232" s="55"/>
      <c r="AH232" s="55"/>
      <c r="AI232" s="54"/>
      <c r="AJ232" s="54"/>
      <c r="AK232" s="54"/>
      <c r="AL232" s="54"/>
      <c r="AM232" s="54"/>
      <c r="AN232" s="54"/>
      <c r="AO232" s="54"/>
      <c r="AP232" s="54"/>
      <c r="AQ232" s="54"/>
      <c r="AR232" s="54"/>
      <c r="AS232" s="54"/>
      <c r="AT232" s="54"/>
      <c r="AU232" s="54"/>
      <c r="AV232" s="54"/>
      <c r="AW232" s="54"/>
      <c r="AX232" s="54"/>
      <c r="AY232" s="54"/>
      <c r="AZ232" s="54"/>
      <c r="BA232" s="54"/>
      <c r="BB232" s="54"/>
      <c r="BC232" s="54"/>
      <c r="BD232" s="54"/>
      <c r="BE232" s="54"/>
      <c r="BF232" s="54"/>
      <c r="BG232" s="54"/>
      <c r="BH232" s="54"/>
      <c r="BI232" s="54"/>
      <c r="BJ232" s="54"/>
      <c r="BK232" s="54"/>
      <c r="BL232" s="54"/>
      <c r="BM232" s="54"/>
      <c r="BN232" s="54">
        <f t="shared" si="309"/>
        <v>0</v>
      </c>
      <c r="BO232" s="58">
        <f t="shared" si="310"/>
        <v>0</v>
      </c>
      <c r="BP232" s="54">
        <f t="shared" si="311"/>
        <v>0</v>
      </c>
      <c r="BQ232" s="54">
        <f t="shared" si="312"/>
        <v>0</v>
      </c>
      <c r="BR232" s="54">
        <f t="shared" si="313"/>
        <v>0</v>
      </c>
      <c r="BS232" s="54">
        <f t="shared" si="314"/>
        <v>0</v>
      </c>
      <c r="BT232" s="54">
        <f t="shared" si="315"/>
        <v>0</v>
      </c>
      <c r="BU232" s="54">
        <f t="shared" si="316"/>
        <v>0</v>
      </c>
      <c r="BV232" s="54">
        <f t="shared" si="317"/>
        <v>0</v>
      </c>
      <c r="BW232" s="54">
        <f t="shared" si="318"/>
        <v>0</v>
      </c>
      <c r="BX232" s="1"/>
      <c r="BY232" s="1"/>
      <c r="BZ232" s="1"/>
      <c r="CA232" s="1"/>
      <c r="CB232" s="1"/>
      <c r="CC232" s="1"/>
      <c r="CD232" s="1"/>
      <c r="CE232" s="1"/>
      <c r="CF232" s="1"/>
      <c r="CG232" s="1"/>
    </row>
    <row r="233" spans="1:85" ht="15.75" customHeight="1">
      <c r="A233" s="56"/>
      <c r="B233" s="426"/>
      <c r="C233" s="394" t="s">
        <v>540</v>
      </c>
      <c r="D233" s="44" t="s">
        <v>541</v>
      </c>
      <c r="E233" s="45"/>
      <c r="F233" s="46"/>
      <c r="G233" s="46">
        <f t="shared" si="322"/>
        <v>0</v>
      </c>
      <c r="H233" s="46">
        <v>50000</v>
      </c>
      <c r="I233" s="47">
        <f t="shared" si="323"/>
        <v>0</v>
      </c>
      <c r="J233" s="47">
        <f t="shared" si="324"/>
        <v>0</v>
      </c>
      <c r="K233" s="54"/>
      <c r="L233" s="54"/>
      <c r="M233" s="54"/>
      <c r="N233" s="49"/>
      <c r="O233" s="51">
        <f t="shared" si="293"/>
        <v>0</v>
      </c>
      <c r="P233" s="51">
        <f t="shared" si="294"/>
        <v>0</v>
      </c>
      <c r="Q233" s="51">
        <f t="shared" si="295"/>
        <v>0</v>
      </c>
      <c r="R233" s="52">
        <f t="shared" si="319"/>
        <v>0</v>
      </c>
      <c r="S233" s="52">
        <f t="shared" si="320"/>
        <v>0</v>
      </c>
      <c r="T233" s="52">
        <f t="shared" si="321"/>
        <v>0</v>
      </c>
      <c r="U233" s="369">
        <f t="shared" si="296"/>
        <v>0</v>
      </c>
      <c r="V233" s="369">
        <f t="shared" si="297"/>
        <v>0</v>
      </c>
      <c r="W233" s="369">
        <f t="shared" si="298"/>
        <v>0</v>
      </c>
      <c r="X233" s="53">
        <f t="shared" si="285"/>
        <v>0</v>
      </c>
      <c r="Y233" s="53">
        <f t="shared" si="286"/>
        <v>0</v>
      </c>
      <c r="Z233" s="53">
        <f t="shared" si="287"/>
        <v>0</v>
      </c>
      <c r="AA233" s="54"/>
      <c r="AB233" s="54"/>
      <c r="AC233" s="54"/>
      <c r="AD233" s="54"/>
      <c r="AE233" s="55"/>
      <c r="AF233" s="55"/>
      <c r="AG233" s="55"/>
      <c r="AH233" s="55"/>
      <c r="AI233" s="54"/>
      <c r="AJ233" s="54"/>
      <c r="AK233" s="54"/>
      <c r="AL233" s="54"/>
      <c r="AM233" s="54"/>
      <c r="AN233" s="54"/>
      <c r="AO233" s="54"/>
      <c r="AP233" s="54"/>
      <c r="AQ233" s="54"/>
      <c r="AR233" s="54"/>
      <c r="AS233" s="54"/>
      <c r="AT233" s="54"/>
      <c r="AU233" s="54"/>
      <c r="AV233" s="54"/>
      <c r="AW233" s="54"/>
      <c r="AX233" s="54"/>
      <c r="AY233" s="54"/>
      <c r="AZ233" s="54"/>
      <c r="BA233" s="54"/>
      <c r="BB233" s="54"/>
      <c r="BC233" s="54"/>
      <c r="BD233" s="54"/>
      <c r="BE233" s="54"/>
      <c r="BF233" s="54"/>
      <c r="BG233" s="54"/>
      <c r="BH233" s="54"/>
      <c r="BI233" s="54"/>
      <c r="BJ233" s="54"/>
      <c r="BK233" s="54"/>
      <c r="BL233" s="54"/>
      <c r="BM233" s="54"/>
      <c r="BN233" s="54">
        <f t="shared" si="309"/>
        <v>0</v>
      </c>
      <c r="BO233" s="58">
        <f t="shared" si="310"/>
        <v>0</v>
      </c>
      <c r="BP233" s="54">
        <f t="shared" si="311"/>
        <v>0</v>
      </c>
      <c r="BQ233" s="54">
        <f t="shared" si="312"/>
        <v>0</v>
      </c>
      <c r="BR233" s="54">
        <f t="shared" si="313"/>
        <v>0</v>
      </c>
      <c r="BS233" s="54">
        <f t="shared" si="314"/>
        <v>0</v>
      </c>
      <c r="BT233" s="54">
        <f t="shared" si="315"/>
        <v>0</v>
      </c>
      <c r="BU233" s="54">
        <f t="shared" si="316"/>
        <v>0</v>
      </c>
      <c r="BV233" s="54">
        <f t="shared" si="317"/>
        <v>0</v>
      </c>
      <c r="BW233" s="54">
        <f t="shared" si="318"/>
        <v>0</v>
      </c>
      <c r="BX233" s="1"/>
      <c r="BY233" s="1"/>
      <c r="BZ233" s="1"/>
      <c r="CA233" s="1"/>
      <c r="CB233" s="1"/>
      <c r="CC233" s="1"/>
      <c r="CD233" s="1"/>
      <c r="CE233" s="1"/>
      <c r="CF233" s="1"/>
      <c r="CG233" s="1"/>
    </row>
    <row r="234" spans="1:85" ht="15.75" customHeight="1">
      <c r="A234" s="121" t="s">
        <v>542</v>
      </c>
      <c r="B234" s="440"/>
      <c r="C234" s="394" t="s">
        <v>543</v>
      </c>
      <c r="D234" s="73" t="s">
        <v>544</v>
      </c>
      <c r="E234" s="162"/>
      <c r="F234" s="127"/>
      <c r="G234" s="46"/>
      <c r="H234" s="46"/>
      <c r="I234" s="47"/>
      <c r="J234" s="47"/>
      <c r="K234" s="119">
        <f>27000-9225</f>
        <v>17775</v>
      </c>
      <c r="L234" s="55"/>
      <c r="M234" s="55"/>
      <c r="N234" s="163"/>
      <c r="O234" s="51">
        <f t="shared" si="293"/>
        <v>0</v>
      </c>
      <c r="P234" s="51">
        <f t="shared" si="294"/>
        <v>0</v>
      </c>
      <c r="Q234" s="51">
        <f t="shared" si="295"/>
        <v>0</v>
      </c>
      <c r="R234" s="52">
        <f t="shared" ref="R234:R240" si="325">IF(BK234=0,SUM(AA234+AD234+AG234+AJ234+AM234+AP234+AS234+AV234+AY234+BB234+BE234+BH234),BK234)</f>
        <v>0</v>
      </c>
      <c r="S234" s="52">
        <f t="shared" ref="S234:S240" si="326">IF(BL234=0,SUM(AB234+AE234+AH234+AK234+AN234+AQ234+AT234+AW234+AZ234+BC234+BF234+BI234),BL234)</f>
        <v>0</v>
      </c>
      <c r="T234" s="52">
        <f t="shared" ref="T234:T240" si="327">IF(BM234=0,SUM(AC234+AF234+AI234+AL234+AO234+AR234+AU234+AX234+BA234+BD234+BG234+BJ234),BM234)</f>
        <v>0</v>
      </c>
      <c r="U234" s="369">
        <f t="shared" si="296"/>
        <v>17775</v>
      </c>
      <c r="V234" s="369">
        <f t="shared" si="297"/>
        <v>0</v>
      </c>
      <c r="W234" s="369">
        <f t="shared" si="298"/>
        <v>0</v>
      </c>
      <c r="X234" s="53">
        <f t="shared" si="285"/>
        <v>0</v>
      </c>
      <c r="Y234" s="53">
        <f t="shared" si="286"/>
        <v>0</v>
      </c>
      <c r="Z234" s="53">
        <f t="shared" si="287"/>
        <v>0</v>
      </c>
      <c r="AA234" s="54"/>
      <c r="AB234" s="54"/>
      <c r="AC234" s="54"/>
      <c r="AD234" s="54"/>
      <c r="AE234" s="55"/>
      <c r="AF234" s="55"/>
      <c r="AG234" s="55"/>
      <c r="AH234" s="55"/>
      <c r="AI234" s="54"/>
      <c r="AJ234" s="54"/>
      <c r="AK234" s="54"/>
      <c r="AL234" s="54"/>
      <c r="AM234" s="54"/>
      <c r="AN234" s="54"/>
      <c r="AO234" s="54"/>
      <c r="AP234" s="54"/>
      <c r="AQ234" s="54"/>
      <c r="AR234" s="54"/>
      <c r="AS234" s="54"/>
      <c r="AT234" s="54"/>
      <c r="AU234" s="54"/>
      <c r="AV234" s="54"/>
      <c r="AW234" s="163"/>
      <c r="AX234" s="163"/>
      <c r="AY234" s="163"/>
      <c r="AZ234" s="163"/>
      <c r="BA234" s="163"/>
      <c r="BB234" s="163"/>
      <c r="BC234" s="163"/>
      <c r="BD234" s="163"/>
      <c r="BE234" s="163"/>
      <c r="BF234" s="163"/>
      <c r="BG234" s="163"/>
      <c r="BH234" s="163"/>
      <c r="BI234" s="163"/>
      <c r="BJ234" s="163"/>
      <c r="BK234" s="163"/>
      <c r="BL234" s="163"/>
      <c r="BM234" s="163"/>
      <c r="BN234" s="54">
        <f t="shared" si="309"/>
        <v>0</v>
      </c>
      <c r="BO234" s="58">
        <f t="shared" si="310"/>
        <v>0</v>
      </c>
      <c r="BP234" s="54">
        <f t="shared" si="311"/>
        <v>0</v>
      </c>
      <c r="BQ234" s="54">
        <f t="shared" si="312"/>
        <v>17775</v>
      </c>
      <c r="BR234" s="54">
        <f t="shared" si="313"/>
        <v>0</v>
      </c>
      <c r="BS234" s="54">
        <f t="shared" si="314"/>
        <v>17775</v>
      </c>
      <c r="BT234" s="54">
        <f t="shared" si="315"/>
        <v>0</v>
      </c>
      <c r="BU234" s="54">
        <f t="shared" si="316"/>
        <v>0</v>
      </c>
      <c r="BV234" s="54">
        <f t="shared" si="317"/>
        <v>17775</v>
      </c>
      <c r="BW234" s="54">
        <f t="shared" si="318"/>
        <v>0</v>
      </c>
      <c r="BX234" s="1"/>
      <c r="BY234" s="1"/>
      <c r="BZ234" s="1"/>
      <c r="CA234" s="1"/>
      <c r="CB234" s="1"/>
      <c r="CC234" s="1"/>
      <c r="CD234" s="1"/>
      <c r="CE234" s="1"/>
      <c r="CF234" s="1"/>
      <c r="CG234" s="1"/>
    </row>
    <row r="235" spans="1:85" ht="15.75" customHeight="1">
      <c r="A235" s="164"/>
      <c r="B235" s="440"/>
      <c r="C235" s="458" t="s">
        <v>348</v>
      </c>
      <c r="D235" s="44" t="s">
        <v>545</v>
      </c>
      <c r="E235" s="162"/>
      <c r="F235" s="127"/>
      <c r="G235" s="46">
        <f>E235-F235</f>
        <v>0</v>
      </c>
      <c r="H235" s="46">
        <v>50000</v>
      </c>
      <c r="I235" s="47">
        <f t="shared" ref="I235:I256" si="328">IF(G235&gt;0,K235/G235,0)</f>
        <v>0</v>
      </c>
      <c r="J235" s="47">
        <f t="shared" ref="J235:J256" si="329">IF(G235&gt;0,O235/G235,0)</f>
        <v>0</v>
      </c>
      <c r="K235" s="119"/>
      <c r="L235" s="55"/>
      <c r="M235" s="55"/>
      <c r="N235" s="163"/>
      <c r="O235" s="51">
        <f t="shared" si="293"/>
        <v>0</v>
      </c>
      <c r="P235" s="51">
        <f t="shared" si="294"/>
        <v>0</v>
      </c>
      <c r="Q235" s="51">
        <f t="shared" si="295"/>
        <v>0</v>
      </c>
      <c r="R235" s="52">
        <f t="shared" si="325"/>
        <v>0</v>
      </c>
      <c r="S235" s="52">
        <f t="shared" si="326"/>
        <v>0</v>
      </c>
      <c r="T235" s="52">
        <f t="shared" si="327"/>
        <v>0</v>
      </c>
      <c r="U235" s="369">
        <f t="shared" si="296"/>
        <v>0</v>
      </c>
      <c r="V235" s="369">
        <f t="shared" si="297"/>
        <v>0</v>
      </c>
      <c r="W235" s="369">
        <f t="shared" si="298"/>
        <v>0</v>
      </c>
      <c r="X235" s="53">
        <f t="shared" si="285"/>
        <v>0</v>
      </c>
      <c r="Y235" s="53">
        <f t="shared" si="286"/>
        <v>0</v>
      </c>
      <c r="Z235" s="53">
        <f t="shared" si="287"/>
        <v>0</v>
      </c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  <c r="AU235" s="163"/>
      <c r="AV235" s="163"/>
      <c r="AW235" s="163"/>
      <c r="AX235" s="163"/>
      <c r="AY235" s="163"/>
      <c r="AZ235" s="163"/>
      <c r="BA235" s="163"/>
      <c r="BB235" s="163"/>
      <c r="BC235" s="163"/>
      <c r="BD235" s="163"/>
      <c r="BE235" s="163"/>
      <c r="BF235" s="163"/>
      <c r="BG235" s="163"/>
      <c r="BH235" s="163"/>
      <c r="BI235" s="163"/>
      <c r="BJ235" s="163"/>
      <c r="BK235" s="163"/>
      <c r="BL235" s="163"/>
      <c r="BM235" s="163"/>
      <c r="BN235" s="54">
        <f t="shared" si="309"/>
        <v>0</v>
      </c>
      <c r="BO235" s="58">
        <f t="shared" si="310"/>
        <v>0</v>
      </c>
      <c r="BP235" s="54">
        <f t="shared" si="311"/>
        <v>0</v>
      </c>
      <c r="BQ235" s="54">
        <f t="shared" si="312"/>
        <v>0</v>
      </c>
      <c r="BR235" s="54">
        <f t="shared" si="313"/>
        <v>0</v>
      </c>
      <c r="BS235" s="54">
        <f t="shared" si="314"/>
        <v>0</v>
      </c>
      <c r="BT235" s="54">
        <f t="shared" si="315"/>
        <v>0</v>
      </c>
      <c r="BU235" s="54">
        <f t="shared" si="316"/>
        <v>0</v>
      </c>
      <c r="BV235" s="54">
        <f t="shared" si="317"/>
        <v>0</v>
      </c>
      <c r="BW235" s="54">
        <f t="shared" si="318"/>
        <v>0</v>
      </c>
      <c r="BX235" s="1"/>
      <c r="BY235" s="1"/>
      <c r="BZ235" s="1"/>
      <c r="CA235" s="1"/>
      <c r="CB235" s="1"/>
      <c r="CC235" s="1"/>
      <c r="CD235" s="1"/>
      <c r="CE235" s="1"/>
      <c r="CF235" s="1"/>
      <c r="CG235" s="1"/>
    </row>
    <row r="236" spans="1:85" ht="15.75" customHeight="1">
      <c r="A236" s="165"/>
      <c r="B236" s="434"/>
      <c r="C236" s="401"/>
      <c r="D236" s="111" t="s">
        <v>546</v>
      </c>
      <c r="E236" s="112">
        <f>SUM(E237:E240)</f>
        <v>46288.65</v>
      </c>
      <c r="F236" s="113">
        <f>SUM(F237:F240)</f>
        <v>5045.46</v>
      </c>
      <c r="G236" s="113">
        <f>SUM(G237:G240)</f>
        <v>41243.19</v>
      </c>
      <c r="H236" s="113">
        <f>SUM(H237:H240)</f>
        <v>0</v>
      </c>
      <c r="I236" s="114">
        <f t="shared" si="328"/>
        <v>0.86559744772409697</v>
      </c>
      <c r="J236" s="114">
        <f t="shared" si="329"/>
        <v>0.5891881787029567</v>
      </c>
      <c r="K236" s="113">
        <f t="shared" ref="K236:Q236" si="330">SUM(K237:K240)</f>
        <v>35700</v>
      </c>
      <c r="L236" s="113">
        <f t="shared" si="330"/>
        <v>0</v>
      </c>
      <c r="M236" s="113">
        <f t="shared" si="330"/>
        <v>0</v>
      </c>
      <c r="N236" s="113">
        <f t="shared" si="330"/>
        <v>0</v>
      </c>
      <c r="O236" s="113">
        <f t="shared" si="330"/>
        <v>24300</v>
      </c>
      <c r="P236" s="113">
        <f t="shared" si="330"/>
        <v>0</v>
      </c>
      <c r="Q236" s="113">
        <f t="shared" si="330"/>
        <v>0</v>
      </c>
      <c r="R236" s="150">
        <f t="shared" si="325"/>
        <v>24300</v>
      </c>
      <c r="S236" s="150">
        <f t="shared" si="326"/>
        <v>0</v>
      </c>
      <c r="T236" s="150">
        <f t="shared" si="327"/>
        <v>0</v>
      </c>
      <c r="U236" s="372">
        <f>SUM(U237:U240)</f>
        <v>11400</v>
      </c>
      <c r="V236" s="372">
        <f>SUM(V237:V240)</f>
        <v>0</v>
      </c>
      <c r="W236" s="372">
        <f>SUM(W237:W240)</f>
        <v>0</v>
      </c>
      <c r="X236" s="115">
        <f t="shared" si="285"/>
        <v>0.68067226890756305</v>
      </c>
      <c r="Y236" s="115">
        <f t="shared" si="286"/>
        <v>0</v>
      </c>
      <c r="Z236" s="115">
        <f t="shared" si="287"/>
        <v>0</v>
      </c>
      <c r="AA236" s="113">
        <f t="shared" ref="AA236:BW236" si="331">SUM(AA237:AA240)</f>
        <v>0</v>
      </c>
      <c r="AB236" s="113">
        <f t="shared" si="331"/>
        <v>0</v>
      </c>
      <c r="AC236" s="113">
        <f t="shared" si="331"/>
        <v>0</v>
      </c>
      <c r="AD236" s="113">
        <f t="shared" si="331"/>
        <v>0</v>
      </c>
      <c r="AE236" s="113">
        <f t="shared" si="331"/>
        <v>0</v>
      </c>
      <c r="AF236" s="113">
        <f t="shared" si="331"/>
        <v>0</v>
      </c>
      <c r="AG236" s="113">
        <f t="shared" si="331"/>
        <v>0</v>
      </c>
      <c r="AH236" s="113">
        <f t="shared" si="331"/>
        <v>0</v>
      </c>
      <c r="AI236" s="113">
        <f t="shared" si="331"/>
        <v>0</v>
      </c>
      <c r="AJ236" s="113">
        <f t="shared" si="331"/>
        <v>0</v>
      </c>
      <c r="AK236" s="113">
        <f t="shared" si="331"/>
        <v>0</v>
      </c>
      <c r="AL236" s="113">
        <f t="shared" si="331"/>
        <v>0</v>
      </c>
      <c r="AM236" s="113">
        <f t="shared" si="331"/>
        <v>4200</v>
      </c>
      <c r="AN236" s="113">
        <f t="shared" si="331"/>
        <v>0</v>
      </c>
      <c r="AO236" s="113">
        <f t="shared" si="331"/>
        <v>0</v>
      </c>
      <c r="AP236" s="113">
        <f t="shared" si="331"/>
        <v>4500</v>
      </c>
      <c r="AQ236" s="113">
        <f t="shared" si="331"/>
        <v>0</v>
      </c>
      <c r="AR236" s="113">
        <f t="shared" si="331"/>
        <v>0</v>
      </c>
      <c r="AS236" s="113">
        <f t="shared" si="331"/>
        <v>0</v>
      </c>
      <c r="AT236" s="113">
        <f t="shared" si="331"/>
        <v>0</v>
      </c>
      <c r="AU236" s="113">
        <f t="shared" si="331"/>
        <v>0</v>
      </c>
      <c r="AV236" s="113">
        <f t="shared" si="331"/>
        <v>9000</v>
      </c>
      <c r="AW236" s="113">
        <f t="shared" si="331"/>
        <v>0</v>
      </c>
      <c r="AX236" s="113">
        <f t="shared" si="331"/>
        <v>0</v>
      </c>
      <c r="AY236" s="113">
        <f t="shared" si="331"/>
        <v>6600</v>
      </c>
      <c r="AZ236" s="113">
        <f t="shared" si="331"/>
        <v>0</v>
      </c>
      <c r="BA236" s="113">
        <f t="shared" si="331"/>
        <v>0</v>
      </c>
      <c r="BB236" s="113">
        <f t="shared" si="331"/>
        <v>0</v>
      </c>
      <c r="BC236" s="113">
        <f t="shared" si="331"/>
        <v>0</v>
      </c>
      <c r="BD236" s="113">
        <f t="shared" si="331"/>
        <v>0</v>
      </c>
      <c r="BE236" s="113">
        <f t="shared" si="331"/>
        <v>0</v>
      </c>
      <c r="BF236" s="113">
        <f t="shared" si="331"/>
        <v>0</v>
      </c>
      <c r="BG236" s="113">
        <f t="shared" si="331"/>
        <v>0</v>
      </c>
      <c r="BH236" s="113">
        <f t="shared" si="331"/>
        <v>0</v>
      </c>
      <c r="BI236" s="113">
        <f t="shared" si="331"/>
        <v>0</v>
      </c>
      <c r="BJ236" s="113">
        <f t="shared" si="331"/>
        <v>0</v>
      </c>
      <c r="BK236" s="113">
        <f t="shared" si="331"/>
        <v>0</v>
      </c>
      <c r="BL236" s="113">
        <f t="shared" si="331"/>
        <v>0</v>
      </c>
      <c r="BM236" s="113">
        <f t="shared" si="331"/>
        <v>0</v>
      </c>
      <c r="BN236" s="113">
        <f t="shared" si="331"/>
        <v>24300</v>
      </c>
      <c r="BO236" s="113">
        <f t="shared" si="331"/>
        <v>0</v>
      </c>
      <c r="BP236" s="113">
        <f>SUM(BP237:BP240)</f>
        <v>24300</v>
      </c>
      <c r="BQ236" s="113">
        <f t="shared" si="331"/>
        <v>11400</v>
      </c>
      <c r="BR236" s="113">
        <f t="shared" si="331"/>
        <v>0</v>
      </c>
      <c r="BS236" s="113">
        <f t="shared" si="331"/>
        <v>11400</v>
      </c>
      <c r="BT236" s="113">
        <f t="shared" si="331"/>
        <v>0</v>
      </c>
      <c r="BU236" s="113">
        <f t="shared" si="331"/>
        <v>24300</v>
      </c>
      <c r="BV236" s="113">
        <f t="shared" si="331"/>
        <v>11400</v>
      </c>
      <c r="BW236" s="113">
        <f t="shared" si="331"/>
        <v>24300</v>
      </c>
      <c r="BX236" s="1"/>
      <c r="BY236" s="1"/>
      <c r="BZ236" s="1"/>
      <c r="CA236" s="1"/>
      <c r="CB236" s="1"/>
      <c r="CC236" s="1"/>
      <c r="CD236" s="1"/>
      <c r="CE236" s="1"/>
      <c r="CF236" s="1"/>
      <c r="CG236" s="1"/>
    </row>
    <row r="237" spans="1:85" ht="15.75" customHeight="1">
      <c r="A237" s="56"/>
      <c r="B237" s="426"/>
      <c r="C237" s="394" t="s">
        <v>117</v>
      </c>
      <c r="D237" s="44" t="s">
        <v>547</v>
      </c>
      <c r="E237" s="45">
        <v>2288.65</v>
      </c>
      <c r="F237" s="57">
        <v>0</v>
      </c>
      <c r="G237" s="46">
        <f>E237-F237</f>
        <v>2288.65</v>
      </c>
      <c r="H237" s="46"/>
      <c r="I237" s="47">
        <f t="shared" si="328"/>
        <v>0</v>
      </c>
      <c r="J237" s="47">
        <f t="shared" si="329"/>
        <v>0</v>
      </c>
      <c r="K237" s="142"/>
      <c r="L237" s="49"/>
      <c r="M237" s="50"/>
      <c r="N237" s="50"/>
      <c r="O237" s="51">
        <f t="shared" ref="O237:Q240" si="332">AA237+AD237+AG237+AJ237+AM237+AP237+AS237+AV237+AY237+BB237+BE237+BH237</f>
        <v>0</v>
      </c>
      <c r="P237" s="51">
        <f t="shared" si="332"/>
        <v>0</v>
      </c>
      <c r="Q237" s="51">
        <f t="shared" si="332"/>
        <v>0</v>
      </c>
      <c r="R237" s="52">
        <f t="shared" si="325"/>
        <v>0</v>
      </c>
      <c r="S237" s="52">
        <f t="shared" si="326"/>
        <v>0</v>
      </c>
      <c r="T237" s="52">
        <f t="shared" si="327"/>
        <v>0</v>
      </c>
      <c r="U237" s="369">
        <f>K237-O237</f>
        <v>0</v>
      </c>
      <c r="V237" s="369">
        <f>L237-P237-M237</f>
        <v>0</v>
      </c>
      <c r="W237" s="369">
        <f>N237-Q237</f>
        <v>0</v>
      </c>
      <c r="X237" s="53">
        <f t="shared" si="285"/>
        <v>0</v>
      </c>
      <c r="Y237" s="53">
        <f t="shared" si="286"/>
        <v>0</v>
      </c>
      <c r="Z237" s="53">
        <f t="shared" si="287"/>
        <v>0</v>
      </c>
      <c r="AA237" s="54"/>
      <c r="AB237" s="54"/>
      <c r="AC237" s="54"/>
      <c r="AD237" s="54"/>
      <c r="AE237" s="55"/>
      <c r="AF237" s="55"/>
      <c r="AG237" s="55"/>
      <c r="AH237" s="55"/>
      <c r="AI237" s="54"/>
      <c r="AJ237" s="54"/>
      <c r="AK237" s="54"/>
      <c r="AL237" s="54"/>
      <c r="AM237" s="54"/>
      <c r="AN237" s="54"/>
      <c r="AO237" s="54"/>
      <c r="AP237" s="54"/>
      <c r="AQ237" s="54"/>
      <c r="AR237" s="54"/>
      <c r="AS237" s="54"/>
      <c r="AT237" s="54"/>
      <c r="AU237" s="54"/>
      <c r="AV237" s="54"/>
      <c r="AW237" s="54"/>
      <c r="AX237" s="54"/>
      <c r="AY237" s="54"/>
      <c r="AZ237" s="54"/>
      <c r="BA237" s="54"/>
      <c r="BB237" s="54"/>
      <c r="BC237" s="54"/>
      <c r="BD237" s="54"/>
      <c r="BE237" s="54"/>
      <c r="BF237" s="54"/>
      <c r="BG237" s="54"/>
      <c r="BH237" s="54"/>
      <c r="BI237" s="54"/>
      <c r="BJ237" s="54"/>
      <c r="BK237" s="54"/>
      <c r="BL237" s="54"/>
      <c r="BM237" s="54"/>
      <c r="BN237" s="54">
        <f t="shared" ref="BN237:BN240" si="333">IF(O237-BK237&gt;0,O237-BK237,0)</f>
        <v>0</v>
      </c>
      <c r="BO237" s="58">
        <f t="shared" ref="BO237:BO240" si="334">IF(Q237-BM237&gt;0,Q237-BM237,0)</f>
        <v>0</v>
      </c>
      <c r="BP237" s="54">
        <f t="shared" ref="BP237:BP240" si="335">IF(BN237+BO237&gt;0,BN237+BO237,0)</f>
        <v>0</v>
      </c>
      <c r="BQ237" s="54">
        <f t="shared" ref="BQ237:BQ240" si="336">IF(U237=0,0,U237)</f>
        <v>0</v>
      </c>
      <c r="BR237" s="54">
        <f t="shared" ref="BR237:BR240" si="337">IF(W237=0,0,W237)</f>
        <v>0</v>
      </c>
      <c r="BS237" s="54">
        <f t="shared" ref="BS237:BS240" si="338">IF(BQ237+BR237&gt;0,BQ237+BR237,0)</f>
        <v>0</v>
      </c>
      <c r="BT237" s="54">
        <f t="shared" ref="BT237:BT240" si="339">IF(V237&gt;0,V237,0)</f>
        <v>0</v>
      </c>
      <c r="BU237" s="54">
        <f t="shared" ref="BU237:BU240" si="340">IF(BP237=0,0,BP237)</f>
        <v>0</v>
      </c>
      <c r="BV237" s="54">
        <f t="shared" ref="BV237:BV240" si="341">IF(BS237=0,0,BS237)</f>
        <v>0</v>
      </c>
      <c r="BW237" s="54">
        <f t="shared" ref="BW237:BW240" si="342">IF(BP237+BT237&gt;0,BP237+BT237,0)</f>
        <v>0</v>
      </c>
      <c r="BX237" s="1"/>
      <c r="BY237" s="1"/>
      <c r="BZ237" s="1"/>
      <c r="CA237" s="1"/>
      <c r="CB237" s="1"/>
      <c r="CC237" s="1"/>
      <c r="CD237" s="1"/>
      <c r="CE237" s="1"/>
      <c r="CF237" s="1"/>
      <c r="CG237" s="1"/>
    </row>
    <row r="238" spans="1:85" ht="15.75" customHeight="1">
      <c r="A238" s="56"/>
      <c r="B238" s="426"/>
      <c r="C238" s="394" t="s">
        <v>117</v>
      </c>
      <c r="D238" s="44" t="s">
        <v>548</v>
      </c>
      <c r="E238" s="45">
        <v>2000</v>
      </c>
      <c r="F238" s="46"/>
      <c r="G238" s="46">
        <f>E238-F238</f>
        <v>2000</v>
      </c>
      <c r="H238" s="46"/>
      <c r="I238" s="47">
        <f t="shared" si="328"/>
        <v>0</v>
      </c>
      <c r="J238" s="47">
        <f t="shared" si="329"/>
        <v>0</v>
      </c>
      <c r="K238" s="54"/>
      <c r="L238" s="49"/>
      <c r="M238" s="50"/>
      <c r="N238" s="50"/>
      <c r="O238" s="51">
        <f t="shared" si="332"/>
        <v>0</v>
      </c>
      <c r="P238" s="51">
        <f t="shared" si="332"/>
        <v>0</v>
      </c>
      <c r="Q238" s="51">
        <f t="shared" si="332"/>
        <v>0</v>
      </c>
      <c r="R238" s="52">
        <f t="shared" si="325"/>
        <v>0</v>
      </c>
      <c r="S238" s="52">
        <f t="shared" si="326"/>
        <v>0</v>
      </c>
      <c r="T238" s="52">
        <f t="shared" si="327"/>
        <v>0</v>
      </c>
      <c r="U238" s="369">
        <f>K238-O238</f>
        <v>0</v>
      </c>
      <c r="V238" s="369">
        <f>L238-P238-M238</f>
        <v>0</v>
      </c>
      <c r="W238" s="369">
        <f>N238-Q238</f>
        <v>0</v>
      </c>
      <c r="X238" s="53">
        <f t="shared" si="285"/>
        <v>0</v>
      </c>
      <c r="Y238" s="53">
        <f t="shared" si="286"/>
        <v>0</v>
      </c>
      <c r="Z238" s="53">
        <f t="shared" si="287"/>
        <v>0</v>
      </c>
      <c r="AA238" s="54"/>
      <c r="AB238" s="54"/>
      <c r="AC238" s="54"/>
      <c r="AD238" s="54"/>
      <c r="AE238" s="55"/>
      <c r="AF238" s="55"/>
      <c r="AG238" s="55"/>
      <c r="AH238" s="55"/>
      <c r="AI238" s="54"/>
      <c r="AJ238" s="54"/>
      <c r="AK238" s="54"/>
      <c r="AL238" s="54"/>
      <c r="AM238" s="54"/>
      <c r="AN238" s="54"/>
      <c r="AO238" s="54"/>
      <c r="AP238" s="54"/>
      <c r="AQ238" s="54"/>
      <c r="AR238" s="54"/>
      <c r="AS238" s="54"/>
      <c r="AT238" s="54"/>
      <c r="AU238" s="54"/>
      <c r="AV238" s="54"/>
      <c r="AW238" s="54"/>
      <c r="AX238" s="54"/>
      <c r="AY238" s="54"/>
      <c r="AZ238" s="54"/>
      <c r="BA238" s="54"/>
      <c r="BB238" s="54"/>
      <c r="BC238" s="54"/>
      <c r="BD238" s="54"/>
      <c r="BE238" s="54"/>
      <c r="BF238" s="54"/>
      <c r="BG238" s="54"/>
      <c r="BH238" s="54"/>
      <c r="BI238" s="54"/>
      <c r="BJ238" s="54"/>
      <c r="BK238" s="54"/>
      <c r="BL238" s="54"/>
      <c r="BM238" s="54"/>
      <c r="BN238" s="54">
        <f t="shared" si="333"/>
        <v>0</v>
      </c>
      <c r="BO238" s="58">
        <f t="shared" si="334"/>
        <v>0</v>
      </c>
      <c r="BP238" s="54">
        <f t="shared" si="335"/>
        <v>0</v>
      </c>
      <c r="BQ238" s="54">
        <f t="shared" si="336"/>
        <v>0</v>
      </c>
      <c r="BR238" s="54">
        <f t="shared" si="337"/>
        <v>0</v>
      </c>
      <c r="BS238" s="54">
        <f t="shared" si="338"/>
        <v>0</v>
      </c>
      <c r="BT238" s="54">
        <f t="shared" si="339"/>
        <v>0</v>
      </c>
      <c r="BU238" s="54">
        <f t="shared" si="340"/>
        <v>0</v>
      </c>
      <c r="BV238" s="54">
        <f t="shared" si="341"/>
        <v>0</v>
      </c>
      <c r="BW238" s="54">
        <f t="shared" si="342"/>
        <v>0</v>
      </c>
      <c r="BX238" s="1"/>
      <c r="BY238" s="1"/>
      <c r="BZ238" s="1"/>
      <c r="CA238" s="1"/>
      <c r="CB238" s="1"/>
      <c r="CC238" s="1"/>
      <c r="CD238" s="1"/>
      <c r="CE238" s="1"/>
      <c r="CF238" s="1"/>
      <c r="CG238" s="1"/>
    </row>
    <row r="239" spans="1:85" ht="15.75" customHeight="1">
      <c r="A239" s="43" t="s">
        <v>549</v>
      </c>
      <c r="B239" s="426"/>
      <c r="C239" s="394" t="s">
        <v>550</v>
      </c>
      <c r="D239" s="86" t="s">
        <v>551</v>
      </c>
      <c r="E239" s="45">
        <v>30000</v>
      </c>
      <c r="F239" s="80">
        <v>5045.46</v>
      </c>
      <c r="G239" s="46">
        <f>E239-F239</f>
        <v>24954.54</v>
      </c>
      <c r="H239" s="46"/>
      <c r="I239" s="47">
        <f t="shared" si="328"/>
        <v>1.4306014055959355</v>
      </c>
      <c r="J239" s="47">
        <f t="shared" si="329"/>
        <v>0.97377070464933435</v>
      </c>
      <c r="K239" s="48">
        <f>46000-10300</f>
        <v>35700</v>
      </c>
      <c r="L239" s="49"/>
      <c r="M239" s="50"/>
      <c r="N239" s="50"/>
      <c r="O239" s="51">
        <f t="shared" si="332"/>
        <v>24300</v>
      </c>
      <c r="P239" s="51">
        <f t="shared" si="332"/>
        <v>0</v>
      </c>
      <c r="Q239" s="51">
        <f t="shared" si="332"/>
        <v>0</v>
      </c>
      <c r="R239" s="52">
        <f t="shared" si="325"/>
        <v>24300</v>
      </c>
      <c r="S239" s="52">
        <f t="shared" si="326"/>
        <v>0</v>
      </c>
      <c r="T239" s="52">
        <f t="shared" si="327"/>
        <v>0</v>
      </c>
      <c r="U239" s="368">
        <f>K239-O239</f>
        <v>11400</v>
      </c>
      <c r="V239" s="369">
        <f>L239-P239-M239</f>
        <v>0</v>
      </c>
      <c r="W239" s="369">
        <f>N239-Q239</f>
        <v>0</v>
      </c>
      <c r="X239" s="53">
        <f t="shared" si="285"/>
        <v>0.68067226890756305</v>
      </c>
      <c r="Y239" s="53">
        <f t="shared" si="286"/>
        <v>0</v>
      </c>
      <c r="Z239" s="53">
        <f t="shared" si="287"/>
        <v>0</v>
      </c>
      <c r="AA239" s="54"/>
      <c r="AB239" s="54"/>
      <c r="AC239" s="54"/>
      <c r="AD239" s="54"/>
      <c r="AE239" s="55"/>
      <c r="AF239" s="55"/>
      <c r="AG239" s="55"/>
      <c r="AH239" s="55"/>
      <c r="AI239" s="54"/>
      <c r="AJ239" s="54"/>
      <c r="AK239" s="54"/>
      <c r="AL239" s="54"/>
      <c r="AM239" s="48">
        <v>4200</v>
      </c>
      <c r="AN239" s="54"/>
      <c r="AO239" s="54"/>
      <c r="AP239" s="48">
        <v>4500</v>
      </c>
      <c r="AQ239" s="54"/>
      <c r="AR239" s="54"/>
      <c r="AS239" s="54"/>
      <c r="AT239" s="54"/>
      <c r="AU239" s="54"/>
      <c r="AV239" s="54">
        <f>4500+4500</f>
        <v>9000</v>
      </c>
      <c r="AW239" s="54"/>
      <c r="AX239" s="54"/>
      <c r="AY239" s="54">
        <f>6600</f>
        <v>6600</v>
      </c>
      <c r="AZ239" s="54"/>
      <c r="BA239" s="54"/>
      <c r="BB239" s="54"/>
      <c r="BC239" s="54"/>
      <c r="BD239" s="54"/>
      <c r="BE239" s="54"/>
      <c r="BF239" s="54"/>
      <c r="BG239" s="54"/>
      <c r="BH239" s="54"/>
      <c r="BI239" s="54"/>
      <c r="BJ239" s="54"/>
      <c r="BK239" s="54"/>
      <c r="BL239" s="54"/>
      <c r="BM239" s="54"/>
      <c r="BN239" s="54">
        <f t="shared" si="333"/>
        <v>24300</v>
      </c>
      <c r="BO239" s="58">
        <f t="shared" si="334"/>
        <v>0</v>
      </c>
      <c r="BP239" s="54">
        <f t="shared" si="335"/>
        <v>24300</v>
      </c>
      <c r="BQ239" s="54">
        <f t="shared" si="336"/>
        <v>11400</v>
      </c>
      <c r="BR239" s="54">
        <f t="shared" si="337"/>
        <v>0</v>
      </c>
      <c r="BS239" s="54">
        <f t="shared" si="338"/>
        <v>11400</v>
      </c>
      <c r="BT239" s="54">
        <f t="shared" si="339"/>
        <v>0</v>
      </c>
      <c r="BU239" s="54">
        <f t="shared" si="340"/>
        <v>24300</v>
      </c>
      <c r="BV239" s="54">
        <f t="shared" si="341"/>
        <v>11400</v>
      </c>
      <c r="BW239" s="54">
        <f t="shared" si="342"/>
        <v>24300</v>
      </c>
      <c r="BX239" s="1"/>
      <c r="BY239" s="1"/>
      <c r="BZ239" s="1"/>
      <c r="CA239" s="1"/>
      <c r="CB239" s="1"/>
      <c r="CC239" s="1"/>
      <c r="CD239" s="1"/>
      <c r="CE239" s="1"/>
      <c r="CF239" s="1"/>
      <c r="CG239" s="1"/>
    </row>
    <row r="240" spans="1:85" ht="15.75" customHeight="1">
      <c r="A240" s="56"/>
      <c r="B240" s="426"/>
      <c r="C240" s="394" t="s">
        <v>357</v>
      </c>
      <c r="D240" s="166" t="s">
        <v>552</v>
      </c>
      <c r="E240" s="45">
        <v>12000</v>
      </c>
      <c r="F240" s="46">
        <v>0</v>
      </c>
      <c r="G240" s="46">
        <f>E240-F240</f>
        <v>12000</v>
      </c>
      <c r="H240" s="46"/>
      <c r="I240" s="47">
        <f t="shared" si="328"/>
        <v>0</v>
      </c>
      <c r="J240" s="47">
        <f t="shared" si="329"/>
        <v>0</v>
      </c>
      <c r="K240" s="54"/>
      <c r="L240" s="49"/>
      <c r="M240" s="50"/>
      <c r="N240" s="50"/>
      <c r="O240" s="51">
        <f t="shared" si="332"/>
        <v>0</v>
      </c>
      <c r="P240" s="51">
        <f t="shared" si="332"/>
        <v>0</v>
      </c>
      <c r="Q240" s="51">
        <f t="shared" si="332"/>
        <v>0</v>
      </c>
      <c r="R240" s="52">
        <f t="shared" si="325"/>
        <v>0</v>
      </c>
      <c r="S240" s="52">
        <f t="shared" si="326"/>
        <v>0</v>
      </c>
      <c r="T240" s="52">
        <f t="shared" si="327"/>
        <v>0</v>
      </c>
      <c r="U240" s="369">
        <f>K240-O240</f>
        <v>0</v>
      </c>
      <c r="V240" s="369">
        <f>L240-P240-M240</f>
        <v>0</v>
      </c>
      <c r="W240" s="369">
        <f>N240-Q240</f>
        <v>0</v>
      </c>
      <c r="X240" s="53">
        <f t="shared" si="285"/>
        <v>0</v>
      </c>
      <c r="Y240" s="53">
        <f t="shared" si="286"/>
        <v>0</v>
      </c>
      <c r="Z240" s="53">
        <f t="shared" si="287"/>
        <v>0</v>
      </c>
      <c r="AA240" s="54"/>
      <c r="AB240" s="54"/>
      <c r="AC240" s="54"/>
      <c r="AD240" s="54"/>
      <c r="AE240" s="55"/>
      <c r="AF240" s="55"/>
      <c r="AG240" s="55"/>
      <c r="AH240" s="55"/>
      <c r="AI240" s="54"/>
      <c r="AJ240" s="54"/>
      <c r="AK240" s="54"/>
      <c r="AL240" s="54"/>
      <c r="AM240" s="54"/>
      <c r="AN240" s="54"/>
      <c r="AO240" s="54"/>
      <c r="AP240" s="54"/>
      <c r="AQ240" s="54"/>
      <c r="AR240" s="54"/>
      <c r="AS240" s="54"/>
      <c r="AT240" s="54"/>
      <c r="AU240" s="54"/>
      <c r="AV240" s="54"/>
      <c r="AW240" s="54"/>
      <c r="AX240" s="54"/>
      <c r="AY240" s="54"/>
      <c r="AZ240" s="54"/>
      <c r="BA240" s="54"/>
      <c r="BB240" s="54"/>
      <c r="BC240" s="54"/>
      <c r="BD240" s="54"/>
      <c r="BE240" s="54"/>
      <c r="BF240" s="54"/>
      <c r="BG240" s="54"/>
      <c r="BH240" s="54"/>
      <c r="BI240" s="54"/>
      <c r="BJ240" s="54"/>
      <c r="BK240" s="54"/>
      <c r="BL240" s="54"/>
      <c r="BM240" s="54"/>
      <c r="BN240" s="54">
        <f t="shared" si="333"/>
        <v>0</v>
      </c>
      <c r="BO240" s="58">
        <f t="shared" si="334"/>
        <v>0</v>
      </c>
      <c r="BP240" s="54">
        <f t="shared" si="335"/>
        <v>0</v>
      </c>
      <c r="BQ240" s="54">
        <f t="shared" si="336"/>
        <v>0</v>
      </c>
      <c r="BR240" s="54">
        <f t="shared" si="337"/>
        <v>0</v>
      </c>
      <c r="BS240" s="54">
        <f t="shared" si="338"/>
        <v>0</v>
      </c>
      <c r="BT240" s="54">
        <f t="shared" si="339"/>
        <v>0</v>
      </c>
      <c r="BU240" s="54">
        <f t="shared" si="340"/>
        <v>0</v>
      </c>
      <c r="BV240" s="54">
        <f t="shared" si="341"/>
        <v>0</v>
      </c>
      <c r="BW240" s="54">
        <f t="shared" si="342"/>
        <v>0</v>
      </c>
      <c r="BX240" s="1"/>
      <c r="BY240" s="1"/>
      <c r="BZ240" s="1"/>
      <c r="CA240" s="1"/>
      <c r="CB240" s="1"/>
      <c r="CC240" s="1"/>
      <c r="CD240" s="1"/>
      <c r="CE240" s="1"/>
      <c r="CF240" s="1"/>
      <c r="CG240" s="1"/>
    </row>
    <row r="241" spans="1:85" ht="15.75" customHeight="1">
      <c r="A241" s="165"/>
      <c r="B241" s="434"/>
      <c r="C241" s="401"/>
      <c r="D241" s="111" t="s">
        <v>553</v>
      </c>
      <c r="E241" s="112">
        <f>E242+E253+E263+E302</f>
        <v>231443.26</v>
      </c>
      <c r="F241" s="113">
        <f>F242+F253+F263+F302</f>
        <v>25227.3</v>
      </c>
      <c r="G241" s="113">
        <f>G242+G253+G263+G302</f>
        <v>206215.96</v>
      </c>
      <c r="H241" s="113">
        <f>H242+H253+H263+H302</f>
        <v>5259944.87</v>
      </c>
      <c r="I241" s="114">
        <f t="shared" si="328"/>
        <v>9.5724889576927027E-2</v>
      </c>
      <c r="J241" s="114">
        <f t="shared" si="329"/>
        <v>2.6840793505992458E-2</v>
      </c>
      <c r="K241" s="113">
        <f t="shared" ref="K241:W241" si="343">K242+K253+K263+K302</f>
        <v>19740</v>
      </c>
      <c r="L241" s="113">
        <f t="shared" si="343"/>
        <v>1635153.39</v>
      </c>
      <c r="M241" s="113">
        <f t="shared" si="343"/>
        <v>39693.29</v>
      </c>
      <c r="N241" s="113">
        <f t="shared" si="343"/>
        <v>3316995.37</v>
      </c>
      <c r="O241" s="113">
        <f t="shared" si="343"/>
        <v>5535</v>
      </c>
      <c r="P241" s="113">
        <f t="shared" si="343"/>
        <v>1237367.5699999998</v>
      </c>
      <c r="Q241" s="113">
        <f t="shared" si="343"/>
        <v>2012585.6800000002</v>
      </c>
      <c r="R241" s="113">
        <f t="shared" si="343"/>
        <v>5535</v>
      </c>
      <c r="S241" s="113">
        <f t="shared" si="343"/>
        <v>1237367.5699999998</v>
      </c>
      <c r="T241" s="113">
        <f t="shared" si="343"/>
        <v>2012585.6800000002</v>
      </c>
      <c r="U241" s="372">
        <f t="shared" si="343"/>
        <v>14205</v>
      </c>
      <c r="V241" s="372">
        <f t="shared" si="343"/>
        <v>358092.53</v>
      </c>
      <c r="W241" s="372">
        <f t="shared" si="343"/>
        <v>1304409.69</v>
      </c>
      <c r="X241" s="115">
        <f t="shared" si="285"/>
        <v>0.28039513677811551</v>
      </c>
      <c r="Y241" s="115">
        <f t="shared" si="286"/>
        <v>0.75672874335049378</v>
      </c>
      <c r="Z241" s="115">
        <f t="shared" si="287"/>
        <v>0.60674961991279475</v>
      </c>
      <c r="AA241" s="113">
        <f t="shared" ref="AA241:BW241" si="344">AA242+AA253+AA263+AA302</f>
        <v>0</v>
      </c>
      <c r="AB241" s="113">
        <f t="shared" si="344"/>
        <v>49035.380000000005</v>
      </c>
      <c r="AC241" s="113">
        <f t="shared" si="344"/>
        <v>0</v>
      </c>
      <c r="AD241" s="113">
        <f t="shared" si="344"/>
        <v>0</v>
      </c>
      <c r="AE241" s="113">
        <f t="shared" si="344"/>
        <v>206991.97</v>
      </c>
      <c r="AF241" s="113">
        <f t="shared" si="344"/>
        <v>405.27</v>
      </c>
      <c r="AG241" s="113">
        <f t="shared" si="344"/>
        <v>0</v>
      </c>
      <c r="AH241" s="113">
        <f t="shared" si="344"/>
        <v>176347.08000000002</v>
      </c>
      <c r="AI241" s="113">
        <f t="shared" si="344"/>
        <v>106717.36</v>
      </c>
      <c r="AJ241" s="113">
        <f t="shared" si="344"/>
        <v>0</v>
      </c>
      <c r="AK241" s="113">
        <f t="shared" si="344"/>
        <v>187701.7</v>
      </c>
      <c r="AL241" s="113">
        <f t="shared" si="344"/>
        <v>203632.5</v>
      </c>
      <c r="AM241" s="113">
        <f t="shared" si="344"/>
        <v>0</v>
      </c>
      <c r="AN241" s="113">
        <f t="shared" si="344"/>
        <v>105709.15999999999</v>
      </c>
      <c r="AO241" s="113">
        <f t="shared" si="344"/>
        <v>312364.15000000002</v>
      </c>
      <c r="AP241" s="113">
        <f t="shared" si="344"/>
        <v>5535</v>
      </c>
      <c r="AQ241" s="113">
        <f t="shared" si="344"/>
        <v>199159.65</v>
      </c>
      <c r="AR241" s="113">
        <f t="shared" si="344"/>
        <v>268044.06000000006</v>
      </c>
      <c r="AS241" s="113">
        <f t="shared" si="344"/>
        <v>0</v>
      </c>
      <c r="AT241" s="113">
        <f t="shared" si="344"/>
        <v>53670.19</v>
      </c>
      <c r="AU241" s="113">
        <f t="shared" si="344"/>
        <v>288645.99</v>
      </c>
      <c r="AV241" s="113">
        <f t="shared" si="344"/>
        <v>0</v>
      </c>
      <c r="AW241" s="113">
        <f t="shared" si="344"/>
        <v>156560.64000000001</v>
      </c>
      <c r="AX241" s="113">
        <f t="shared" si="344"/>
        <v>606674.01</v>
      </c>
      <c r="AY241" s="113">
        <f t="shared" si="344"/>
        <v>0</v>
      </c>
      <c r="AZ241" s="113">
        <f t="shared" si="344"/>
        <v>102191.8</v>
      </c>
      <c r="BA241" s="113">
        <f t="shared" si="344"/>
        <v>226102.34</v>
      </c>
      <c r="BB241" s="113">
        <f t="shared" si="344"/>
        <v>0</v>
      </c>
      <c r="BC241" s="113">
        <f t="shared" si="344"/>
        <v>0</v>
      </c>
      <c r="BD241" s="113">
        <f t="shared" si="344"/>
        <v>0</v>
      </c>
      <c r="BE241" s="113">
        <f t="shared" si="344"/>
        <v>0</v>
      </c>
      <c r="BF241" s="113">
        <f t="shared" si="344"/>
        <v>0</v>
      </c>
      <c r="BG241" s="113">
        <f t="shared" si="344"/>
        <v>0</v>
      </c>
      <c r="BH241" s="113">
        <f t="shared" si="344"/>
        <v>0</v>
      </c>
      <c r="BI241" s="113">
        <f t="shared" si="344"/>
        <v>0</v>
      </c>
      <c r="BJ241" s="113">
        <f t="shared" si="344"/>
        <v>0</v>
      </c>
      <c r="BK241" s="113">
        <f t="shared" si="344"/>
        <v>0</v>
      </c>
      <c r="BL241" s="113">
        <f t="shared" si="344"/>
        <v>0</v>
      </c>
      <c r="BM241" s="113">
        <f t="shared" si="344"/>
        <v>0</v>
      </c>
      <c r="BN241" s="113">
        <f t="shared" si="344"/>
        <v>5535</v>
      </c>
      <c r="BO241" s="113">
        <f t="shared" si="344"/>
        <v>2012585.6800000002</v>
      </c>
      <c r="BP241" s="113">
        <f>BP242+BP253+BP263+BP302</f>
        <v>2018120.6800000002</v>
      </c>
      <c r="BQ241" s="113">
        <f t="shared" si="344"/>
        <v>14205</v>
      </c>
      <c r="BR241" s="113">
        <f t="shared" si="344"/>
        <v>1304409.69</v>
      </c>
      <c r="BS241" s="113">
        <f t="shared" si="344"/>
        <v>1318614.69</v>
      </c>
      <c r="BT241" s="113">
        <f t="shared" si="344"/>
        <v>358092.53</v>
      </c>
      <c r="BU241" s="113">
        <f t="shared" si="344"/>
        <v>2018120.6800000002</v>
      </c>
      <c r="BV241" s="113">
        <f t="shared" si="344"/>
        <v>1318614.69</v>
      </c>
      <c r="BW241" s="113">
        <f t="shared" si="344"/>
        <v>2376213.21</v>
      </c>
      <c r="BX241" s="1"/>
      <c r="BY241" s="1"/>
      <c r="BZ241" s="1"/>
      <c r="CA241" s="1"/>
      <c r="CB241" s="1"/>
      <c r="CC241" s="1"/>
      <c r="CD241" s="1"/>
      <c r="CE241" s="1"/>
      <c r="CF241" s="1"/>
      <c r="CG241" s="1"/>
    </row>
    <row r="242" spans="1:85" ht="15.75" customHeight="1">
      <c r="A242" s="167"/>
      <c r="B242" s="441"/>
      <c r="C242" s="405"/>
      <c r="D242" s="168" t="s">
        <v>554</v>
      </c>
      <c r="E242" s="162">
        <f>SUM(E243:E252)</f>
        <v>231443.26</v>
      </c>
      <c r="F242" s="162">
        <f>SUM(F243:F252)</f>
        <v>25227.3</v>
      </c>
      <c r="G242" s="162">
        <f>SUM(G243:G252)</f>
        <v>206215.96</v>
      </c>
      <c r="H242" s="162">
        <f>SUM(H243:H252)</f>
        <v>10000</v>
      </c>
      <c r="I242" s="169">
        <f t="shared" si="328"/>
        <v>5.329364419708349E-2</v>
      </c>
      <c r="J242" s="169">
        <f t="shared" si="329"/>
        <v>2.1991508319724625E-2</v>
      </c>
      <c r="K242" s="127">
        <f t="shared" ref="K242:W242" si="345">SUM(K243:K252)</f>
        <v>10990</v>
      </c>
      <c r="L242" s="127">
        <f t="shared" si="345"/>
        <v>0</v>
      </c>
      <c r="M242" s="127">
        <f t="shared" si="345"/>
        <v>0</v>
      </c>
      <c r="N242" s="127">
        <f t="shared" si="345"/>
        <v>0</v>
      </c>
      <c r="O242" s="127">
        <f t="shared" si="345"/>
        <v>4535</v>
      </c>
      <c r="P242" s="127">
        <f t="shared" si="345"/>
        <v>0</v>
      </c>
      <c r="Q242" s="127">
        <f t="shared" si="345"/>
        <v>0</v>
      </c>
      <c r="R242" s="127">
        <f t="shared" si="345"/>
        <v>4535</v>
      </c>
      <c r="S242" s="127">
        <f t="shared" si="345"/>
        <v>0</v>
      </c>
      <c r="T242" s="127">
        <f t="shared" si="345"/>
        <v>0</v>
      </c>
      <c r="U242" s="375">
        <f t="shared" si="345"/>
        <v>6455</v>
      </c>
      <c r="V242" s="375">
        <f t="shared" si="345"/>
        <v>0</v>
      </c>
      <c r="W242" s="375">
        <f t="shared" si="345"/>
        <v>0</v>
      </c>
      <c r="X242" s="36">
        <f t="shared" si="285"/>
        <v>0.41264786169244766</v>
      </c>
      <c r="Y242" s="36">
        <f t="shared" si="286"/>
        <v>0</v>
      </c>
      <c r="Z242" s="36">
        <f t="shared" si="287"/>
        <v>0</v>
      </c>
      <c r="AA242" s="170">
        <f t="shared" ref="AA242:BW242" si="346">SUM(AA243:AA252)</f>
        <v>0</v>
      </c>
      <c r="AB242" s="170">
        <f t="shared" si="346"/>
        <v>0</v>
      </c>
      <c r="AC242" s="170">
        <f t="shared" si="346"/>
        <v>0</v>
      </c>
      <c r="AD242" s="170">
        <f t="shared" si="346"/>
        <v>0</v>
      </c>
      <c r="AE242" s="170">
        <f t="shared" si="346"/>
        <v>0</v>
      </c>
      <c r="AF242" s="170">
        <f t="shared" si="346"/>
        <v>0</v>
      </c>
      <c r="AG242" s="170">
        <f t="shared" si="346"/>
        <v>0</v>
      </c>
      <c r="AH242" s="170">
        <f t="shared" si="346"/>
        <v>0</v>
      </c>
      <c r="AI242" s="170">
        <f t="shared" si="346"/>
        <v>0</v>
      </c>
      <c r="AJ242" s="170">
        <f t="shared" si="346"/>
        <v>0</v>
      </c>
      <c r="AK242" s="170">
        <f t="shared" si="346"/>
        <v>0</v>
      </c>
      <c r="AL242" s="170">
        <f t="shared" si="346"/>
        <v>0</v>
      </c>
      <c r="AM242" s="170">
        <f t="shared" si="346"/>
        <v>0</v>
      </c>
      <c r="AN242" s="170">
        <f t="shared" si="346"/>
        <v>0</v>
      </c>
      <c r="AO242" s="170">
        <f t="shared" si="346"/>
        <v>0</v>
      </c>
      <c r="AP242" s="170">
        <f t="shared" si="346"/>
        <v>4535</v>
      </c>
      <c r="AQ242" s="170">
        <f t="shared" si="346"/>
        <v>0</v>
      </c>
      <c r="AR242" s="170">
        <f t="shared" si="346"/>
        <v>0</v>
      </c>
      <c r="AS242" s="170">
        <f t="shared" si="346"/>
        <v>0</v>
      </c>
      <c r="AT242" s="170">
        <f t="shared" si="346"/>
        <v>0</v>
      </c>
      <c r="AU242" s="170">
        <f t="shared" si="346"/>
        <v>0</v>
      </c>
      <c r="AV242" s="170">
        <f t="shared" si="346"/>
        <v>0</v>
      </c>
      <c r="AW242" s="170">
        <f t="shared" si="346"/>
        <v>0</v>
      </c>
      <c r="AX242" s="170">
        <f t="shared" si="346"/>
        <v>0</v>
      </c>
      <c r="AY242" s="170">
        <f t="shared" si="346"/>
        <v>0</v>
      </c>
      <c r="AZ242" s="170">
        <f t="shared" si="346"/>
        <v>0</v>
      </c>
      <c r="BA242" s="170">
        <f t="shared" si="346"/>
        <v>0</v>
      </c>
      <c r="BB242" s="170">
        <f t="shared" si="346"/>
        <v>0</v>
      </c>
      <c r="BC242" s="170">
        <f t="shared" si="346"/>
        <v>0</v>
      </c>
      <c r="BD242" s="170">
        <f t="shared" si="346"/>
        <v>0</v>
      </c>
      <c r="BE242" s="170">
        <f t="shared" si="346"/>
        <v>0</v>
      </c>
      <c r="BF242" s="170">
        <f t="shared" si="346"/>
        <v>0</v>
      </c>
      <c r="BG242" s="170">
        <f t="shared" si="346"/>
        <v>0</v>
      </c>
      <c r="BH242" s="170">
        <f t="shared" si="346"/>
        <v>0</v>
      </c>
      <c r="BI242" s="170">
        <f t="shared" si="346"/>
        <v>0</v>
      </c>
      <c r="BJ242" s="170">
        <f t="shared" si="346"/>
        <v>0</v>
      </c>
      <c r="BK242" s="170">
        <f t="shared" si="346"/>
        <v>0</v>
      </c>
      <c r="BL242" s="170">
        <f t="shared" si="346"/>
        <v>0</v>
      </c>
      <c r="BM242" s="170">
        <f t="shared" si="346"/>
        <v>0</v>
      </c>
      <c r="BN242" s="170">
        <f t="shared" si="346"/>
        <v>4535</v>
      </c>
      <c r="BO242" s="170">
        <f t="shared" si="346"/>
        <v>0</v>
      </c>
      <c r="BP242" s="170">
        <f>SUM(BP243:BP252)</f>
        <v>4535</v>
      </c>
      <c r="BQ242" s="170">
        <f t="shared" si="346"/>
        <v>6455</v>
      </c>
      <c r="BR242" s="170">
        <f t="shared" si="346"/>
        <v>0</v>
      </c>
      <c r="BS242" s="170">
        <f t="shared" si="346"/>
        <v>6455</v>
      </c>
      <c r="BT242" s="170">
        <f t="shared" si="346"/>
        <v>0</v>
      </c>
      <c r="BU242" s="170">
        <f t="shared" si="346"/>
        <v>4535</v>
      </c>
      <c r="BV242" s="170">
        <f t="shared" si="346"/>
        <v>6455</v>
      </c>
      <c r="BW242" s="170">
        <f t="shared" si="346"/>
        <v>4535</v>
      </c>
      <c r="BX242" s="1"/>
      <c r="BY242" s="1"/>
      <c r="BZ242" s="1"/>
      <c r="CA242" s="1"/>
      <c r="CB242" s="1"/>
      <c r="CC242" s="1"/>
      <c r="CD242" s="1"/>
      <c r="CE242" s="1"/>
      <c r="CF242" s="1"/>
      <c r="CG242" s="1"/>
    </row>
    <row r="243" spans="1:85" ht="15.75" customHeight="1">
      <c r="A243" s="56"/>
      <c r="B243" s="416"/>
      <c r="C243" s="394" t="s">
        <v>129</v>
      </c>
      <c r="D243" s="44" t="s">
        <v>555</v>
      </c>
      <c r="E243" s="45">
        <v>1000</v>
      </c>
      <c r="F243" s="57">
        <v>0</v>
      </c>
      <c r="G243" s="46">
        <f t="shared" ref="G243:G252" si="347">E243-F243</f>
        <v>1000</v>
      </c>
      <c r="H243" s="46"/>
      <c r="I243" s="47">
        <f t="shared" si="328"/>
        <v>0</v>
      </c>
      <c r="J243" s="47">
        <f t="shared" si="329"/>
        <v>0</v>
      </c>
      <c r="K243" s="54"/>
      <c r="L243" s="49"/>
      <c r="M243" s="54"/>
      <c r="N243" s="54"/>
      <c r="O243" s="51">
        <f t="shared" ref="O243:O252" si="348">AA243+AD243+AG243+AJ243+AM243+AP243+AS243+AV243+AY243+BB243+BE243+BH243</f>
        <v>0</v>
      </c>
      <c r="P243" s="51">
        <f t="shared" ref="P243:P252" si="349">AB243+AE243+AH243+AK243+AN243+AQ243+AT243+AW243+AZ243+BC243+BF243+BI243</f>
        <v>0</v>
      </c>
      <c r="Q243" s="51">
        <f t="shared" ref="Q243:Q252" si="350">AC243+AF243+AI243+AL243+AO243+AR243+AU243+AX243+BA243+BD243+BG243+BJ243</f>
        <v>0</v>
      </c>
      <c r="R243" s="52">
        <f t="shared" ref="R243:R262" si="351">IF(BK243=0,SUM(AA243+AD243+AG243+AJ243+AM243+AP243+AS243+AV243+AY243+BB243+BE243+BH243),BK243)</f>
        <v>0</v>
      </c>
      <c r="S243" s="52">
        <f t="shared" ref="S243:S262" si="352">IF(BL243=0,SUM(AB243+AE243+AH243+AK243+AN243+AQ243+AT243+AW243+AZ243+BC243+BF243+BI243),BL243)</f>
        <v>0</v>
      </c>
      <c r="T243" s="52">
        <f t="shared" ref="T243:T262" si="353">IF(BM243=0,SUM(AC243+AF243+AI243+AL243+AO243+AR243+AU243+AX243+BA243+BD243+BG243+BJ243),BM243)</f>
        <v>0</v>
      </c>
      <c r="U243" s="369">
        <f t="shared" ref="U243:U252" si="354">K243-O243</f>
        <v>0</v>
      </c>
      <c r="V243" s="369">
        <f t="shared" ref="V243:V252" si="355">L243-P243-M243</f>
        <v>0</v>
      </c>
      <c r="W243" s="369">
        <f t="shared" ref="W243:W252" si="356">N243-Q243</f>
        <v>0</v>
      </c>
      <c r="X243" s="53">
        <f t="shared" si="285"/>
        <v>0</v>
      </c>
      <c r="Y243" s="53">
        <f t="shared" si="286"/>
        <v>0</v>
      </c>
      <c r="Z243" s="53">
        <f t="shared" si="287"/>
        <v>0</v>
      </c>
      <c r="AA243" s="54"/>
      <c r="AB243" s="54"/>
      <c r="AC243" s="54"/>
      <c r="AD243" s="54"/>
      <c r="AE243" s="55"/>
      <c r="AF243" s="55"/>
      <c r="AG243" s="55"/>
      <c r="AH243" s="55"/>
      <c r="AI243" s="54"/>
      <c r="AJ243" s="54"/>
      <c r="AK243" s="54"/>
      <c r="AL243" s="54"/>
      <c r="AM243" s="54"/>
      <c r="AN243" s="54"/>
      <c r="AO243" s="54"/>
      <c r="AP243" s="54"/>
      <c r="AQ243" s="54"/>
      <c r="AR243" s="54"/>
      <c r="AS243" s="54"/>
      <c r="AT243" s="54"/>
      <c r="AU243" s="54"/>
      <c r="AV243" s="54"/>
      <c r="AW243" s="54"/>
      <c r="AX243" s="54"/>
      <c r="AY243" s="54"/>
      <c r="AZ243" s="54"/>
      <c r="BA243" s="54"/>
      <c r="BB243" s="54"/>
      <c r="BC243" s="54"/>
      <c r="BD243" s="54"/>
      <c r="BE243" s="54"/>
      <c r="BF243" s="54"/>
      <c r="BG243" s="54"/>
      <c r="BH243" s="54"/>
      <c r="BI243" s="54"/>
      <c r="BJ243" s="54"/>
      <c r="BK243" s="54"/>
      <c r="BL243" s="54"/>
      <c r="BM243" s="54"/>
      <c r="BN243" s="54">
        <f t="shared" ref="BN243" si="357">IF(O243-BK243&gt;0,O243-BK243,0)</f>
        <v>0</v>
      </c>
      <c r="BO243" s="58">
        <f t="shared" ref="BO243" si="358">IF(Q243-BM243&gt;0,Q243-BM243,0)</f>
        <v>0</v>
      </c>
      <c r="BP243" s="54">
        <f t="shared" ref="BP243" si="359">IF(BN243+BO243&gt;0,BN243+BO243,0)</f>
        <v>0</v>
      </c>
      <c r="BQ243" s="54">
        <f t="shared" ref="BQ243" si="360">IF(U243=0,0,U243)</f>
        <v>0</v>
      </c>
      <c r="BR243" s="54">
        <f t="shared" ref="BR243" si="361">IF(W243=0,0,W243)</f>
        <v>0</v>
      </c>
      <c r="BS243" s="54">
        <f t="shared" ref="BS243" si="362">IF(BQ243+BR243&gt;0,BQ243+BR243,0)</f>
        <v>0</v>
      </c>
      <c r="BT243" s="54">
        <f t="shared" ref="BT243" si="363">IF(V243&gt;0,V243,0)</f>
        <v>0</v>
      </c>
      <c r="BU243" s="54">
        <f t="shared" ref="BU243" si="364">IF(BP243=0,0,BP243)</f>
        <v>0</v>
      </c>
      <c r="BV243" s="54">
        <f t="shared" ref="BV243" si="365">IF(BS243=0,0,BS243)</f>
        <v>0</v>
      </c>
      <c r="BW243" s="54">
        <f t="shared" ref="BW243" si="366">IF(BP243+BT243&gt;0,BP243+BT243,0)</f>
        <v>0</v>
      </c>
      <c r="BX243" s="1"/>
      <c r="BY243" s="1"/>
      <c r="BZ243" s="1"/>
      <c r="CA243" s="1"/>
      <c r="CB243" s="1"/>
      <c r="CC243" s="1"/>
      <c r="CD243" s="1"/>
      <c r="CE243" s="1"/>
      <c r="CF243" s="1"/>
      <c r="CG243" s="1"/>
    </row>
    <row r="244" spans="1:85" ht="15.75" customHeight="1">
      <c r="A244" s="56"/>
      <c r="B244" s="416"/>
      <c r="C244" s="394" t="s">
        <v>556</v>
      </c>
      <c r="D244" s="44" t="s">
        <v>557</v>
      </c>
      <c r="E244" s="45">
        <v>20000</v>
      </c>
      <c r="F244" s="46"/>
      <c r="G244" s="46">
        <f t="shared" si="347"/>
        <v>20000</v>
      </c>
      <c r="H244" s="46"/>
      <c r="I244" s="47">
        <f t="shared" si="328"/>
        <v>0</v>
      </c>
      <c r="J244" s="47">
        <f t="shared" si="329"/>
        <v>0</v>
      </c>
      <c r="K244" s="54"/>
      <c r="L244" s="49"/>
      <c r="M244" s="54"/>
      <c r="N244" s="54"/>
      <c r="O244" s="51">
        <f t="shared" si="348"/>
        <v>0</v>
      </c>
      <c r="P244" s="51">
        <f t="shared" si="349"/>
        <v>0</v>
      </c>
      <c r="Q244" s="51">
        <f t="shared" si="350"/>
        <v>0</v>
      </c>
      <c r="R244" s="52">
        <f t="shared" si="351"/>
        <v>0</v>
      </c>
      <c r="S244" s="52">
        <f t="shared" si="352"/>
        <v>0</v>
      </c>
      <c r="T244" s="52">
        <f t="shared" si="353"/>
        <v>0</v>
      </c>
      <c r="U244" s="369">
        <f t="shared" si="354"/>
        <v>0</v>
      </c>
      <c r="V244" s="369">
        <f t="shared" si="355"/>
        <v>0</v>
      </c>
      <c r="W244" s="369">
        <f t="shared" si="356"/>
        <v>0</v>
      </c>
      <c r="X244" s="53">
        <f t="shared" si="285"/>
        <v>0</v>
      </c>
      <c r="Y244" s="53">
        <f t="shared" si="286"/>
        <v>0</v>
      </c>
      <c r="Z244" s="53">
        <f t="shared" si="287"/>
        <v>0</v>
      </c>
      <c r="AA244" s="54"/>
      <c r="AB244" s="54"/>
      <c r="AC244" s="54"/>
      <c r="AD244" s="54"/>
      <c r="AE244" s="55"/>
      <c r="AF244" s="55"/>
      <c r="AG244" s="55"/>
      <c r="AH244" s="55"/>
      <c r="AI244" s="54"/>
      <c r="AJ244" s="54"/>
      <c r="AK244" s="54"/>
      <c r="AL244" s="54"/>
      <c r="AM244" s="54"/>
      <c r="AN244" s="54"/>
      <c r="AO244" s="54"/>
      <c r="AP244" s="54"/>
      <c r="AQ244" s="54"/>
      <c r="AR244" s="54"/>
      <c r="AS244" s="54"/>
      <c r="AT244" s="54"/>
      <c r="AU244" s="54"/>
      <c r="AV244" s="54"/>
      <c r="AW244" s="54"/>
      <c r="AX244" s="54"/>
      <c r="AY244" s="54"/>
      <c r="AZ244" s="54"/>
      <c r="BA244" s="54"/>
      <c r="BB244" s="54"/>
      <c r="BC244" s="54"/>
      <c r="BD244" s="54"/>
      <c r="BE244" s="54"/>
      <c r="BF244" s="54"/>
      <c r="BG244" s="54"/>
      <c r="BH244" s="54"/>
      <c r="BI244" s="54"/>
      <c r="BJ244" s="54"/>
      <c r="BK244" s="54"/>
      <c r="BL244" s="54"/>
      <c r="BM244" s="54"/>
      <c r="BN244" s="54">
        <f t="shared" ref="BN244:BN252" si="367">IF(O244-BK244&gt;0,O244-BK244,0)</f>
        <v>0</v>
      </c>
      <c r="BO244" s="58">
        <f t="shared" ref="BO244:BO252" si="368">IF(Q244-BM244&gt;0,Q244-BM244,0)</f>
        <v>0</v>
      </c>
      <c r="BP244" s="54">
        <f t="shared" ref="BP244:BP252" si="369">IF(BN244+BO244&gt;0,BN244+BO244,0)</f>
        <v>0</v>
      </c>
      <c r="BQ244" s="54">
        <f t="shared" ref="BQ244:BQ252" si="370">IF(U244=0,0,U244)</f>
        <v>0</v>
      </c>
      <c r="BR244" s="54">
        <f t="shared" ref="BR244:BR252" si="371">IF(W244=0,0,W244)</f>
        <v>0</v>
      </c>
      <c r="BS244" s="54">
        <f t="shared" ref="BS244:BS252" si="372">IF(BQ244+BR244&gt;0,BQ244+BR244,0)</f>
        <v>0</v>
      </c>
      <c r="BT244" s="54">
        <f t="shared" ref="BT244:BT252" si="373">IF(V244&gt;0,V244,0)</f>
        <v>0</v>
      </c>
      <c r="BU244" s="54">
        <f t="shared" ref="BU244:BU252" si="374">IF(BP244=0,0,BP244)</f>
        <v>0</v>
      </c>
      <c r="BV244" s="54">
        <f t="shared" ref="BV244:BV252" si="375">IF(BS244=0,0,BS244)</f>
        <v>0</v>
      </c>
      <c r="BW244" s="54">
        <f t="shared" ref="BW244:BW252" si="376">IF(BP244+BT244&gt;0,BP244+BT244,0)</f>
        <v>0</v>
      </c>
      <c r="BX244" s="1"/>
      <c r="BY244" s="1"/>
      <c r="BZ244" s="1"/>
      <c r="CA244" s="1"/>
      <c r="CB244" s="1"/>
      <c r="CC244" s="1"/>
      <c r="CD244" s="1"/>
      <c r="CE244" s="1"/>
      <c r="CF244" s="1"/>
      <c r="CG244" s="1"/>
    </row>
    <row r="245" spans="1:85" ht="15.75" customHeight="1">
      <c r="A245" s="56"/>
      <c r="B245" s="416"/>
      <c r="C245" s="394" t="s">
        <v>558</v>
      </c>
      <c r="D245" s="44" t="s">
        <v>559</v>
      </c>
      <c r="E245" s="45">
        <v>3000</v>
      </c>
      <c r="F245" s="46"/>
      <c r="G245" s="46">
        <f t="shared" si="347"/>
        <v>3000</v>
      </c>
      <c r="H245" s="46"/>
      <c r="I245" s="47">
        <f t="shared" si="328"/>
        <v>0</v>
      </c>
      <c r="J245" s="47">
        <f t="shared" si="329"/>
        <v>0</v>
      </c>
      <c r="K245" s="54"/>
      <c r="L245" s="49"/>
      <c r="M245" s="54"/>
      <c r="N245" s="54"/>
      <c r="O245" s="51">
        <f t="shared" si="348"/>
        <v>0</v>
      </c>
      <c r="P245" s="51">
        <f t="shared" si="349"/>
        <v>0</v>
      </c>
      <c r="Q245" s="51">
        <f t="shared" si="350"/>
        <v>0</v>
      </c>
      <c r="R245" s="52">
        <f t="shared" si="351"/>
        <v>0</v>
      </c>
      <c r="S245" s="52">
        <f t="shared" si="352"/>
        <v>0</v>
      </c>
      <c r="T245" s="52">
        <f t="shared" si="353"/>
        <v>0</v>
      </c>
      <c r="U245" s="369">
        <f t="shared" si="354"/>
        <v>0</v>
      </c>
      <c r="V245" s="369">
        <f t="shared" si="355"/>
        <v>0</v>
      </c>
      <c r="W245" s="369">
        <f t="shared" si="356"/>
        <v>0</v>
      </c>
      <c r="X245" s="53">
        <f t="shared" si="285"/>
        <v>0</v>
      </c>
      <c r="Y245" s="53">
        <f t="shared" si="286"/>
        <v>0</v>
      </c>
      <c r="Z245" s="53">
        <f t="shared" si="287"/>
        <v>0</v>
      </c>
      <c r="AA245" s="54"/>
      <c r="AB245" s="54"/>
      <c r="AC245" s="54"/>
      <c r="AD245" s="54"/>
      <c r="AE245" s="55"/>
      <c r="AF245" s="55"/>
      <c r="AG245" s="55"/>
      <c r="AH245" s="55"/>
      <c r="AI245" s="54"/>
      <c r="AJ245" s="54"/>
      <c r="AK245" s="54"/>
      <c r="AL245" s="54"/>
      <c r="AM245" s="54"/>
      <c r="AN245" s="54"/>
      <c r="AO245" s="54"/>
      <c r="AP245" s="54"/>
      <c r="AQ245" s="54"/>
      <c r="AR245" s="54"/>
      <c r="AS245" s="54"/>
      <c r="AT245" s="54"/>
      <c r="AU245" s="54"/>
      <c r="AV245" s="54"/>
      <c r="AW245" s="54"/>
      <c r="AX245" s="54"/>
      <c r="AY245" s="54"/>
      <c r="AZ245" s="54"/>
      <c r="BA245" s="54"/>
      <c r="BB245" s="54"/>
      <c r="BC245" s="54"/>
      <c r="BD245" s="54"/>
      <c r="BE245" s="54"/>
      <c r="BF245" s="54"/>
      <c r="BG245" s="54"/>
      <c r="BH245" s="54"/>
      <c r="BI245" s="54"/>
      <c r="BJ245" s="54"/>
      <c r="BK245" s="54"/>
      <c r="BL245" s="54"/>
      <c r="BM245" s="54"/>
      <c r="BN245" s="54">
        <f t="shared" si="367"/>
        <v>0</v>
      </c>
      <c r="BO245" s="58">
        <f t="shared" si="368"/>
        <v>0</v>
      </c>
      <c r="BP245" s="54">
        <f t="shared" si="369"/>
        <v>0</v>
      </c>
      <c r="BQ245" s="54">
        <f t="shared" si="370"/>
        <v>0</v>
      </c>
      <c r="BR245" s="54">
        <f t="shared" si="371"/>
        <v>0</v>
      </c>
      <c r="BS245" s="54">
        <f t="shared" si="372"/>
        <v>0</v>
      </c>
      <c r="BT245" s="54">
        <f t="shared" si="373"/>
        <v>0</v>
      </c>
      <c r="BU245" s="54">
        <f t="shared" si="374"/>
        <v>0</v>
      </c>
      <c r="BV245" s="54">
        <f t="shared" si="375"/>
        <v>0</v>
      </c>
      <c r="BW245" s="54">
        <f t="shared" si="376"/>
        <v>0</v>
      </c>
      <c r="BX245" s="1"/>
      <c r="BY245" s="1"/>
      <c r="BZ245" s="1"/>
      <c r="CA245" s="1"/>
      <c r="CB245" s="1"/>
      <c r="CC245" s="1"/>
      <c r="CD245" s="1"/>
      <c r="CE245" s="1"/>
      <c r="CF245" s="1"/>
      <c r="CG245" s="1"/>
    </row>
    <row r="246" spans="1:85" ht="15.75" customHeight="1">
      <c r="A246" s="56"/>
      <c r="B246" s="416"/>
      <c r="C246" s="394" t="s">
        <v>560</v>
      </c>
      <c r="D246" s="44" t="s">
        <v>561</v>
      </c>
      <c r="E246" s="45">
        <v>3000</v>
      </c>
      <c r="F246" s="46"/>
      <c r="G246" s="46">
        <f t="shared" si="347"/>
        <v>3000</v>
      </c>
      <c r="H246" s="171"/>
      <c r="I246" s="47">
        <f t="shared" si="328"/>
        <v>0</v>
      </c>
      <c r="J246" s="47">
        <f t="shared" si="329"/>
        <v>0</v>
      </c>
      <c r="K246" s="54"/>
      <c r="L246" s="49"/>
      <c r="M246" s="54"/>
      <c r="N246" s="54"/>
      <c r="O246" s="51">
        <f t="shared" si="348"/>
        <v>0</v>
      </c>
      <c r="P246" s="51">
        <f t="shared" si="349"/>
        <v>0</v>
      </c>
      <c r="Q246" s="51">
        <f t="shared" si="350"/>
        <v>0</v>
      </c>
      <c r="R246" s="52">
        <f t="shared" si="351"/>
        <v>0</v>
      </c>
      <c r="S246" s="52">
        <f t="shared" si="352"/>
        <v>0</v>
      </c>
      <c r="T246" s="52">
        <f t="shared" si="353"/>
        <v>0</v>
      </c>
      <c r="U246" s="369">
        <f t="shared" si="354"/>
        <v>0</v>
      </c>
      <c r="V246" s="369">
        <f t="shared" si="355"/>
        <v>0</v>
      </c>
      <c r="W246" s="369">
        <f t="shared" si="356"/>
        <v>0</v>
      </c>
      <c r="X246" s="53">
        <f t="shared" si="285"/>
        <v>0</v>
      </c>
      <c r="Y246" s="53">
        <f t="shared" si="286"/>
        <v>0</v>
      </c>
      <c r="Z246" s="53">
        <f t="shared" si="287"/>
        <v>0</v>
      </c>
      <c r="AA246" s="54"/>
      <c r="AB246" s="54"/>
      <c r="AC246" s="54"/>
      <c r="AD246" s="54"/>
      <c r="AE246" s="55"/>
      <c r="AF246" s="55"/>
      <c r="AG246" s="55"/>
      <c r="AH246" s="55"/>
      <c r="AI246" s="54"/>
      <c r="AJ246" s="54"/>
      <c r="AK246" s="54"/>
      <c r="AL246" s="54"/>
      <c r="AM246" s="54"/>
      <c r="AN246" s="54"/>
      <c r="AO246" s="54"/>
      <c r="AP246" s="54"/>
      <c r="AQ246" s="54"/>
      <c r="AR246" s="54"/>
      <c r="AS246" s="54"/>
      <c r="AT246" s="54"/>
      <c r="AU246" s="54"/>
      <c r="AV246" s="54"/>
      <c r="AW246" s="54"/>
      <c r="AX246" s="54"/>
      <c r="AY246" s="54"/>
      <c r="AZ246" s="54"/>
      <c r="BA246" s="54"/>
      <c r="BB246" s="54"/>
      <c r="BC246" s="54"/>
      <c r="BD246" s="54"/>
      <c r="BE246" s="54"/>
      <c r="BF246" s="54"/>
      <c r="BG246" s="54"/>
      <c r="BH246" s="54"/>
      <c r="BI246" s="54"/>
      <c r="BJ246" s="54"/>
      <c r="BK246" s="54"/>
      <c r="BL246" s="54"/>
      <c r="BM246" s="54"/>
      <c r="BN246" s="54">
        <f t="shared" si="367"/>
        <v>0</v>
      </c>
      <c r="BO246" s="58">
        <f t="shared" si="368"/>
        <v>0</v>
      </c>
      <c r="BP246" s="54">
        <f t="shared" si="369"/>
        <v>0</v>
      </c>
      <c r="BQ246" s="54">
        <f t="shared" si="370"/>
        <v>0</v>
      </c>
      <c r="BR246" s="54">
        <f t="shared" si="371"/>
        <v>0</v>
      </c>
      <c r="BS246" s="54">
        <f t="shared" si="372"/>
        <v>0</v>
      </c>
      <c r="BT246" s="54">
        <f t="shared" si="373"/>
        <v>0</v>
      </c>
      <c r="BU246" s="54">
        <f t="shared" si="374"/>
        <v>0</v>
      </c>
      <c r="BV246" s="54">
        <f t="shared" si="375"/>
        <v>0</v>
      </c>
      <c r="BW246" s="54">
        <f t="shared" si="376"/>
        <v>0</v>
      </c>
      <c r="BX246" s="1"/>
      <c r="BY246" s="1"/>
      <c r="BZ246" s="1"/>
      <c r="CA246" s="1"/>
      <c r="CB246" s="1"/>
      <c r="CC246" s="1"/>
      <c r="CD246" s="1"/>
      <c r="CE246" s="1"/>
      <c r="CF246" s="1"/>
      <c r="CG246" s="1"/>
    </row>
    <row r="247" spans="1:85" ht="15.75" customHeight="1">
      <c r="A247" s="56"/>
      <c r="B247" s="416"/>
      <c r="C247" s="394" t="s">
        <v>226</v>
      </c>
      <c r="D247" s="78" t="s">
        <v>562</v>
      </c>
      <c r="E247" s="45">
        <v>80000</v>
      </c>
      <c r="F247" s="46">
        <v>0</v>
      </c>
      <c r="G247" s="172">
        <f t="shared" si="347"/>
        <v>80000</v>
      </c>
      <c r="H247" s="173"/>
      <c r="I247" s="174">
        <f t="shared" si="328"/>
        <v>0</v>
      </c>
      <c r="J247" s="47">
        <f t="shared" si="329"/>
        <v>0</v>
      </c>
      <c r="K247" s="54"/>
      <c r="L247" s="49"/>
      <c r="M247" s="54"/>
      <c r="N247" s="54"/>
      <c r="O247" s="51">
        <f t="shared" si="348"/>
        <v>0</v>
      </c>
      <c r="P247" s="51">
        <f t="shared" si="349"/>
        <v>0</v>
      </c>
      <c r="Q247" s="51">
        <f t="shared" si="350"/>
        <v>0</v>
      </c>
      <c r="R247" s="52">
        <f t="shared" si="351"/>
        <v>0</v>
      </c>
      <c r="S247" s="52">
        <f t="shared" si="352"/>
        <v>0</v>
      </c>
      <c r="T247" s="52">
        <f t="shared" si="353"/>
        <v>0</v>
      </c>
      <c r="U247" s="369">
        <f t="shared" si="354"/>
        <v>0</v>
      </c>
      <c r="V247" s="369">
        <f t="shared" si="355"/>
        <v>0</v>
      </c>
      <c r="W247" s="369">
        <f t="shared" si="356"/>
        <v>0</v>
      </c>
      <c r="X247" s="53">
        <f t="shared" si="285"/>
        <v>0</v>
      </c>
      <c r="Y247" s="53">
        <f t="shared" si="286"/>
        <v>0</v>
      </c>
      <c r="Z247" s="53">
        <f t="shared" si="287"/>
        <v>0</v>
      </c>
      <c r="AA247" s="54"/>
      <c r="AB247" s="54"/>
      <c r="AC247" s="54"/>
      <c r="AD247" s="54"/>
      <c r="AE247" s="55"/>
      <c r="AF247" s="55"/>
      <c r="AG247" s="55"/>
      <c r="AH247" s="55"/>
      <c r="AI247" s="54"/>
      <c r="AJ247" s="54"/>
      <c r="AK247" s="54"/>
      <c r="AL247" s="54"/>
      <c r="AM247" s="54"/>
      <c r="AN247" s="54"/>
      <c r="AO247" s="54"/>
      <c r="AP247" s="54"/>
      <c r="AQ247" s="54"/>
      <c r="AR247" s="54"/>
      <c r="AS247" s="54"/>
      <c r="AT247" s="54"/>
      <c r="AU247" s="54"/>
      <c r="AV247" s="54"/>
      <c r="AW247" s="54"/>
      <c r="AX247" s="54"/>
      <c r="AY247" s="54"/>
      <c r="AZ247" s="54"/>
      <c r="BA247" s="54"/>
      <c r="BB247" s="54"/>
      <c r="BC247" s="54"/>
      <c r="BD247" s="54"/>
      <c r="BE247" s="54"/>
      <c r="BF247" s="54"/>
      <c r="BG247" s="54"/>
      <c r="BH247" s="54"/>
      <c r="BI247" s="54"/>
      <c r="BJ247" s="54"/>
      <c r="BK247" s="54"/>
      <c r="BL247" s="54"/>
      <c r="BM247" s="54"/>
      <c r="BN247" s="54">
        <f t="shared" si="367"/>
        <v>0</v>
      </c>
      <c r="BO247" s="58">
        <f t="shared" si="368"/>
        <v>0</v>
      </c>
      <c r="BP247" s="54">
        <f t="shared" si="369"/>
        <v>0</v>
      </c>
      <c r="BQ247" s="54">
        <f t="shared" si="370"/>
        <v>0</v>
      </c>
      <c r="BR247" s="54">
        <f t="shared" si="371"/>
        <v>0</v>
      </c>
      <c r="BS247" s="54">
        <f t="shared" si="372"/>
        <v>0</v>
      </c>
      <c r="BT247" s="54">
        <f t="shared" si="373"/>
        <v>0</v>
      </c>
      <c r="BU247" s="54">
        <f t="shared" si="374"/>
        <v>0</v>
      </c>
      <c r="BV247" s="54">
        <f t="shared" si="375"/>
        <v>0</v>
      </c>
      <c r="BW247" s="54">
        <f t="shared" si="376"/>
        <v>0</v>
      </c>
      <c r="BX247" s="1"/>
      <c r="BY247" s="1"/>
      <c r="BZ247" s="1"/>
      <c r="CA247" s="1"/>
      <c r="CB247" s="1"/>
      <c r="CC247" s="1"/>
      <c r="CD247" s="1"/>
      <c r="CE247" s="1"/>
      <c r="CF247" s="1"/>
      <c r="CG247" s="1"/>
    </row>
    <row r="248" spans="1:85" ht="15.75" customHeight="1">
      <c r="A248" s="56"/>
      <c r="B248" s="416"/>
      <c r="C248" s="394" t="s">
        <v>237</v>
      </c>
      <c r="D248" s="78" t="s">
        <v>563</v>
      </c>
      <c r="E248" s="45">
        <v>101443.26</v>
      </c>
      <c r="F248" s="80">
        <v>25227.3</v>
      </c>
      <c r="G248" s="172">
        <f t="shared" si="347"/>
        <v>76215.959999999992</v>
      </c>
      <c r="H248" s="173"/>
      <c r="I248" s="174">
        <f t="shared" si="328"/>
        <v>0</v>
      </c>
      <c r="J248" s="47">
        <f t="shared" si="329"/>
        <v>0</v>
      </c>
      <c r="K248" s="54"/>
      <c r="L248" s="49"/>
      <c r="M248" s="54"/>
      <c r="N248" s="54"/>
      <c r="O248" s="51">
        <f t="shared" si="348"/>
        <v>0</v>
      </c>
      <c r="P248" s="51">
        <f t="shared" si="349"/>
        <v>0</v>
      </c>
      <c r="Q248" s="51">
        <f t="shared" si="350"/>
        <v>0</v>
      </c>
      <c r="R248" s="52">
        <f t="shared" si="351"/>
        <v>0</v>
      </c>
      <c r="S248" s="52">
        <f t="shared" si="352"/>
        <v>0</v>
      </c>
      <c r="T248" s="52">
        <f t="shared" si="353"/>
        <v>0</v>
      </c>
      <c r="U248" s="369">
        <f t="shared" si="354"/>
        <v>0</v>
      </c>
      <c r="V248" s="369">
        <f t="shared" si="355"/>
        <v>0</v>
      </c>
      <c r="W248" s="369">
        <f t="shared" si="356"/>
        <v>0</v>
      </c>
      <c r="X248" s="53">
        <f t="shared" si="285"/>
        <v>0</v>
      </c>
      <c r="Y248" s="53">
        <f t="shared" si="286"/>
        <v>0</v>
      </c>
      <c r="Z248" s="53">
        <f t="shared" si="287"/>
        <v>0</v>
      </c>
      <c r="AA248" s="54"/>
      <c r="AB248" s="54"/>
      <c r="AC248" s="54"/>
      <c r="AD248" s="54"/>
      <c r="AE248" s="55"/>
      <c r="AF248" s="55"/>
      <c r="AG248" s="55"/>
      <c r="AH248" s="55"/>
      <c r="AI248" s="54"/>
      <c r="AJ248" s="54"/>
      <c r="AK248" s="54"/>
      <c r="AL248" s="54"/>
      <c r="AM248" s="54"/>
      <c r="AN248" s="54"/>
      <c r="AO248" s="54"/>
      <c r="AP248" s="54"/>
      <c r="AQ248" s="54"/>
      <c r="AR248" s="54"/>
      <c r="AS248" s="54"/>
      <c r="AT248" s="54"/>
      <c r="AU248" s="54"/>
      <c r="AV248" s="54"/>
      <c r="AW248" s="54"/>
      <c r="AX248" s="54"/>
      <c r="AY248" s="54"/>
      <c r="AZ248" s="54"/>
      <c r="BA248" s="54"/>
      <c r="BB248" s="54"/>
      <c r="BC248" s="54"/>
      <c r="BD248" s="54"/>
      <c r="BE248" s="54"/>
      <c r="BF248" s="54"/>
      <c r="BG248" s="54"/>
      <c r="BH248" s="54"/>
      <c r="BI248" s="54"/>
      <c r="BJ248" s="54"/>
      <c r="BK248" s="54"/>
      <c r="BL248" s="54"/>
      <c r="BM248" s="54"/>
      <c r="BN248" s="54">
        <f t="shared" si="367"/>
        <v>0</v>
      </c>
      <c r="BO248" s="58">
        <f t="shared" si="368"/>
        <v>0</v>
      </c>
      <c r="BP248" s="54">
        <f t="shared" si="369"/>
        <v>0</v>
      </c>
      <c r="BQ248" s="54">
        <f t="shared" si="370"/>
        <v>0</v>
      </c>
      <c r="BR248" s="54">
        <f t="shared" si="371"/>
        <v>0</v>
      </c>
      <c r="BS248" s="54">
        <f t="shared" si="372"/>
        <v>0</v>
      </c>
      <c r="BT248" s="54">
        <f t="shared" si="373"/>
        <v>0</v>
      </c>
      <c r="BU248" s="54">
        <f t="shared" si="374"/>
        <v>0</v>
      </c>
      <c r="BV248" s="54">
        <f t="shared" si="375"/>
        <v>0</v>
      </c>
      <c r="BW248" s="54">
        <f t="shared" si="376"/>
        <v>0</v>
      </c>
      <c r="BX248" s="1"/>
      <c r="BY248" s="1"/>
      <c r="BZ248" s="1"/>
      <c r="CA248" s="1"/>
      <c r="CB248" s="1"/>
      <c r="CC248" s="1"/>
      <c r="CD248" s="1"/>
      <c r="CE248" s="1"/>
      <c r="CF248" s="1"/>
      <c r="CG248" s="1"/>
    </row>
    <row r="249" spans="1:85" ht="15.75" customHeight="1">
      <c r="A249" s="56"/>
      <c r="B249" s="416"/>
      <c r="C249" s="397" t="s">
        <v>272</v>
      </c>
      <c r="D249" s="86" t="s">
        <v>273</v>
      </c>
      <c r="E249" s="45">
        <v>3000</v>
      </c>
      <c r="F249" s="46"/>
      <c r="G249" s="46">
        <f t="shared" si="347"/>
        <v>3000</v>
      </c>
      <c r="H249" s="67"/>
      <c r="I249" s="47">
        <f t="shared" si="328"/>
        <v>0</v>
      </c>
      <c r="J249" s="47">
        <f t="shared" si="329"/>
        <v>0</v>
      </c>
      <c r="K249" s="54"/>
      <c r="L249" s="49"/>
      <c r="M249" s="54"/>
      <c r="N249" s="54"/>
      <c r="O249" s="51">
        <f t="shared" si="348"/>
        <v>0</v>
      </c>
      <c r="P249" s="51">
        <f t="shared" si="349"/>
        <v>0</v>
      </c>
      <c r="Q249" s="51">
        <f t="shared" si="350"/>
        <v>0</v>
      </c>
      <c r="R249" s="52">
        <f t="shared" si="351"/>
        <v>0</v>
      </c>
      <c r="S249" s="52">
        <f t="shared" si="352"/>
        <v>0</v>
      </c>
      <c r="T249" s="52">
        <f t="shared" si="353"/>
        <v>0</v>
      </c>
      <c r="U249" s="369">
        <f t="shared" si="354"/>
        <v>0</v>
      </c>
      <c r="V249" s="369">
        <f t="shared" si="355"/>
        <v>0</v>
      </c>
      <c r="W249" s="369">
        <f t="shared" si="356"/>
        <v>0</v>
      </c>
      <c r="X249" s="53">
        <f t="shared" si="285"/>
        <v>0</v>
      </c>
      <c r="Y249" s="53">
        <f t="shared" si="286"/>
        <v>0</v>
      </c>
      <c r="Z249" s="53">
        <f t="shared" si="287"/>
        <v>0</v>
      </c>
      <c r="AA249" s="54"/>
      <c r="AB249" s="54"/>
      <c r="AC249" s="54"/>
      <c r="AD249" s="54"/>
      <c r="AE249" s="55"/>
      <c r="AF249" s="55"/>
      <c r="AG249" s="55"/>
      <c r="AH249" s="55"/>
      <c r="AI249" s="54"/>
      <c r="AJ249" s="54"/>
      <c r="AK249" s="54"/>
      <c r="AL249" s="54"/>
      <c r="AM249" s="54"/>
      <c r="AN249" s="54"/>
      <c r="AO249" s="54"/>
      <c r="AP249" s="54"/>
      <c r="AQ249" s="54"/>
      <c r="AR249" s="54"/>
      <c r="AS249" s="54"/>
      <c r="AT249" s="54"/>
      <c r="AU249" s="54"/>
      <c r="AV249" s="54"/>
      <c r="AW249" s="54"/>
      <c r="AX249" s="54"/>
      <c r="AY249" s="54"/>
      <c r="AZ249" s="54"/>
      <c r="BA249" s="54"/>
      <c r="BB249" s="54"/>
      <c r="BC249" s="54"/>
      <c r="BD249" s="54"/>
      <c r="BE249" s="54"/>
      <c r="BF249" s="54"/>
      <c r="BG249" s="54"/>
      <c r="BH249" s="54"/>
      <c r="BI249" s="54"/>
      <c r="BJ249" s="54"/>
      <c r="BK249" s="54"/>
      <c r="BL249" s="54"/>
      <c r="BM249" s="54"/>
      <c r="BN249" s="54">
        <f t="shared" si="367"/>
        <v>0</v>
      </c>
      <c r="BO249" s="58">
        <f t="shared" si="368"/>
        <v>0</v>
      </c>
      <c r="BP249" s="54">
        <f t="shared" si="369"/>
        <v>0</v>
      </c>
      <c r="BQ249" s="54">
        <f t="shared" si="370"/>
        <v>0</v>
      </c>
      <c r="BR249" s="54">
        <f t="shared" si="371"/>
        <v>0</v>
      </c>
      <c r="BS249" s="54">
        <f t="shared" si="372"/>
        <v>0</v>
      </c>
      <c r="BT249" s="54">
        <f t="shared" si="373"/>
        <v>0</v>
      </c>
      <c r="BU249" s="54">
        <f t="shared" si="374"/>
        <v>0</v>
      </c>
      <c r="BV249" s="54">
        <f t="shared" si="375"/>
        <v>0</v>
      </c>
      <c r="BW249" s="54">
        <f t="shared" si="376"/>
        <v>0</v>
      </c>
      <c r="BX249" s="1"/>
      <c r="BY249" s="1"/>
      <c r="BZ249" s="1"/>
      <c r="CA249" s="1"/>
      <c r="CB249" s="1"/>
      <c r="CC249" s="1"/>
      <c r="CD249" s="1"/>
      <c r="CE249" s="1"/>
      <c r="CF249" s="1"/>
      <c r="CG249" s="1"/>
    </row>
    <row r="250" spans="1:85" ht="15.75" customHeight="1">
      <c r="A250" s="43" t="s">
        <v>564</v>
      </c>
      <c r="B250" s="416"/>
      <c r="C250" s="394" t="s">
        <v>565</v>
      </c>
      <c r="D250" s="73" t="s">
        <v>566</v>
      </c>
      <c r="E250" s="45">
        <v>10000</v>
      </c>
      <c r="F250" s="46"/>
      <c r="G250" s="46">
        <f t="shared" si="347"/>
        <v>10000</v>
      </c>
      <c r="H250" s="46">
        <v>10000</v>
      </c>
      <c r="I250" s="47">
        <f t="shared" si="328"/>
        <v>1.099</v>
      </c>
      <c r="J250" s="47">
        <f t="shared" si="329"/>
        <v>0.45350000000000001</v>
      </c>
      <c r="K250" s="48">
        <v>10990</v>
      </c>
      <c r="L250" s="49"/>
      <c r="M250" s="54"/>
      <c r="N250" s="54"/>
      <c r="O250" s="51">
        <f t="shared" si="348"/>
        <v>4535</v>
      </c>
      <c r="P250" s="51">
        <f t="shared" si="349"/>
        <v>0</v>
      </c>
      <c r="Q250" s="51">
        <f t="shared" si="350"/>
        <v>0</v>
      </c>
      <c r="R250" s="52">
        <f t="shared" si="351"/>
        <v>4535</v>
      </c>
      <c r="S250" s="52">
        <f t="shared" si="352"/>
        <v>0</v>
      </c>
      <c r="T250" s="52">
        <f t="shared" si="353"/>
        <v>0</v>
      </c>
      <c r="U250" s="368">
        <f t="shared" si="354"/>
        <v>6455</v>
      </c>
      <c r="V250" s="369">
        <f t="shared" si="355"/>
        <v>0</v>
      </c>
      <c r="W250" s="369">
        <f t="shared" si="356"/>
        <v>0</v>
      </c>
      <c r="X250" s="53">
        <f t="shared" si="285"/>
        <v>0.41264786169244766</v>
      </c>
      <c r="Y250" s="53">
        <f t="shared" si="286"/>
        <v>0</v>
      </c>
      <c r="Z250" s="53">
        <f t="shared" si="287"/>
        <v>0</v>
      </c>
      <c r="AA250" s="54"/>
      <c r="AB250" s="54"/>
      <c r="AC250" s="54"/>
      <c r="AD250" s="54"/>
      <c r="AE250" s="55"/>
      <c r="AF250" s="55"/>
      <c r="AG250" s="55"/>
      <c r="AH250" s="55"/>
      <c r="AI250" s="54"/>
      <c r="AJ250" s="54"/>
      <c r="AK250" s="54"/>
      <c r="AL250" s="54"/>
      <c r="AM250" s="54"/>
      <c r="AN250" s="54"/>
      <c r="AO250" s="54"/>
      <c r="AP250" s="48">
        <v>4535</v>
      </c>
      <c r="AQ250" s="54"/>
      <c r="AR250" s="54"/>
      <c r="AS250" s="54"/>
      <c r="AT250" s="54"/>
      <c r="AU250" s="54"/>
      <c r="AV250" s="54"/>
      <c r="AW250" s="54"/>
      <c r="AX250" s="54"/>
      <c r="AY250" s="54"/>
      <c r="AZ250" s="54"/>
      <c r="BA250" s="54"/>
      <c r="BB250" s="54"/>
      <c r="BC250" s="54"/>
      <c r="BD250" s="54"/>
      <c r="BE250" s="54"/>
      <c r="BF250" s="54"/>
      <c r="BG250" s="54"/>
      <c r="BH250" s="54"/>
      <c r="BI250" s="54"/>
      <c r="BJ250" s="54"/>
      <c r="BK250" s="54"/>
      <c r="BL250" s="54"/>
      <c r="BM250" s="54"/>
      <c r="BN250" s="54">
        <f t="shared" si="367"/>
        <v>4535</v>
      </c>
      <c r="BO250" s="58">
        <f t="shared" si="368"/>
        <v>0</v>
      </c>
      <c r="BP250" s="54">
        <f t="shared" si="369"/>
        <v>4535</v>
      </c>
      <c r="BQ250" s="54">
        <f t="shared" si="370"/>
        <v>6455</v>
      </c>
      <c r="BR250" s="54">
        <f t="shared" si="371"/>
        <v>0</v>
      </c>
      <c r="BS250" s="54">
        <f t="shared" si="372"/>
        <v>6455</v>
      </c>
      <c r="BT250" s="54">
        <f t="shared" si="373"/>
        <v>0</v>
      </c>
      <c r="BU250" s="54">
        <f t="shared" si="374"/>
        <v>4535</v>
      </c>
      <c r="BV250" s="54">
        <f t="shared" si="375"/>
        <v>6455</v>
      </c>
      <c r="BW250" s="54">
        <f t="shared" si="376"/>
        <v>4535</v>
      </c>
      <c r="BX250" s="1"/>
      <c r="BY250" s="1"/>
      <c r="BZ250" s="1"/>
      <c r="CA250" s="1"/>
      <c r="CB250" s="1"/>
      <c r="CC250" s="1"/>
      <c r="CD250" s="1"/>
      <c r="CE250" s="1"/>
      <c r="CF250" s="1"/>
      <c r="CG250" s="1"/>
    </row>
    <row r="251" spans="1:85" ht="15.75" customHeight="1">
      <c r="A251" s="56"/>
      <c r="B251" s="416"/>
      <c r="C251" s="394" t="s">
        <v>293</v>
      </c>
      <c r="D251" s="44" t="s">
        <v>567</v>
      </c>
      <c r="E251" s="45">
        <v>10000</v>
      </c>
      <c r="F251" s="46"/>
      <c r="G251" s="46">
        <f t="shared" si="347"/>
        <v>10000</v>
      </c>
      <c r="H251" s="46"/>
      <c r="I251" s="47">
        <f t="shared" si="328"/>
        <v>0</v>
      </c>
      <c r="J251" s="47">
        <f t="shared" si="329"/>
        <v>0</v>
      </c>
      <c r="K251" s="54"/>
      <c r="L251" s="49"/>
      <c r="M251" s="54"/>
      <c r="N251" s="54"/>
      <c r="O251" s="51">
        <f t="shared" si="348"/>
        <v>0</v>
      </c>
      <c r="P251" s="51">
        <f t="shared" si="349"/>
        <v>0</v>
      </c>
      <c r="Q251" s="51">
        <f t="shared" si="350"/>
        <v>0</v>
      </c>
      <c r="R251" s="52">
        <f t="shared" si="351"/>
        <v>0</v>
      </c>
      <c r="S251" s="52">
        <f t="shared" si="352"/>
        <v>0</v>
      </c>
      <c r="T251" s="52">
        <f t="shared" si="353"/>
        <v>0</v>
      </c>
      <c r="U251" s="369">
        <f t="shared" si="354"/>
        <v>0</v>
      </c>
      <c r="V251" s="369">
        <f t="shared" si="355"/>
        <v>0</v>
      </c>
      <c r="W251" s="369">
        <f t="shared" si="356"/>
        <v>0</v>
      </c>
      <c r="X251" s="53">
        <f t="shared" si="285"/>
        <v>0</v>
      </c>
      <c r="Y251" s="53">
        <f t="shared" si="286"/>
        <v>0</v>
      </c>
      <c r="Z251" s="53">
        <f t="shared" si="287"/>
        <v>0</v>
      </c>
      <c r="AA251" s="54"/>
      <c r="AB251" s="54"/>
      <c r="AC251" s="54"/>
      <c r="AD251" s="54"/>
      <c r="AE251" s="55"/>
      <c r="AF251" s="55"/>
      <c r="AG251" s="55"/>
      <c r="AH251" s="55"/>
      <c r="AI251" s="54"/>
      <c r="AJ251" s="54"/>
      <c r="AK251" s="54"/>
      <c r="AL251" s="54"/>
      <c r="AM251" s="54"/>
      <c r="AN251" s="54"/>
      <c r="AO251" s="54"/>
      <c r="AP251" s="54"/>
      <c r="AQ251" s="54"/>
      <c r="AR251" s="54"/>
      <c r="AS251" s="54"/>
      <c r="AT251" s="54"/>
      <c r="AU251" s="54"/>
      <c r="AV251" s="54"/>
      <c r="AW251" s="54"/>
      <c r="AX251" s="54"/>
      <c r="AY251" s="54"/>
      <c r="AZ251" s="54"/>
      <c r="BA251" s="54"/>
      <c r="BB251" s="54"/>
      <c r="BC251" s="54"/>
      <c r="BD251" s="54"/>
      <c r="BE251" s="54"/>
      <c r="BF251" s="54"/>
      <c r="BG251" s="54"/>
      <c r="BH251" s="54"/>
      <c r="BI251" s="54"/>
      <c r="BJ251" s="54"/>
      <c r="BK251" s="54"/>
      <c r="BL251" s="54"/>
      <c r="BM251" s="54"/>
      <c r="BN251" s="54">
        <f t="shared" si="367"/>
        <v>0</v>
      </c>
      <c r="BO251" s="58">
        <f t="shared" si="368"/>
        <v>0</v>
      </c>
      <c r="BP251" s="54">
        <f t="shared" si="369"/>
        <v>0</v>
      </c>
      <c r="BQ251" s="54">
        <f t="shared" si="370"/>
        <v>0</v>
      </c>
      <c r="BR251" s="54">
        <f t="shared" si="371"/>
        <v>0</v>
      </c>
      <c r="BS251" s="54">
        <f t="shared" si="372"/>
        <v>0</v>
      </c>
      <c r="BT251" s="54">
        <f t="shared" si="373"/>
        <v>0</v>
      </c>
      <c r="BU251" s="54">
        <f t="shared" si="374"/>
        <v>0</v>
      </c>
      <c r="BV251" s="54">
        <f t="shared" si="375"/>
        <v>0</v>
      </c>
      <c r="BW251" s="54">
        <f t="shared" si="376"/>
        <v>0</v>
      </c>
      <c r="BX251" s="1"/>
      <c r="BY251" s="1"/>
      <c r="BZ251" s="1"/>
      <c r="CA251" s="1"/>
      <c r="CB251" s="1"/>
      <c r="CC251" s="1"/>
      <c r="CD251" s="1"/>
      <c r="CE251" s="1"/>
      <c r="CF251" s="1"/>
      <c r="CG251" s="1"/>
    </row>
    <row r="252" spans="1:85" ht="15.75" customHeight="1">
      <c r="A252" s="417" t="s">
        <v>568</v>
      </c>
      <c r="B252" s="428"/>
      <c r="C252" s="398" t="s">
        <v>276</v>
      </c>
      <c r="D252" s="90" t="s">
        <v>569</v>
      </c>
      <c r="E252" s="95"/>
      <c r="F252" s="96"/>
      <c r="G252" s="46">
        <f t="shared" si="347"/>
        <v>0</v>
      </c>
      <c r="H252" s="46"/>
      <c r="I252" s="47">
        <f t="shared" si="328"/>
        <v>0</v>
      </c>
      <c r="J252" s="47">
        <f t="shared" si="329"/>
        <v>0</v>
      </c>
      <c r="K252" s="54">
        <f>144304-17110-127194</f>
        <v>0</v>
      </c>
      <c r="L252" s="68"/>
      <c r="M252" s="97"/>
      <c r="N252" s="49"/>
      <c r="O252" s="51">
        <f t="shared" si="348"/>
        <v>0</v>
      </c>
      <c r="P252" s="51">
        <f t="shared" si="349"/>
        <v>0</v>
      </c>
      <c r="Q252" s="51">
        <f t="shared" si="350"/>
        <v>0</v>
      </c>
      <c r="R252" s="52">
        <f t="shared" si="351"/>
        <v>0</v>
      </c>
      <c r="S252" s="52">
        <f t="shared" si="352"/>
        <v>0</v>
      </c>
      <c r="T252" s="52">
        <f t="shared" si="353"/>
        <v>0</v>
      </c>
      <c r="U252" s="369">
        <f t="shared" si="354"/>
        <v>0</v>
      </c>
      <c r="V252" s="369">
        <f t="shared" si="355"/>
        <v>0</v>
      </c>
      <c r="W252" s="369">
        <f t="shared" si="356"/>
        <v>0</v>
      </c>
      <c r="X252" s="53">
        <f t="shared" si="285"/>
        <v>0</v>
      </c>
      <c r="Y252" s="53">
        <f t="shared" si="286"/>
        <v>0</v>
      </c>
      <c r="Z252" s="53">
        <f t="shared" si="287"/>
        <v>0</v>
      </c>
      <c r="AA252" s="54"/>
      <c r="AB252" s="93"/>
      <c r="AC252" s="54"/>
      <c r="AD252" s="54"/>
      <c r="AE252" s="76"/>
      <c r="AF252" s="55"/>
      <c r="AG252" s="55"/>
      <c r="AH252" s="55"/>
      <c r="AI252" s="54"/>
      <c r="AJ252" s="54"/>
      <c r="AK252" s="54"/>
      <c r="AL252" s="54"/>
      <c r="AM252" s="54"/>
      <c r="AN252" s="48"/>
      <c r="AO252" s="54"/>
      <c r="AP252" s="54"/>
      <c r="AQ252" s="54"/>
      <c r="AR252" s="54"/>
      <c r="AS252" s="54"/>
      <c r="AT252" s="54"/>
      <c r="AU252" s="54"/>
      <c r="AV252" s="54"/>
      <c r="AW252" s="54"/>
      <c r="AX252" s="54"/>
      <c r="AY252" s="54"/>
      <c r="AZ252" s="54"/>
      <c r="BA252" s="54"/>
      <c r="BB252" s="54"/>
      <c r="BC252" s="54"/>
      <c r="BD252" s="54"/>
      <c r="BE252" s="54"/>
      <c r="BF252" s="54"/>
      <c r="BG252" s="54"/>
      <c r="BH252" s="54"/>
      <c r="BI252" s="54"/>
      <c r="BJ252" s="54"/>
      <c r="BK252" s="54"/>
      <c r="BL252" s="54"/>
      <c r="BM252" s="54"/>
      <c r="BN252" s="54">
        <f t="shared" si="367"/>
        <v>0</v>
      </c>
      <c r="BO252" s="58">
        <f t="shared" si="368"/>
        <v>0</v>
      </c>
      <c r="BP252" s="54">
        <f t="shared" si="369"/>
        <v>0</v>
      </c>
      <c r="BQ252" s="54">
        <f t="shared" si="370"/>
        <v>0</v>
      </c>
      <c r="BR252" s="54">
        <f t="shared" si="371"/>
        <v>0</v>
      </c>
      <c r="BS252" s="54">
        <f t="shared" si="372"/>
        <v>0</v>
      </c>
      <c r="BT252" s="54">
        <f t="shared" si="373"/>
        <v>0</v>
      </c>
      <c r="BU252" s="54">
        <f t="shared" si="374"/>
        <v>0</v>
      </c>
      <c r="BV252" s="54">
        <f t="shared" si="375"/>
        <v>0</v>
      </c>
      <c r="BW252" s="54">
        <f t="shared" si="376"/>
        <v>0</v>
      </c>
      <c r="BX252" s="1"/>
      <c r="BY252" s="1"/>
      <c r="BZ252" s="1"/>
      <c r="CA252" s="1"/>
      <c r="CB252" s="1"/>
      <c r="CC252" s="1"/>
      <c r="CD252" s="1"/>
      <c r="CE252" s="1"/>
      <c r="CF252" s="1"/>
      <c r="CG252" s="1"/>
    </row>
    <row r="253" spans="1:85" ht="15.75" customHeight="1">
      <c r="A253" s="175"/>
      <c r="B253" s="442"/>
      <c r="C253" s="392"/>
      <c r="D253" s="168" t="s">
        <v>570</v>
      </c>
      <c r="E253" s="162">
        <f>SUM(E254:E262)</f>
        <v>0</v>
      </c>
      <c r="F253" s="127">
        <f>SUM(F254:F262)</f>
        <v>0</v>
      </c>
      <c r="G253" s="127">
        <f>SUM(G254:G262)</f>
        <v>0</v>
      </c>
      <c r="H253" s="127">
        <f>SUM(H254:H262)</f>
        <v>2000000</v>
      </c>
      <c r="I253" s="169">
        <f t="shared" si="328"/>
        <v>0</v>
      </c>
      <c r="J253" s="169">
        <f t="shared" si="329"/>
        <v>0</v>
      </c>
      <c r="K253" s="127">
        <f t="shared" ref="K253:Q253" si="377">SUM(K254:K262)</f>
        <v>1000</v>
      </c>
      <c r="L253" s="127">
        <f t="shared" si="377"/>
        <v>0</v>
      </c>
      <c r="M253" s="127">
        <f t="shared" si="377"/>
        <v>0</v>
      </c>
      <c r="N253" s="127">
        <f t="shared" si="377"/>
        <v>1378244.97</v>
      </c>
      <c r="O253" s="127">
        <f t="shared" si="377"/>
        <v>1000</v>
      </c>
      <c r="P253" s="127">
        <f t="shared" si="377"/>
        <v>0</v>
      </c>
      <c r="Q253" s="127">
        <f t="shared" si="377"/>
        <v>707710.97</v>
      </c>
      <c r="R253" s="52">
        <f t="shared" si="351"/>
        <v>1000</v>
      </c>
      <c r="S253" s="52">
        <f t="shared" si="352"/>
        <v>0</v>
      </c>
      <c r="T253" s="52">
        <f t="shared" si="353"/>
        <v>707710.97</v>
      </c>
      <c r="U253" s="375">
        <f>SUM(U254:U262)</f>
        <v>0</v>
      </c>
      <c r="V253" s="375">
        <f>SUM(V254:V262)</f>
        <v>0</v>
      </c>
      <c r="W253" s="375">
        <f>SUM(W254:W262)</f>
        <v>670534</v>
      </c>
      <c r="X253" s="36">
        <f t="shared" si="285"/>
        <v>1</v>
      </c>
      <c r="Y253" s="36">
        <f t="shared" si="286"/>
        <v>0</v>
      </c>
      <c r="Z253" s="36">
        <f t="shared" si="287"/>
        <v>0.51348706899325736</v>
      </c>
      <c r="AA253" s="170">
        <f t="shared" ref="AA253:BW253" si="378">SUM(AA254:AA262)</f>
        <v>0</v>
      </c>
      <c r="AB253" s="170">
        <f t="shared" si="378"/>
        <v>0</v>
      </c>
      <c r="AC253" s="170">
        <f t="shared" si="378"/>
        <v>0</v>
      </c>
      <c r="AD253" s="170">
        <f t="shared" si="378"/>
        <v>0</v>
      </c>
      <c r="AE253" s="170">
        <f t="shared" si="378"/>
        <v>0</v>
      </c>
      <c r="AF253" s="170">
        <f t="shared" si="378"/>
        <v>0</v>
      </c>
      <c r="AG253" s="170">
        <f t="shared" si="378"/>
        <v>0</v>
      </c>
      <c r="AH253" s="170">
        <f t="shared" si="378"/>
        <v>0</v>
      </c>
      <c r="AI253" s="170">
        <f t="shared" si="378"/>
        <v>6360</v>
      </c>
      <c r="AJ253" s="170">
        <f t="shared" si="378"/>
        <v>0</v>
      </c>
      <c r="AK253" s="170">
        <f t="shared" si="378"/>
        <v>0</v>
      </c>
      <c r="AL253" s="170">
        <f t="shared" si="378"/>
        <v>16040</v>
      </c>
      <c r="AM253" s="170">
        <f t="shared" si="378"/>
        <v>0</v>
      </c>
      <c r="AN253" s="170">
        <f t="shared" si="378"/>
        <v>0</v>
      </c>
      <c r="AO253" s="170">
        <f t="shared" si="378"/>
        <v>104289</v>
      </c>
      <c r="AP253" s="170">
        <f t="shared" si="378"/>
        <v>1000</v>
      </c>
      <c r="AQ253" s="170">
        <f t="shared" si="378"/>
        <v>0</v>
      </c>
      <c r="AR253" s="170">
        <f t="shared" si="378"/>
        <v>47070</v>
      </c>
      <c r="AS253" s="170">
        <f t="shared" si="378"/>
        <v>0</v>
      </c>
      <c r="AT253" s="170">
        <f t="shared" si="378"/>
        <v>0</v>
      </c>
      <c r="AU253" s="170">
        <f t="shared" si="378"/>
        <v>49080</v>
      </c>
      <c r="AV253" s="170">
        <f t="shared" si="378"/>
        <v>0</v>
      </c>
      <c r="AW253" s="170">
        <f t="shared" si="378"/>
        <v>0</v>
      </c>
      <c r="AX253" s="170">
        <f t="shared" si="378"/>
        <v>381639.97</v>
      </c>
      <c r="AY253" s="170">
        <f t="shared" si="378"/>
        <v>0</v>
      </c>
      <c r="AZ253" s="170">
        <f t="shared" si="378"/>
        <v>0</v>
      </c>
      <c r="BA253" s="170">
        <f t="shared" si="378"/>
        <v>103232</v>
      </c>
      <c r="BB253" s="170">
        <f t="shared" si="378"/>
        <v>0</v>
      </c>
      <c r="BC253" s="170">
        <f t="shared" si="378"/>
        <v>0</v>
      </c>
      <c r="BD253" s="170">
        <f t="shared" si="378"/>
        <v>0</v>
      </c>
      <c r="BE253" s="170">
        <f t="shared" si="378"/>
        <v>0</v>
      </c>
      <c r="BF253" s="170">
        <f t="shared" si="378"/>
        <v>0</v>
      </c>
      <c r="BG253" s="170">
        <f t="shared" si="378"/>
        <v>0</v>
      </c>
      <c r="BH253" s="170">
        <f t="shared" si="378"/>
        <v>0</v>
      </c>
      <c r="BI253" s="170">
        <f t="shared" si="378"/>
        <v>0</v>
      </c>
      <c r="BJ253" s="170">
        <f t="shared" si="378"/>
        <v>0</v>
      </c>
      <c r="BK253" s="170">
        <f t="shared" si="378"/>
        <v>0</v>
      </c>
      <c r="BL253" s="170">
        <f t="shared" si="378"/>
        <v>0</v>
      </c>
      <c r="BM253" s="170">
        <f t="shared" si="378"/>
        <v>0</v>
      </c>
      <c r="BN253" s="170">
        <f t="shared" si="378"/>
        <v>1000</v>
      </c>
      <c r="BO253" s="170">
        <f t="shared" si="378"/>
        <v>707710.97</v>
      </c>
      <c r="BP253" s="170">
        <f>SUM(BP254:BP262)</f>
        <v>708710.97</v>
      </c>
      <c r="BQ253" s="170">
        <f t="shared" si="378"/>
        <v>0</v>
      </c>
      <c r="BR253" s="170">
        <f t="shared" si="378"/>
        <v>670534</v>
      </c>
      <c r="BS253" s="170">
        <f t="shared" si="378"/>
        <v>670534</v>
      </c>
      <c r="BT253" s="170">
        <f t="shared" si="378"/>
        <v>0</v>
      </c>
      <c r="BU253" s="170">
        <f t="shared" si="378"/>
        <v>708710.97</v>
      </c>
      <c r="BV253" s="170">
        <f t="shared" si="378"/>
        <v>670534</v>
      </c>
      <c r="BW253" s="170">
        <f t="shared" si="378"/>
        <v>708710.97</v>
      </c>
      <c r="BX253" s="1"/>
      <c r="BY253" s="1"/>
      <c r="BZ253" s="1"/>
      <c r="CA253" s="1"/>
      <c r="CB253" s="1"/>
      <c r="CC253" s="1"/>
      <c r="CD253" s="1"/>
      <c r="CE253" s="1"/>
      <c r="CF253" s="1"/>
      <c r="CG253" s="1"/>
    </row>
    <row r="254" spans="1:85" ht="15.75" customHeight="1">
      <c r="A254" s="43" t="s">
        <v>571</v>
      </c>
      <c r="B254" s="416"/>
      <c r="C254" s="394" t="s">
        <v>393</v>
      </c>
      <c r="D254" s="176" t="s">
        <v>572</v>
      </c>
      <c r="E254" s="45"/>
      <c r="F254" s="46"/>
      <c r="G254" s="46">
        <f>E254-F254</f>
        <v>0</v>
      </c>
      <c r="H254" s="46">
        <v>150000</v>
      </c>
      <c r="I254" s="47">
        <f t="shared" si="328"/>
        <v>0</v>
      </c>
      <c r="J254" s="47">
        <f t="shared" si="329"/>
        <v>0</v>
      </c>
      <c r="K254" s="54"/>
      <c r="L254" s="49"/>
      <c r="M254" s="54"/>
      <c r="N254" s="48">
        <f>20000+200000</f>
        <v>220000</v>
      </c>
      <c r="O254" s="51">
        <f t="shared" ref="O254:O262" si="379">AA254+AD254+AG254+AJ254+AM254+AP254+AS254+AV254+AY254+BB254+BE254+BH254</f>
        <v>0</v>
      </c>
      <c r="P254" s="51">
        <f t="shared" ref="P254:P262" si="380">AB254+AE254+AH254+AK254+AN254+AQ254+AT254+AW254+AZ254+BC254+BF254+BI254</f>
        <v>0</v>
      </c>
      <c r="Q254" s="51">
        <f t="shared" ref="Q254:Q262" si="381">AC254+AF254+AI254+AL254+AO254+AR254+AU254+AX254+BA254+BD254+BG254+BJ254</f>
        <v>126431</v>
      </c>
      <c r="R254" s="52">
        <f t="shared" si="351"/>
        <v>0</v>
      </c>
      <c r="S254" s="52">
        <f t="shared" si="352"/>
        <v>0</v>
      </c>
      <c r="T254" s="52">
        <f t="shared" si="353"/>
        <v>126431</v>
      </c>
      <c r="U254" s="369">
        <f t="shared" ref="U254:U262" si="382">K254-O254</f>
        <v>0</v>
      </c>
      <c r="V254" s="369">
        <f t="shared" ref="V254:V262" si="383">L254-P254-M254</f>
        <v>0</v>
      </c>
      <c r="W254" s="368">
        <f t="shared" ref="W254:W262" si="384">N254-Q254</f>
        <v>93569</v>
      </c>
      <c r="X254" s="53">
        <f t="shared" si="285"/>
        <v>0</v>
      </c>
      <c r="Y254" s="53">
        <f t="shared" si="286"/>
        <v>0</v>
      </c>
      <c r="Z254" s="53">
        <f t="shared" si="287"/>
        <v>0.57468636363636361</v>
      </c>
      <c r="AA254" s="54"/>
      <c r="AB254" s="54"/>
      <c r="AC254" s="54"/>
      <c r="AD254" s="54"/>
      <c r="AE254" s="55"/>
      <c r="AF254" s="55"/>
      <c r="AG254" s="55"/>
      <c r="AH254" s="55"/>
      <c r="AI254" s="54">
        <f>360+1500+3000+540+960</f>
        <v>6360</v>
      </c>
      <c r="AJ254" s="54"/>
      <c r="AK254" s="54"/>
      <c r="AL254" s="54">
        <f>380+4200+4860+4200-4200+4200+2700-2700+2400</f>
        <v>16040</v>
      </c>
      <c r="AM254" s="54"/>
      <c r="AN254" s="54"/>
      <c r="AO254" s="54">
        <f>480+540+300-300+5850+6962+6823+180+478+678+218</f>
        <v>22209</v>
      </c>
      <c r="AP254" s="54"/>
      <c r="AQ254" s="54"/>
      <c r="AR254" s="54">
        <f>90+6840+6600+5880-180</f>
        <v>19230</v>
      </c>
      <c r="AS254" s="54"/>
      <c r="AT254" s="54"/>
      <c r="AU254" s="54">
        <f>720+120+1260+300+7140+6900+5280</f>
        <v>21720</v>
      </c>
      <c r="AV254" s="54"/>
      <c r="AW254" s="54"/>
      <c r="AX254" s="54">
        <f>6120+7560+6600-7560+7200+360</f>
        <v>20280</v>
      </c>
      <c r="AY254" s="54"/>
      <c r="AZ254" s="54"/>
      <c r="BA254" s="177">
        <f>120+180+6480+8004+5808</f>
        <v>20592</v>
      </c>
      <c r="BB254" s="54"/>
      <c r="BC254" s="54"/>
      <c r="BD254" s="54"/>
      <c r="BE254" s="54"/>
      <c r="BF254" s="54"/>
      <c r="BG254" s="54"/>
      <c r="BH254" s="54"/>
      <c r="BI254" s="54"/>
      <c r="BJ254" s="54"/>
      <c r="BK254" s="54"/>
      <c r="BL254" s="54"/>
      <c r="BM254" s="54"/>
      <c r="BN254" s="54">
        <f t="shared" ref="BN254" si="385">IF(O254-BK254&gt;0,O254-BK254,0)</f>
        <v>0</v>
      </c>
      <c r="BO254" s="58">
        <f t="shared" ref="BO254" si="386">IF(Q254-BM254&gt;0,Q254-BM254,0)</f>
        <v>126431</v>
      </c>
      <c r="BP254" s="54">
        <f>IF(BN254+BO254&gt;0,BN254+BO254,0)</f>
        <v>126431</v>
      </c>
      <c r="BQ254" s="54">
        <f t="shared" ref="BQ254" si="387">IF(U254=0,0,U254)</f>
        <v>0</v>
      </c>
      <c r="BR254" s="54">
        <f t="shared" ref="BR254" si="388">IF(W254=0,0,W254)</f>
        <v>93569</v>
      </c>
      <c r="BS254" s="54">
        <f t="shared" ref="BS254" si="389">IF(BQ254+BR254&gt;0,BQ254+BR254,0)</f>
        <v>93569</v>
      </c>
      <c r="BT254" s="54">
        <f t="shared" ref="BT254" si="390">IF(V254&gt;0,V254,0)</f>
        <v>0</v>
      </c>
      <c r="BU254" s="54">
        <f t="shared" ref="BU254" si="391">IF(BP254=0,0,BP254)</f>
        <v>126431</v>
      </c>
      <c r="BV254" s="54">
        <f t="shared" ref="BV254" si="392">IF(BS254=0,0,BS254)</f>
        <v>93569</v>
      </c>
      <c r="BW254" s="54">
        <f t="shared" ref="BW254" si="393">IF(BP254+BT254&gt;0,BP254+BT254,0)</f>
        <v>126431</v>
      </c>
      <c r="BX254" s="1"/>
      <c r="BY254" s="1"/>
      <c r="BZ254" s="1"/>
      <c r="CA254" s="1"/>
      <c r="CB254" s="1"/>
      <c r="CC254" s="1"/>
      <c r="CD254" s="1"/>
      <c r="CE254" s="1"/>
      <c r="CF254" s="1"/>
      <c r="CG254" s="1"/>
    </row>
    <row r="255" spans="1:85" ht="15.75" customHeight="1">
      <c r="A255" s="43" t="s">
        <v>573</v>
      </c>
      <c r="B255" s="426"/>
      <c r="C255" s="394" t="s">
        <v>393</v>
      </c>
      <c r="D255" s="178" t="s">
        <v>1074</v>
      </c>
      <c r="E255" s="45"/>
      <c r="F255" s="46"/>
      <c r="G255" s="46">
        <f>E255-F255</f>
        <v>0</v>
      </c>
      <c r="H255" s="46">
        <v>150000</v>
      </c>
      <c r="I255" s="47">
        <f t="shared" si="328"/>
        <v>0</v>
      </c>
      <c r="J255" s="47">
        <f t="shared" si="329"/>
        <v>0</v>
      </c>
      <c r="K255" s="54"/>
      <c r="L255" s="49"/>
      <c r="M255" s="54"/>
      <c r="N255" s="48">
        <f>46000+500000+578005-284-284000+284284-224500</f>
        <v>899505</v>
      </c>
      <c r="O255" s="51">
        <f t="shared" si="379"/>
        <v>0</v>
      </c>
      <c r="P255" s="51">
        <f t="shared" si="380"/>
        <v>0</v>
      </c>
      <c r="Q255" s="51">
        <f t="shared" si="381"/>
        <v>323040</v>
      </c>
      <c r="R255" s="52">
        <f t="shared" si="351"/>
        <v>0</v>
      </c>
      <c r="S255" s="52">
        <f t="shared" si="352"/>
        <v>0</v>
      </c>
      <c r="T255" s="52">
        <f t="shared" si="353"/>
        <v>323040</v>
      </c>
      <c r="U255" s="369">
        <f t="shared" si="382"/>
        <v>0</v>
      </c>
      <c r="V255" s="369">
        <f t="shared" si="383"/>
        <v>0</v>
      </c>
      <c r="W255" s="368">
        <f t="shared" si="384"/>
        <v>576465</v>
      </c>
      <c r="X255" s="53">
        <f t="shared" si="285"/>
        <v>0</v>
      </c>
      <c r="Y255" s="53">
        <f t="shared" si="286"/>
        <v>0</v>
      </c>
      <c r="Z255" s="53">
        <f t="shared" si="287"/>
        <v>0.35913085530375038</v>
      </c>
      <c r="AA255" s="54"/>
      <c r="AB255" s="54"/>
      <c r="AC255" s="54"/>
      <c r="AD255" s="54"/>
      <c r="AE255" s="55"/>
      <c r="AF255" s="55"/>
      <c r="AG255" s="55"/>
      <c r="AH255" s="55"/>
      <c r="AI255" s="54"/>
      <c r="AJ255" s="54"/>
      <c r="AK255" s="50"/>
      <c r="AL255" s="54"/>
      <c r="AM255" s="54"/>
      <c r="AN255" s="50"/>
      <c r="AO255" s="54">
        <f>47520+25920+8640-8640+8160-47520+43200+4320+480</f>
        <v>82080</v>
      </c>
      <c r="AP255" s="54"/>
      <c r="AQ255" s="50"/>
      <c r="AR255" s="50">
        <f>8640+2880+16320</f>
        <v>27840</v>
      </c>
      <c r="AS255" s="54"/>
      <c r="AT255" s="54"/>
      <c r="AU255" s="50">
        <f>15840+8640+2880</f>
        <v>27360</v>
      </c>
      <c r="AV255" s="54"/>
      <c r="AW255" s="50"/>
      <c r="AX255" s="50">
        <f>10560+42880+20160-20160+19200-10560+10240-42880+42240+960+80+640+560-560+240+8400+3680+20800-20800+20640+800</f>
        <v>107120</v>
      </c>
      <c r="AY255" s="54"/>
      <c r="AZ255" s="54"/>
      <c r="BA255" s="179">
        <f>960+5120+5600+960+5120+5600+5600+26720+13920+9600-5600+5120-5120+4960-13920+13680+240+240-160</f>
        <v>78640</v>
      </c>
      <c r="BB255" s="54"/>
      <c r="BC255" s="54"/>
      <c r="BD255" s="54"/>
      <c r="BE255" s="54"/>
      <c r="BF255" s="54"/>
      <c r="BG255" s="54"/>
      <c r="BH255" s="54"/>
      <c r="BI255" s="54"/>
      <c r="BJ255" s="54"/>
      <c r="BK255" s="54"/>
      <c r="BL255" s="54"/>
      <c r="BM255" s="54"/>
      <c r="BN255" s="54">
        <f t="shared" ref="BN255:BN262" si="394">IF(O255-BK255&gt;0,O255-BK255,0)</f>
        <v>0</v>
      </c>
      <c r="BO255" s="58">
        <f t="shared" ref="BO255:BO262" si="395">IF(Q255-BM255&gt;0,Q255-BM255,0)</f>
        <v>323040</v>
      </c>
      <c r="BP255" s="54">
        <f t="shared" ref="BP255:BP262" si="396">IF(BN255+BO255&gt;0,BN255+BO255,0)</f>
        <v>323040</v>
      </c>
      <c r="BQ255" s="54">
        <f t="shared" ref="BQ255:BQ262" si="397">IF(U255=0,0,U255)</f>
        <v>0</v>
      </c>
      <c r="BR255" s="54">
        <f t="shared" ref="BR255:BR262" si="398">IF(W255=0,0,W255)</f>
        <v>576465</v>
      </c>
      <c r="BS255" s="54">
        <f t="shared" ref="BS255:BS262" si="399">IF(BQ255+BR255&gt;0,BQ255+BR255,0)</f>
        <v>576465</v>
      </c>
      <c r="BT255" s="54">
        <f t="shared" ref="BT255:BT262" si="400">IF(V255&gt;0,V255,0)</f>
        <v>0</v>
      </c>
      <c r="BU255" s="54">
        <f t="shared" ref="BU255:BU262" si="401">IF(BP255=0,0,BP255)</f>
        <v>323040</v>
      </c>
      <c r="BV255" s="54">
        <f t="shared" ref="BV255:BV262" si="402">IF(BS255=0,0,BS255)</f>
        <v>576465</v>
      </c>
      <c r="BW255" s="54">
        <f t="shared" ref="BW255:BW262" si="403">IF(BP255+BT255&gt;0,BP255+BT255,0)</f>
        <v>323040</v>
      </c>
      <c r="BX255" s="1"/>
      <c r="BY255" s="1"/>
      <c r="BZ255" s="1"/>
      <c r="CA255" s="1"/>
      <c r="CB255" s="1"/>
      <c r="CC255" s="1"/>
      <c r="CD255" s="1"/>
      <c r="CE255" s="1"/>
      <c r="CF255" s="1"/>
      <c r="CG255" s="1"/>
    </row>
    <row r="256" spans="1:85" ht="15.75" customHeight="1">
      <c r="A256" s="43" t="s">
        <v>574</v>
      </c>
      <c r="B256" s="426"/>
      <c r="C256" s="394" t="s">
        <v>393</v>
      </c>
      <c r="D256" s="422" t="s">
        <v>1075</v>
      </c>
      <c r="E256" s="45"/>
      <c r="F256" s="46"/>
      <c r="G256" s="46">
        <f>E256-F256</f>
        <v>0</v>
      </c>
      <c r="H256" s="46">
        <v>150000</v>
      </c>
      <c r="I256" s="47">
        <f t="shared" si="328"/>
        <v>0</v>
      </c>
      <c r="J256" s="47">
        <f t="shared" si="329"/>
        <v>0</v>
      </c>
      <c r="K256" s="54"/>
      <c r="L256" s="49"/>
      <c r="M256" s="54"/>
      <c r="N256" s="161">
        <f>830393.5-110000-720393.5+662331.47-295032.58-103789-1519.92-7750</f>
        <v>254239.96999999994</v>
      </c>
      <c r="O256" s="51">
        <f t="shared" si="379"/>
        <v>0</v>
      </c>
      <c r="P256" s="51">
        <f t="shared" si="380"/>
        <v>0</v>
      </c>
      <c r="Q256" s="51">
        <f t="shared" si="381"/>
        <v>254239.97</v>
      </c>
      <c r="R256" s="52">
        <f t="shared" si="351"/>
        <v>0</v>
      </c>
      <c r="S256" s="52">
        <f t="shared" si="352"/>
        <v>0</v>
      </c>
      <c r="T256" s="52">
        <f t="shared" si="353"/>
        <v>254239.97</v>
      </c>
      <c r="U256" s="369">
        <f t="shared" si="382"/>
        <v>0</v>
      </c>
      <c r="V256" s="369">
        <f t="shared" si="383"/>
        <v>0</v>
      </c>
      <c r="W256" s="368">
        <f t="shared" si="384"/>
        <v>0</v>
      </c>
      <c r="X256" s="53">
        <f t="shared" si="285"/>
        <v>0</v>
      </c>
      <c r="Y256" s="53">
        <f t="shared" si="286"/>
        <v>0</v>
      </c>
      <c r="Z256" s="53">
        <f t="shared" si="287"/>
        <v>1.0000000000000002</v>
      </c>
      <c r="AA256" s="54"/>
      <c r="AB256" s="54"/>
      <c r="AC256" s="54"/>
      <c r="AD256" s="54"/>
      <c r="AE256" s="55"/>
      <c r="AF256" s="55"/>
      <c r="AG256" s="55"/>
      <c r="AH256" s="55"/>
      <c r="AI256" s="54"/>
      <c r="AJ256" s="54"/>
      <c r="AK256" s="50"/>
      <c r="AL256" s="54"/>
      <c r="AM256" s="54"/>
      <c r="AN256" s="50"/>
      <c r="AO256" s="54"/>
      <c r="AP256" s="54"/>
      <c r="AQ256" s="50"/>
      <c r="AR256" s="50"/>
      <c r="AS256" s="54"/>
      <c r="AT256" s="54"/>
      <c r="AU256" s="50"/>
      <c r="AV256" s="54"/>
      <c r="AW256" s="50"/>
      <c r="AX256" s="50">
        <f>254239.97</f>
        <v>254239.97</v>
      </c>
      <c r="AY256" s="54"/>
      <c r="AZ256" s="54"/>
      <c r="BA256" s="179"/>
      <c r="BB256" s="54"/>
      <c r="BC256" s="54"/>
      <c r="BD256" s="54"/>
      <c r="BE256" s="54"/>
      <c r="BF256" s="54"/>
      <c r="BG256" s="54"/>
      <c r="BH256" s="54"/>
      <c r="BI256" s="54"/>
      <c r="BJ256" s="54"/>
      <c r="BK256" s="54"/>
      <c r="BL256" s="54"/>
      <c r="BM256" s="54"/>
      <c r="BN256" s="54">
        <f t="shared" si="394"/>
        <v>0</v>
      </c>
      <c r="BO256" s="58">
        <f t="shared" si="395"/>
        <v>254239.97</v>
      </c>
      <c r="BP256" s="54">
        <f t="shared" si="396"/>
        <v>254239.97</v>
      </c>
      <c r="BQ256" s="54">
        <f t="shared" si="397"/>
        <v>0</v>
      </c>
      <c r="BR256" s="54">
        <f t="shared" si="398"/>
        <v>0</v>
      </c>
      <c r="BS256" s="54">
        <f t="shared" si="399"/>
        <v>0</v>
      </c>
      <c r="BT256" s="54">
        <f t="shared" si="400"/>
        <v>0</v>
      </c>
      <c r="BU256" s="54">
        <f t="shared" si="401"/>
        <v>254239.97</v>
      </c>
      <c r="BV256" s="54">
        <f t="shared" si="402"/>
        <v>0</v>
      </c>
      <c r="BW256" s="54">
        <f t="shared" si="403"/>
        <v>254239.97</v>
      </c>
      <c r="BX256" s="1"/>
      <c r="BY256" s="1"/>
      <c r="BZ256" s="1"/>
      <c r="CA256" s="1"/>
      <c r="CB256" s="1"/>
      <c r="CC256" s="1"/>
      <c r="CD256" s="1"/>
      <c r="CE256" s="1"/>
      <c r="CF256" s="1"/>
      <c r="CG256" s="1"/>
    </row>
    <row r="257" spans="1:85" ht="15.75" customHeight="1">
      <c r="A257" s="43" t="s">
        <v>575</v>
      </c>
      <c r="B257" s="426"/>
      <c r="C257" s="394" t="s">
        <v>393</v>
      </c>
      <c r="D257" s="422" t="s">
        <v>1076</v>
      </c>
      <c r="E257" s="45"/>
      <c r="F257" s="46"/>
      <c r="G257" s="46"/>
      <c r="H257" s="46"/>
      <c r="I257" s="47"/>
      <c r="J257" s="47"/>
      <c r="K257" s="54"/>
      <c r="L257" s="49"/>
      <c r="M257" s="54"/>
      <c r="N257" s="161">
        <v>4500</v>
      </c>
      <c r="O257" s="51">
        <f t="shared" si="379"/>
        <v>0</v>
      </c>
      <c r="P257" s="51">
        <f t="shared" si="380"/>
        <v>0</v>
      </c>
      <c r="Q257" s="51">
        <f t="shared" si="381"/>
        <v>4000</v>
      </c>
      <c r="R257" s="52">
        <f t="shared" si="351"/>
        <v>0</v>
      </c>
      <c r="S257" s="52">
        <f t="shared" si="352"/>
        <v>0</v>
      </c>
      <c r="T257" s="52">
        <f t="shared" si="353"/>
        <v>4000</v>
      </c>
      <c r="U257" s="369">
        <f t="shared" si="382"/>
        <v>0</v>
      </c>
      <c r="V257" s="369">
        <f t="shared" si="383"/>
        <v>0</v>
      </c>
      <c r="W257" s="368">
        <f t="shared" si="384"/>
        <v>500</v>
      </c>
      <c r="X257" s="53">
        <f t="shared" si="285"/>
        <v>0</v>
      </c>
      <c r="Y257" s="53">
        <f t="shared" si="286"/>
        <v>0</v>
      </c>
      <c r="Z257" s="53">
        <f t="shared" si="287"/>
        <v>0.88888888888888884</v>
      </c>
      <c r="AA257" s="54"/>
      <c r="AB257" s="54"/>
      <c r="AC257" s="54"/>
      <c r="AD257" s="54"/>
      <c r="AE257" s="55"/>
      <c r="AF257" s="55"/>
      <c r="AG257" s="55"/>
      <c r="AH257" s="55"/>
      <c r="AI257" s="54"/>
      <c r="AJ257" s="54"/>
      <c r="AK257" s="50"/>
      <c r="AL257" s="54"/>
      <c r="AM257" s="54"/>
      <c r="AN257" s="50"/>
      <c r="AO257" s="54"/>
      <c r="AP257" s="54"/>
      <c r="AQ257" s="50"/>
      <c r="AR257" s="50"/>
      <c r="AS257" s="54"/>
      <c r="AT257" s="54"/>
      <c r="AU257" s="50"/>
      <c r="AV257" s="54"/>
      <c r="AW257" s="50"/>
      <c r="AX257" s="50"/>
      <c r="AY257" s="54"/>
      <c r="AZ257" s="54"/>
      <c r="BA257" s="180">
        <v>4000</v>
      </c>
      <c r="BB257" s="54"/>
      <c r="BC257" s="54"/>
      <c r="BD257" s="54"/>
      <c r="BE257" s="54"/>
      <c r="BF257" s="54"/>
      <c r="BG257" s="54"/>
      <c r="BH257" s="54"/>
      <c r="BI257" s="54"/>
      <c r="BJ257" s="54"/>
      <c r="BK257" s="54"/>
      <c r="BL257" s="54"/>
      <c r="BM257" s="54"/>
      <c r="BN257" s="54">
        <f t="shared" si="394"/>
        <v>0</v>
      </c>
      <c r="BO257" s="58">
        <f t="shared" si="395"/>
        <v>4000</v>
      </c>
      <c r="BP257" s="54">
        <f t="shared" si="396"/>
        <v>4000</v>
      </c>
      <c r="BQ257" s="54">
        <f t="shared" si="397"/>
        <v>0</v>
      </c>
      <c r="BR257" s="54">
        <f t="shared" si="398"/>
        <v>500</v>
      </c>
      <c r="BS257" s="54">
        <f t="shared" si="399"/>
        <v>500</v>
      </c>
      <c r="BT257" s="54">
        <f t="shared" si="400"/>
        <v>0</v>
      </c>
      <c r="BU257" s="54">
        <f t="shared" si="401"/>
        <v>4000</v>
      </c>
      <c r="BV257" s="54">
        <f t="shared" si="402"/>
        <v>500</v>
      </c>
      <c r="BW257" s="54">
        <f t="shared" si="403"/>
        <v>4000</v>
      </c>
      <c r="BX257" s="1"/>
      <c r="BY257" s="1"/>
      <c r="BZ257" s="1"/>
      <c r="CA257" s="1"/>
      <c r="CB257" s="1"/>
      <c r="CC257" s="1"/>
      <c r="CD257" s="1"/>
      <c r="CE257" s="1"/>
      <c r="CF257" s="1"/>
      <c r="CG257" s="1"/>
    </row>
    <row r="258" spans="1:85" ht="15.75" customHeight="1">
      <c r="A258" s="56"/>
      <c r="B258" s="426"/>
      <c r="C258" s="394" t="s">
        <v>550</v>
      </c>
      <c r="D258" s="44" t="s">
        <v>576</v>
      </c>
      <c r="E258" s="45"/>
      <c r="F258" s="46"/>
      <c r="G258" s="46">
        <f>E258-F258</f>
        <v>0</v>
      </c>
      <c r="H258" s="46">
        <v>850000</v>
      </c>
      <c r="I258" s="47">
        <f t="shared" ref="I258:I265" si="404">IF(G258&gt;0,K258/G258,0)</f>
        <v>0</v>
      </c>
      <c r="J258" s="47">
        <f t="shared" ref="J258:J265" si="405">IF(G258&gt;0,O258/G258,0)</f>
        <v>0</v>
      </c>
      <c r="K258" s="54"/>
      <c r="L258" s="49"/>
      <c r="M258" s="54"/>
      <c r="N258" s="49"/>
      <c r="O258" s="51">
        <f t="shared" si="379"/>
        <v>0</v>
      </c>
      <c r="P258" s="51">
        <f t="shared" si="380"/>
        <v>0</v>
      </c>
      <c r="Q258" s="51">
        <f t="shared" si="381"/>
        <v>0</v>
      </c>
      <c r="R258" s="52">
        <f t="shared" si="351"/>
        <v>0</v>
      </c>
      <c r="S258" s="52">
        <f t="shared" si="352"/>
        <v>0</v>
      </c>
      <c r="T258" s="52">
        <f t="shared" si="353"/>
        <v>0</v>
      </c>
      <c r="U258" s="369">
        <f t="shared" si="382"/>
        <v>0</v>
      </c>
      <c r="V258" s="369">
        <f t="shared" si="383"/>
        <v>0</v>
      </c>
      <c r="W258" s="369">
        <f t="shared" si="384"/>
        <v>0</v>
      </c>
      <c r="X258" s="53">
        <f t="shared" si="285"/>
        <v>0</v>
      </c>
      <c r="Y258" s="53">
        <f t="shared" si="286"/>
        <v>0</v>
      </c>
      <c r="Z258" s="53">
        <f t="shared" si="287"/>
        <v>0</v>
      </c>
      <c r="AA258" s="54"/>
      <c r="AB258" s="54"/>
      <c r="AC258" s="54"/>
      <c r="AD258" s="54"/>
      <c r="AE258" s="55"/>
      <c r="AF258" s="55"/>
      <c r="AG258" s="55"/>
      <c r="AH258" s="55"/>
      <c r="AI258" s="54"/>
      <c r="AJ258" s="54"/>
      <c r="AK258" s="50"/>
      <c r="AL258" s="54"/>
      <c r="AM258" s="54"/>
      <c r="AN258" s="50"/>
      <c r="AO258" s="54"/>
      <c r="AP258" s="54"/>
      <c r="AQ258" s="50"/>
      <c r="AR258" s="50"/>
      <c r="AS258" s="54"/>
      <c r="AT258" s="54"/>
      <c r="AU258" s="50"/>
      <c r="AV258" s="54"/>
      <c r="AW258" s="50"/>
      <c r="AX258" s="50"/>
      <c r="AY258" s="54"/>
      <c r="AZ258" s="54"/>
      <c r="BA258" s="179"/>
      <c r="BB258" s="54"/>
      <c r="BC258" s="54"/>
      <c r="BD258" s="54"/>
      <c r="BE258" s="54"/>
      <c r="BF258" s="54"/>
      <c r="BG258" s="54"/>
      <c r="BH258" s="54"/>
      <c r="BI258" s="54"/>
      <c r="BJ258" s="54"/>
      <c r="BK258" s="54"/>
      <c r="BL258" s="54"/>
      <c r="BM258" s="54"/>
      <c r="BN258" s="54">
        <f t="shared" si="394"/>
        <v>0</v>
      </c>
      <c r="BO258" s="58">
        <f t="shared" si="395"/>
        <v>0</v>
      </c>
      <c r="BP258" s="54">
        <f t="shared" si="396"/>
        <v>0</v>
      </c>
      <c r="BQ258" s="54">
        <f t="shared" si="397"/>
        <v>0</v>
      </c>
      <c r="BR258" s="54">
        <f t="shared" si="398"/>
        <v>0</v>
      </c>
      <c r="BS258" s="54">
        <f t="shared" si="399"/>
        <v>0</v>
      </c>
      <c r="BT258" s="54">
        <f t="shared" si="400"/>
        <v>0</v>
      </c>
      <c r="BU258" s="54">
        <f t="shared" si="401"/>
        <v>0</v>
      </c>
      <c r="BV258" s="54">
        <f t="shared" si="402"/>
        <v>0</v>
      </c>
      <c r="BW258" s="54">
        <f t="shared" si="403"/>
        <v>0</v>
      </c>
      <c r="BX258" s="1"/>
      <c r="BY258" s="1"/>
      <c r="BZ258" s="1"/>
      <c r="CA258" s="1"/>
      <c r="CB258" s="1"/>
      <c r="CC258" s="1"/>
      <c r="CD258" s="1"/>
      <c r="CE258" s="1"/>
      <c r="CF258" s="1"/>
      <c r="CG258" s="1"/>
    </row>
    <row r="259" spans="1:85" ht="15.75" customHeight="1">
      <c r="A259" s="56"/>
      <c r="B259" s="426"/>
      <c r="C259" s="394" t="s">
        <v>550</v>
      </c>
      <c r="D259" s="44" t="s">
        <v>576</v>
      </c>
      <c r="E259" s="45"/>
      <c r="F259" s="46"/>
      <c r="G259" s="46">
        <f>E259-F259</f>
        <v>0</v>
      </c>
      <c r="H259" s="46">
        <v>700000</v>
      </c>
      <c r="I259" s="47">
        <f t="shared" si="404"/>
        <v>0</v>
      </c>
      <c r="J259" s="47">
        <f t="shared" si="405"/>
        <v>0</v>
      </c>
      <c r="K259" s="54"/>
      <c r="L259" s="49"/>
      <c r="M259" s="54"/>
      <c r="N259" s="54"/>
      <c r="O259" s="51">
        <f t="shared" si="379"/>
        <v>0</v>
      </c>
      <c r="P259" s="51">
        <f t="shared" si="380"/>
        <v>0</v>
      </c>
      <c r="Q259" s="51">
        <f t="shared" si="381"/>
        <v>0</v>
      </c>
      <c r="R259" s="52">
        <f t="shared" si="351"/>
        <v>0</v>
      </c>
      <c r="S259" s="52">
        <f t="shared" si="352"/>
        <v>0</v>
      </c>
      <c r="T259" s="52">
        <f t="shared" si="353"/>
        <v>0</v>
      </c>
      <c r="U259" s="369">
        <f t="shared" si="382"/>
        <v>0</v>
      </c>
      <c r="V259" s="369">
        <f t="shared" si="383"/>
        <v>0</v>
      </c>
      <c r="W259" s="369">
        <f t="shared" si="384"/>
        <v>0</v>
      </c>
      <c r="X259" s="53">
        <f t="shared" ref="X259:X320" si="406">IF(O259&gt;0,O259/K259,0)</f>
        <v>0</v>
      </c>
      <c r="Y259" s="53">
        <f t="shared" ref="Y259:Y320" si="407">IF(P259&gt;0,P259/L259,0)</f>
        <v>0</v>
      </c>
      <c r="Z259" s="53">
        <f t="shared" ref="Z259:Z320" si="408">IF(Q259&gt;0,Q259/N259,0)</f>
        <v>0</v>
      </c>
      <c r="AA259" s="54"/>
      <c r="AB259" s="54"/>
      <c r="AC259" s="54"/>
      <c r="AD259" s="54"/>
      <c r="AE259" s="55"/>
      <c r="AF259" s="55"/>
      <c r="AG259" s="55"/>
      <c r="AH259" s="55"/>
      <c r="AI259" s="54"/>
      <c r="AJ259" s="54"/>
      <c r="AK259" s="50"/>
      <c r="AL259" s="54"/>
      <c r="AM259" s="54"/>
      <c r="AN259" s="50"/>
      <c r="AO259" s="54"/>
      <c r="AP259" s="54"/>
      <c r="AQ259" s="50"/>
      <c r="AR259" s="50"/>
      <c r="AS259" s="54"/>
      <c r="AT259" s="54"/>
      <c r="AU259" s="50"/>
      <c r="AV259" s="54"/>
      <c r="AW259" s="50"/>
      <c r="AX259" s="50"/>
      <c r="AY259" s="54"/>
      <c r="AZ259" s="54"/>
      <c r="BA259" s="54"/>
      <c r="BB259" s="54"/>
      <c r="BC259" s="54"/>
      <c r="BD259" s="54"/>
      <c r="BE259" s="54"/>
      <c r="BF259" s="54"/>
      <c r="BG259" s="54"/>
      <c r="BH259" s="54"/>
      <c r="BI259" s="54"/>
      <c r="BJ259" s="54"/>
      <c r="BK259" s="54"/>
      <c r="BL259" s="54"/>
      <c r="BM259" s="54"/>
      <c r="BN259" s="54">
        <f t="shared" si="394"/>
        <v>0</v>
      </c>
      <c r="BO259" s="58">
        <f t="shared" si="395"/>
        <v>0</v>
      </c>
      <c r="BP259" s="54">
        <f t="shared" si="396"/>
        <v>0</v>
      </c>
      <c r="BQ259" s="54">
        <f t="shared" si="397"/>
        <v>0</v>
      </c>
      <c r="BR259" s="54">
        <f t="shared" si="398"/>
        <v>0</v>
      </c>
      <c r="BS259" s="54">
        <f t="shared" si="399"/>
        <v>0</v>
      </c>
      <c r="BT259" s="54">
        <f t="shared" si="400"/>
        <v>0</v>
      </c>
      <c r="BU259" s="54">
        <f t="shared" si="401"/>
        <v>0</v>
      </c>
      <c r="BV259" s="54">
        <f t="shared" si="402"/>
        <v>0</v>
      </c>
      <c r="BW259" s="54">
        <f t="shared" si="403"/>
        <v>0</v>
      </c>
      <c r="BX259" s="1"/>
      <c r="BY259" s="1"/>
      <c r="BZ259" s="1"/>
      <c r="CA259" s="1"/>
      <c r="CB259" s="1"/>
      <c r="CC259" s="1"/>
      <c r="CD259" s="1"/>
      <c r="CE259" s="1"/>
      <c r="CF259" s="1"/>
      <c r="CG259" s="1"/>
    </row>
    <row r="260" spans="1:85" ht="15.75" customHeight="1">
      <c r="A260" s="43" t="s">
        <v>577</v>
      </c>
      <c r="B260" s="426"/>
      <c r="C260" s="394" t="s">
        <v>550</v>
      </c>
      <c r="D260" s="44" t="s">
        <v>578</v>
      </c>
      <c r="E260" s="45"/>
      <c r="F260" s="46"/>
      <c r="G260" s="46">
        <f>E260-F260</f>
        <v>0</v>
      </c>
      <c r="H260" s="46">
        <v>0</v>
      </c>
      <c r="I260" s="47">
        <f t="shared" si="404"/>
        <v>0</v>
      </c>
      <c r="J260" s="47">
        <f t="shared" si="405"/>
        <v>0</v>
      </c>
      <c r="K260" s="48">
        <v>1000</v>
      </c>
      <c r="L260" s="49"/>
      <c r="M260" s="54"/>
      <c r="N260" s="54"/>
      <c r="O260" s="51">
        <f t="shared" si="379"/>
        <v>1000</v>
      </c>
      <c r="P260" s="51">
        <f t="shared" si="380"/>
        <v>0</v>
      </c>
      <c r="Q260" s="51">
        <f t="shared" si="381"/>
        <v>0</v>
      </c>
      <c r="R260" s="52">
        <f t="shared" si="351"/>
        <v>1000</v>
      </c>
      <c r="S260" s="52">
        <f t="shared" si="352"/>
        <v>0</v>
      </c>
      <c r="T260" s="52">
        <f t="shared" si="353"/>
        <v>0</v>
      </c>
      <c r="U260" s="369">
        <f t="shared" si="382"/>
        <v>0</v>
      </c>
      <c r="V260" s="369">
        <f t="shared" si="383"/>
        <v>0</v>
      </c>
      <c r="W260" s="369">
        <f t="shared" si="384"/>
        <v>0</v>
      </c>
      <c r="X260" s="53">
        <f t="shared" si="406"/>
        <v>1</v>
      </c>
      <c r="Y260" s="53">
        <f t="shared" si="407"/>
        <v>0</v>
      </c>
      <c r="Z260" s="53">
        <f t="shared" si="408"/>
        <v>0</v>
      </c>
      <c r="AA260" s="54"/>
      <c r="AB260" s="54"/>
      <c r="AC260" s="54"/>
      <c r="AD260" s="54"/>
      <c r="AE260" s="55"/>
      <c r="AF260" s="55"/>
      <c r="AG260" s="55"/>
      <c r="AH260" s="55"/>
      <c r="AI260" s="54"/>
      <c r="AJ260" s="54"/>
      <c r="AK260" s="50"/>
      <c r="AL260" s="54"/>
      <c r="AM260" s="54"/>
      <c r="AN260" s="50"/>
      <c r="AO260" s="54"/>
      <c r="AP260" s="48">
        <v>1000</v>
      </c>
      <c r="AQ260" s="50"/>
      <c r="AR260" s="50"/>
      <c r="AS260" s="54"/>
      <c r="AT260" s="54"/>
      <c r="AU260" s="50"/>
      <c r="AV260" s="54"/>
      <c r="AW260" s="50"/>
      <c r="AX260" s="50"/>
      <c r="AY260" s="54"/>
      <c r="AZ260" s="54"/>
      <c r="BA260" s="54"/>
      <c r="BB260" s="54"/>
      <c r="BC260" s="54"/>
      <c r="BD260" s="54"/>
      <c r="BE260" s="54"/>
      <c r="BF260" s="54"/>
      <c r="BG260" s="54"/>
      <c r="BH260" s="54"/>
      <c r="BI260" s="54"/>
      <c r="BJ260" s="54"/>
      <c r="BK260" s="54"/>
      <c r="BL260" s="54"/>
      <c r="BM260" s="54"/>
      <c r="BN260" s="54">
        <f t="shared" si="394"/>
        <v>1000</v>
      </c>
      <c r="BO260" s="58">
        <f t="shared" si="395"/>
        <v>0</v>
      </c>
      <c r="BP260" s="54">
        <f t="shared" si="396"/>
        <v>1000</v>
      </c>
      <c r="BQ260" s="54">
        <f t="shared" si="397"/>
        <v>0</v>
      </c>
      <c r="BR260" s="54">
        <f t="shared" si="398"/>
        <v>0</v>
      </c>
      <c r="BS260" s="54">
        <f t="shared" si="399"/>
        <v>0</v>
      </c>
      <c r="BT260" s="54">
        <f t="shared" si="400"/>
        <v>0</v>
      </c>
      <c r="BU260" s="54">
        <f t="shared" si="401"/>
        <v>1000</v>
      </c>
      <c r="BV260" s="54">
        <f t="shared" si="402"/>
        <v>0</v>
      </c>
      <c r="BW260" s="54">
        <f t="shared" si="403"/>
        <v>1000</v>
      </c>
      <c r="BX260" s="1"/>
      <c r="BY260" s="1"/>
      <c r="BZ260" s="1"/>
      <c r="CA260" s="1"/>
      <c r="CB260" s="1"/>
      <c r="CC260" s="1"/>
      <c r="CD260" s="1"/>
      <c r="CE260" s="1"/>
      <c r="CF260" s="1"/>
      <c r="CG260" s="1"/>
    </row>
    <row r="261" spans="1:85" ht="15.75" customHeight="1">
      <c r="A261" s="56"/>
      <c r="B261" s="426"/>
      <c r="C261" s="394" t="s">
        <v>550</v>
      </c>
      <c r="D261" s="44" t="s">
        <v>579</v>
      </c>
      <c r="E261" s="45"/>
      <c r="F261" s="46"/>
      <c r="G261" s="46">
        <f>E261-F261</f>
        <v>0</v>
      </c>
      <c r="H261" s="46">
        <v>0</v>
      </c>
      <c r="I261" s="47">
        <f t="shared" si="404"/>
        <v>0</v>
      </c>
      <c r="J261" s="47">
        <f t="shared" si="405"/>
        <v>0</v>
      </c>
      <c r="K261" s="54"/>
      <c r="L261" s="49"/>
      <c r="M261" s="54"/>
      <c r="N261" s="54"/>
      <c r="O261" s="51">
        <f t="shared" si="379"/>
        <v>0</v>
      </c>
      <c r="P261" s="51">
        <f t="shared" si="380"/>
        <v>0</v>
      </c>
      <c r="Q261" s="51">
        <f t="shared" si="381"/>
        <v>0</v>
      </c>
      <c r="R261" s="52">
        <f t="shared" si="351"/>
        <v>0</v>
      </c>
      <c r="S261" s="52">
        <f t="shared" si="352"/>
        <v>0</v>
      </c>
      <c r="T261" s="52">
        <f t="shared" si="353"/>
        <v>0</v>
      </c>
      <c r="U261" s="369">
        <f t="shared" si="382"/>
        <v>0</v>
      </c>
      <c r="V261" s="369">
        <f t="shared" si="383"/>
        <v>0</v>
      </c>
      <c r="W261" s="369">
        <f t="shared" si="384"/>
        <v>0</v>
      </c>
      <c r="X261" s="53">
        <f t="shared" si="406"/>
        <v>0</v>
      </c>
      <c r="Y261" s="53">
        <f t="shared" si="407"/>
        <v>0</v>
      </c>
      <c r="Z261" s="53">
        <f t="shared" si="408"/>
        <v>0</v>
      </c>
      <c r="AA261" s="54"/>
      <c r="AB261" s="54"/>
      <c r="AC261" s="54"/>
      <c r="AD261" s="54"/>
      <c r="AE261" s="55"/>
      <c r="AF261" s="55"/>
      <c r="AG261" s="55"/>
      <c r="AH261" s="55"/>
      <c r="AI261" s="54"/>
      <c r="AJ261" s="54"/>
      <c r="AK261" s="50"/>
      <c r="AL261" s="54"/>
      <c r="AM261" s="54"/>
      <c r="AN261" s="50"/>
      <c r="AO261" s="54"/>
      <c r="AP261" s="54"/>
      <c r="AQ261" s="50"/>
      <c r="AR261" s="50"/>
      <c r="AS261" s="54"/>
      <c r="AT261" s="54"/>
      <c r="AU261" s="50"/>
      <c r="AV261" s="54"/>
      <c r="AW261" s="50"/>
      <c r="AX261" s="50"/>
      <c r="AY261" s="54"/>
      <c r="AZ261" s="54"/>
      <c r="BA261" s="54"/>
      <c r="BB261" s="54"/>
      <c r="BC261" s="54"/>
      <c r="BD261" s="54"/>
      <c r="BE261" s="54"/>
      <c r="BF261" s="54"/>
      <c r="BG261" s="54"/>
      <c r="BH261" s="54"/>
      <c r="BI261" s="54"/>
      <c r="BJ261" s="54"/>
      <c r="BK261" s="54"/>
      <c r="BL261" s="54"/>
      <c r="BM261" s="54"/>
      <c r="BN261" s="54">
        <f t="shared" si="394"/>
        <v>0</v>
      </c>
      <c r="BO261" s="58">
        <f t="shared" si="395"/>
        <v>0</v>
      </c>
      <c r="BP261" s="54">
        <f t="shared" si="396"/>
        <v>0</v>
      </c>
      <c r="BQ261" s="54">
        <f t="shared" si="397"/>
        <v>0</v>
      </c>
      <c r="BR261" s="54">
        <f t="shared" si="398"/>
        <v>0</v>
      </c>
      <c r="BS261" s="54">
        <f t="shared" si="399"/>
        <v>0</v>
      </c>
      <c r="BT261" s="54">
        <f t="shared" si="400"/>
        <v>0</v>
      </c>
      <c r="BU261" s="54">
        <f t="shared" si="401"/>
        <v>0</v>
      </c>
      <c r="BV261" s="54">
        <f t="shared" si="402"/>
        <v>0</v>
      </c>
      <c r="BW261" s="54">
        <f t="shared" si="403"/>
        <v>0</v>
      </c>
      <c r="BX261" s="1"/>
      <c r="BY261" s="1"/>
      <c r="BZ261" s="1"/>
      <c r="CA261" s="1"/>
      <c r="CB261" s="1"/>
      <c r="CC261" s="1"/>
      <c r="CD261" s="1"/>
      <c r="CE261" s="1"/>
      <c r="CF261" s="1"/>
      <c r="CG261" s="1"/>
    </row>
    <row r="262" spans="1:85" ht="15.75" customHeight="1">
      <c r="A262" s="56"/>
      <c r="B262" s="426"/>
      <c r="C262" s="394" t="s">
        <v>550</v>
      </c>
      <c r="D262" s="44" t="s">
        <v>580</v>
      </c>
      <c r="E262" s="45"/>
      <c r="F262" s="46"/>
      <c r="G262" s="46">
        <f>E262-F262</f>
        <v>0</v>
      </c>
      <c r="H262" s="46">
        <v>0</v>
      </c>
      <c r="I262" s="47">
        <f t="shared" si="404"/>
        <v>0</v>
      </c>
      <c r="J262" s="47">
        <f t="shared" si="405"/>
        <v>0</v>
      </c>
      <c r="K262" s="54"/>
      <c r="L262" s="49"/>
      <c r="M262" s="54"/>
      <c r="N262" s="49"/>
      <c r="O262" s="51">
        <f t="shared" si="379"/>
        <v>0</v>
      </c>
      <c r="P262" s="51">
        <f t="shared" si="380"/>
        <v>0</v>
      </c>
      <c r="Q262" s="51">
        <f t="shared" si="381"/>
        <v>0</v>
      </c>
      <c r="R262" s="52">
        <f t="shared" si="351"/>
        <v>0</v>
      </c>
      <c r="S262" s="52">
        <f t="shared" si="352"/>
        <v>0</v>
      </c>
      <c r="T262" s="52">
        <f t="shared" si="353"/>
        <v>0</v>
      </c>
      <c r="U262" s="369">
        <f t="shared" si="382"/>
        <v>0</v>
      </c>
      <c r="V262" s="369">
        <f t="shared" si="383"/>
        <v>0</v>
      </c>
      <c r="W262" s="369">
        <f t="shared" si="384"/>
        <v>0</v>
      </c>
      <c r="X262" s="53">
        <f t="shared" si="406"/>
        <v>0</v>
      </c>
      <c r="Y262" s="53">
        <f t="shared" si="407"/>
        <v>0</v>
      </c>
      <c r="Z262" s="53">
        <f t="shared" si="408"/>
        <v>0</v>
      </c>
      <c r="AA262" s="54"/>
      <c r="AB262" s="54"/>
      <c r="AC262" s="54"/>
      <c r="AD262" s="54"/>
      <c r="AE262" s="55"/>
      <c r="AF262" s="55"/>
      <c r="AG262" s="55"/>
      <c r="AH262" s="55"/>
      <c r="AI262" s="54"/>
      <c r="AJ262" s="54"/>
      <c r="AK262" s="54"/>
      <c r="AL262" s="54"/>
      <c r="AM262" s="54"/>
      <c r="AN262" s="54"/>
      <c r="AO262" s="54"/>
      <c r="AP262" s="54"/>
      <c r="AQ262" s="54"/>
      <c r="AR262" s="54"/>
      <c r="AS262" s="54"/>
      <c r="AT262" s="54"/>
      <c r="AU262" s="54"/>
      <c r="AV262" s="54"/>
      <c r="AW262" s="54"/>
      <c r="AX262" s="54"/>
      <c r="AY262" s="54"/>
      <c r="AZ262" s="54"/>
      <c r="BA262" s="54"/>
      <c r="BB262" s="54"/>
      <c r="BC262" s="54"/>
      <c r="BD262" s="54"/>
      <c r="BE262" s="54"/>
      <c r="BF262" s="54"/>
      <c r="BG262" s="54"/>
      <c r="BH262" s="54"/>
      <c r="BI262" s="54"/>
      <c r="BJ262" s="54"/>
      <c r="BK262" s="54"/>
      <c r="BL262" s="54"/>
      <c r="BM262" s="54"/>
      <c r="BN262" s="54">
        <f t="shared" si="394"/>
        <v>0</v>
      </c>
      <c r="BO262" s="58">
        <f t="shared" si="395"/>
        <v>0</v>
      </c>
      <c r="BP262" s="54">
        <f t="shared" si="396"/>
        <v>0</v>
      </c>
      <c r="BQ262" s="54">
        <f t="shared" si="397"/>
        <v>0</v>
      </c>
      <c r="BR262" s="54">
        <f t="shared" si="398"/>
        <v>0</v>
      </c>
      <c r="BS262" s="54">
        <f t="shared" si="399"/>
        <v>0</v>
      </c>
      <c r="BT262" s="54">
        <f t="shared" si="400"/>
        <v>0</v>
      </c>
      <c r="BU262" s="54">
        <f t="shared" si="401"/>
        <v>0</v>
      </c>
      <c r="BV262" s="54">
        <f t="shared" si="402"/>
        <v>0</v>
      </c>
      <c r="BW262" s="54">
        <f t="shared" si="403"/>
        <v>0</v>
      </c>
      <c r="BX262" s="1"/>
      <c r="BY262" s="1"/>
      <c r="BZ262" s="1"/>
      <c r="CA262" s="1"/>
      <c r="CB262" s="1"/>
      <c r="CC262" s="1"/>
      <c r="CD262" s="1"/>
      <c r="CE262" s="1"/>
      <c r="CF262" s="1"/>
      <c r="CG262" s="1"/>
    </row>
    <row r="263" spans="1:85" ht="15.75" customHeight="1">
      <c r="A263" s="175"/>
      <c r="B263" s="443"/>
      <c r="C263" s="392"/>
      <c r="D263" s="168" t="s">
        <v>581</v>
      </c>
      <c r="E263" s="162">
        <f>SUM(E264:E301)</f>
        <v>0</v>
      </c>
      <c r="F263" s="127">
        <f>SUM(F264:F301)</f>
        <v>0</v>
      </c>
      <c r="G263" s="127">
        <f>SUM(G264:G301)</f>
        <v>0</v>
      </c>
      <c r="H263" s="127">
        <f>SUM(H264:H301)</f>
        <v>3249944.87</v>
      </c>
      <c r="I263" s="169">
        <f t="shared" si="404"/>
        <v>0</v>
      </c>
      <c r="J263" s="169">
        <f t="shared" si="405"/>
        <v>0</v>
      </c>
      <c r="K263" s="127">
        <f t="shared" ref="K263:W263" si="409">SUM(K264:K301)</f>
        <v>7750</v>
      </c>
      <c r="L263" s="127">
        <f t="shared" si="409"/>
        <v>1406163.39</v>
      </c>
      <c r="M263" s="127">
        <f t="shared" si="409"/>
        <v>39693.279999999999</v>
      </c>
      <c r="N263" s="127">
        <f t="shared" si="409"/>
        <v>1805891.9000000001</v>
      </c>
      <c r="O263" s="127">
        <f t="shared" si="409"/>
        <v>0</v>
      </c>
      <c r="P263" s="127">
        <f t="shared" si="409"/>
        <v>1083876.93</v>
      </c>
      <c r="Q263" s="127">
        <f t="shared" si="409"/>
        <v>1189270.1100000001</v>
      </c>
      <c r="R263" s="127">
        <f t="shared" si="409"/>
        <v>0</v>
      </c>
      <c r="S263" s="127">
        <f t="shared" si="409"/>
        <v>1083876.93</v>
      </c>
      <c r="T263" s="127">
        <f t="shared" si="409"/>
        <v>1189270.1100000001</v>
      </c>
      <c r="U263" s="375">
        <f t="shared" si="409"/>
        <v>7750</v>
      </c>
      <c r="V263" s="375">
        <f t="shared" si="409"/>
        <v>282593.18</v>
      </c>
      <c r="W263" s="375">
        <f t="shared" si="409"/>
        <v>616621.79000000015</v>
      </c>
      <c r="X263" s="36">
        <f t="shared" si="406"/>
        <v>0</v>
      </c>
      <c r="Y263" s="36">
        <f t="shared" si="407"/>
        <v>0.77080440132920824</v>
      </c>
      <c r="Z263" s="36">
        <f t="shared" si="408"/>
        <v>0.65854999958746152</v>
      </c>
      <c r="AA263" s="127">
        <f t="shared" ref="AA263:BW263" si="410">SUM(AA264:AA301)</f>
        <v>0</v>
      </c>
      <c r="AB263" s="127">
        <f t="shared" si="410"/>
        <v>49035.380000000005</v>
      </c>
      <c r="AC263" s="127">
        <f t="shared" si="410"/>
        <v>0</v>
      </c>
      <c r="AD263" s="170">
        <f t="shared" si="410"/>
        <v>0</v>
      </c>
      <c r="AE263" s="170">
        <f t="shared" si="410"/>
        <v>196039.93</v>
      </c>
      <c r="AF263" s="170">
        <f t="shared" si="410"/>
        <v>405.27</v>
      </c>
      <c r="AG263" s="170">
        <f t="shared" si="410"/>
        <v>0</v>
      </c>
      <c r="AH263" s="170">
        <f t="shared" si="410"/>
        <v>166010.48000000001</v>
      </c>
      <c r="AI263" s="127">
        <f t="shared" si="410"/>
        <v>100357.36</v>
      </c>
      <c r="AJ263" s="127">
        <f t="shared" si="410"/>
        <v>0</v>
      </c>
      <c r="AK263" s="127">
        <f t="shared" si="410"/>
        <v>142919.96000000002</v>
      </c>
      <c r="AL263" s="127">
        <f t="shared" si="410"/>
        <v>178052.2</v>
      </c>
      <c r="AM263" s="127">
        <f t="shared" si="410"/>
        <v>0</v>
      </c>
      <c r="AN263" s="127">
        <f t="shared" si="410"/>
        <v>102026.95999999999</v>
      </c>
      <c r="AO263" s="127">
        <f t="shared" si="410"/>
        <v>192279.95</v>
      </c>
      <c r="AP263" s="127">
        <f t="shared" si="410"/>
        <v>0</v>
      </c>
      <c r="AQ263" s="127">
        <f t="shared" si="410"/>
        <v>172131.81</v>
      </c>
      <c r="AR263" s="127">
        <f t="shared" si="410"/>
        <v>184354.46000000002</v>
      </c>
      <c r="AS263" s="127">
        <f t="shared" si="410"/>
        <v>0</v>
      </c>
      <c r="AT263" s="127">
        <f t="shared" si="410"/>
        <v>38200.300000000003</v>
      </c>
      <c r="AU263" s="127">
        <f t="shared" si="410"/>
        <v>197434.99</v>
      </c>
      <c r="AV263" s="127">
        <f t="shared" si="410"/>
        <v>0</v>
      </c>
      <c r="AW263" s="127">
        <f t="shared" si="410"/>
        <v>135983.08000000002</v>
      </c>
      <c r="AX263" s="127">
        <f t="shared" si="410"/>
        <v>214920.54</v>
      </c>
      <c r="AY263" s="127">
        <f t="shared" si="410"/>
        <v>0</v>
      </c>
      <c r="AZ263" s="127">
        <f t="shared" si="410"/>
        <v>81529.03</v>
      </c>
      <c r="BA263" s="127">
        <f t="shared" si="410"/>
        <v>121465.34</v>
      </c>
      <c r="BB263" s="127">
        <f t="shared" si="410"/>
        <v>0</v>
      </c>
      <c r="BC263" s="127">
        <f t="shared" si="410"/>
        <v>0</v>
      </c>
      <c r="BD263" s="127">
        <f t="shared" si="410"/>
        <v>0</v>
      </c>
      <c r="BE263" s="127">
        <f t="shared" si="410"/>
        <v>0</v>
      </c>
      <c r="BF263" s="127">
        <f t="shared" si="410"/>
        <v>0</v>
      </c>
      <c r="BG263" s="127">
        <f t="shared" si="410"/>
        <v>0</v>
      </c>
      <c r="BH263" s="127">
        <f t="shared" si="410"/>
        <v>0</v>
      </c>
      <c r="BI263" s="127">
        <f t="shared" si="410"/>
        <v>0</v>
      </c>
      <c r="BJ263" s="127">
        <f t="shared" si="410"/>
        <v>0</v>
      </c>
      <c r="BK263" s="127">
        <f t="shared" si="410"/>
        <v>0</v>
      </c>
      <c r="BL263" s="127">
        <f t="shared" si="410"/>
        <v>0</v>
      </c>
      <c r="BM263" s="127">
        <f t="shared" si="410"/>
        <v>0</v>
      </c>
      <c r="BN263" s="127">
        <f t="shared" si="410"/>
        <v>0</v>
      </c>
      <c r="BO263" s="127">
        <f t="shared" si="410"/>
        <v>1189270.1100000001</v>
      </c>
      <c r="BP263" s="127">
        <f>SUM(BP264:BP301)</f>
        <v>1189270.1100000001</v>
      </c>
      <c r="BQ263" s="127">
        <f t="shared" si="410"/>
        <v>7750</v>
      </c>
      <c r="BR263" s="127">
        <f t="shared" si="410"/>
        <v>616621.79000000015</v>
      </c>
      <c r="BS263" s="127">
        <f t="shared" si="410"/>
        <v>624371.79000000015</v>
      </c>
      <c r="BT263" s="127">
        <f t="shared" si="410"/>
        <v>282593.18</v>
      </c>
      <c r="BU263" s="127">
        <f t="shared" si="410"/>
        <v>1189270.1100000001</v>
      </c>
      <c r="BV263" s="127">
        <f t="shared" si="410"/>
        <v>624371.79000000015</v>
      </c>
      <c r="BW263" s="127">
        <f t="shared" si="410"/>
        <v>1471863.29</v>
      </c>
      <c r="BX263" s="1"/>
      <c r="BY263" s="1"/>
      <c r="BZ263" s="1"/>
      <c r="CA263" s="1"/>
      <c r="CB263" s="1"/>
      <c r="CC263" s="1"/>
      <c r="CD263" s="1"/>
      <c r="CE263" s="1"/>
      <c r="CF263" s="1"/>
      <c r="CG263" s="1"/>
    </row>
    <row r="264" spans="1:85" ht="15.75" customHeight="1">
      <c r="A264" s="43" t="s">
        <v>582</v>
      </c>
      <c r="B264" s="426" t="s">
        <v>583</v>
      </c>
      <c r="C264" s="394" t="s">
        <v>131</v>
      </c>
      <c r="D264" s="44" t="s">
        <v>584</v>
      </c>
      <c r="E264" s="45"/>
      <c r="F264" s="46"/>
      <c r="G264" s="46">
        <f>E264-F264</f>
        <v>0</v>
      </c>
      <c r="H264" s="46">
        <v>100000</v>
      </c>
      <c r="I264" s="47">
        <f t="shared" si="404"/>
        <v>0</v>
      </c>
      <c r="J264" s="47">
        <f t="shared" si="405"/>
        <v>0</v>
      </c>
      <c r="K264" s="49"/>
      <c r="L264" s="54">
        <v>25519.200000000001</v>
      </c>
      <c r="M264" s="48">
        <v>5671.32</v>
      </c>
      <c r="N264" s="48">
        <v>5542.68</v>
      </c>
      <c r="O264" s="51">
        <f t="shared" ref="O264:O301" si="411">AA264+AD264+AG264+AJ264+AM264+AP264+AS264+AV264+AY264+BB264+BE264+BH264</f>
        <v>0</v>
      </c>
      <c r="P264" s="51">
        <f t="shared" ref="P264:P301" si="412">AB264+AE264+AH264+AK264+AN264+AQ264+AT264+AW264+AZ264+BC264+BF264+BI264</f>
        <v>19847.88</v>
      </c>
      <c r="Q264" s="51">
        <f t="shared" ref="Q264:Q301" si="413">AC264+AF264+AI264+AL264+AO264+AR264+AU264+AX264+BA264+BD264+BG264+BJ264</f>
        <v>5542.68</v>
      </c>
      <c r="R264" s="52">
        <f t="shared" ref="R264:R301" si="414">IF(BK264=0,SUM(AA264+AD264+AG264+AJ264+AM264+AP264+AS264+AV264+AY264+BB264+BE264+BH264),BK264)</f>
        <v>0</v>
      </c>
      <c r="S264" s="52">
        <f t="shared" ref="S264:S301" si="415">IF(BL264=0,SUM(AB264+AE264+AH264+AK264+AN264+AQ264+AT264+AW264+AZ264+BC264+BF264+BI264),BL264)</f>
        <v>19847.88</v>
      </c>
      <c r="T264" s="52">
        <f t="shared" ref="T264:T301" si="416">IF(BM264=0,SUM(AC264+AF264+AI264+AL264+AO264+AR264+AU264+AX264+BA264+BD264+BG264+BJ264),BM264)</f>
        <v>5542.68</v>
      </c>
      <c r="U264" s="369">
        <f t="shared" ref="U264:U301" si="417">K264-O264</f>
        <v>0</v>
      </c>
      <c r="V264" s="369">
        <f t="shared" ref="V264:V301" si="418">L264-P264-M264</f>
        <v>0</v>
      </c>
      <c r="W264" s="369">
        <f t="shared" ref="W264:W301" si="419">N264-Q264</f>
        <v>0</v>
      </c>
      <c r="X264" s="53">
        <f t="shared" si="406"/>
        <v>0</v>
      </c>
      <c r="Y264" s="53">
        <f t="shared" si="407"/>
        <v>0.77776262578764221</v>
      </c>
      <c r="Z264" s="53">
        <f t="shared" si="408"/>
        <v>1</v>
      </c>
      <c r="AA264" s="54"/>
      <c r="AB264" s="54"/>
      <c r="AC264" s="54"/>
      <c r="AD264" s="54"/>
      <c r="AE264" s="55"/>
      <c r="AF264" s="55"/>
      <c r="AG264" s="55"/>
      <c r="AH264" s="76">
        <v>3827.88</v>
      </c>
      <c r="AI264" s="54"/>
      <c r="AJ264" s="54"/>
      <c r="AK264" s="54"/>
      <c r="AL264" s="54"/>
      <c r="AM264" s="54"/>
      <c r="AN264" s="54">
        <f>4005+4005</f>
        <v>8010</v>
      </c>
      <c r="AO264" s="54"/>
      <c r="AP264" s="54"/>
      <c r="AQ264" s="48">
        <f>4005+4005</f>
        <v>8010</v>
      </c>
      <c r="AR264" s="54">
        <f>736.68+4806</f>
        <v>5542.68</v>
      </c>
      <c r="AS264" s="54"/>
      <c r="AT264" s="54"/>
      <c r="AU264" s="54"/>
      <c r="AV264" s="54"/>
      <c r="AW264" s="54"/>
      <c r="AX264" s="54"/>
      <c r="AY264" s="54"/>
      <c r="AZ264" s="54"/>
      <c r="BA264" s="54"/>
      <c r="BB264" s="54"/>
      <c r="BC264" s="54"/>
      <c r="BD264" s="54"/>
      <c r="BE264" s="54"/>
      <c r="BF264" s="54"/>
      <c r="BG264" s="54"/>
      <c r="BH264" s="54"/>
      <c r="BI264" s="54"/>
      <c r="BJ264" s="54"/>
      <c r="BK264" s="54"/>
      <c r="BL264" s="54"/>
      <c r="BM264" s="54"/>
      <c r="BN264" s="54">
        <f t="shared" ref="BN264" si="420">IF(O264-BK264&gt;0,O264-BK264,0)</f>
        <v>0</v>
      </c>
      <c r="BO264" s="58">
        <f t="shared" ref="BO264" si="421">IF(Q264-BM264&gt;0,Q264-BM264,0)</f>
        <v>5542.68</v>
      </c>
      <c r="BP264" s="54">
        <f t="shared" ref="BP264" si="422">IF(BN264+BO264&gt;0,BN264+BO264,0)</f>
        <v>5542.68</v>
      </c>
      <c r="BQ264" s="54">
        <f t="shared" ref="BQ264" si="423">IF(U264=0,0,U264)</f>
        <v>0</v>
      </c>
      <c r="BR264" s="54">
        <f t="shared" ref="BR264" si="424">IF(W264=0,0,W264)</f>
        <v>0</v>
      </c>
      <c r="BS264" s="54">
        <f t="shared" ref="BS264" si="425">IF(BQ264+BR264&gt;0,BQ264+BR264,0)</f>
        <v>0</v>
      </c>
      <c r="BT264" s="54">
        <f t="shared" ref="BT264" si="426">IF(V264&gt;0,V264,0)</f>
        <v>0</v>
      </c>
      <c r="BU264" s="54">
        <f t="shared" ref="BU264" si="427">IF(BP264=0,0,BP264)</f>
        <v>5542.68</v>
      </c>
      <c r="BV264" s="54">
        <f t="shared" ref="BV264" si="428">IF(BS264=0,0,BS264)</f>
        <v>0</v>
      </c>
      <c r="BW264" s="54">
        <f t="shared" ref="BW264" si="429">IF(BP264+BT264&gt;0,BP264+BT264,0)</f>
        <v>5542.68</v>
      </c>
      <c r="BX264" s="1"/>
      <c r="BY264" s="1"/>
      <c r="BZ264" s="1"/>
      <c r="CA264" s="1"/>
      <c r="CB264" s="1"/>
      <c r="CC264" s="1"/>
      <c r="CD264" s="1"/>
      <c r="CE264" s="1"/>
      <c r="CF264" s="1"/>
      <c r="CG264" s="1"/>
    </row>
    <row r="265" spans="1:85" ht="15.75" customHeight="1">
      <c r="A265" s="43" t="s">
        <v>585</v>
      </c>
      <c r="B265" s="426"/>
      <c r="C265" s="394" t="s">
        <v>131</v>
      </c>
      <c r="D265" s="44" t="s">
        <v>584</v>
      </c>
      <c r="E265" s="45"/>
      <c r="F265" s="46"/>
      <c r="G265" s="46">
        <f>E265-F265</f>
        <v>0</v>
      </c>
      <c r="H265" s="46">
        <v>100000</v>
      </c>
      <c r="I265" s="47">
        <f t="shared" si="404"/>
        <v>0</v>
      </c>
      <c r="J265" s="47">
        <f t="shared" si="405"/>
        <v>0</v>
      </c>
      <c r="K265" s="161"/>
      <c r="L265" s="54"/>
      <c r="M265" s="54"/>
      <c r="N265" s="48">
        <v>2121.6</v>
      </c>
      <c r="O265" s="51">
        <f t="shared" si="411"/>
        <v>0</v>
      </c>
      <c r="P265" s="51">
        <f t="shared" si="412"/>
        <v>0</v>
      </c>
      <c r="Q265" s="51">
        <f t="shared" si="413"/>
        <v>0</v>
      </c>
      <c r="R265" s="52">
        <f t="shared" si="414"/>
        <v>0</v>
      </c>
      <c r="S265" s="52">
        <f t="shared" si="415"/>
        <v>0</v>
      </c>
      <c r="T265" s="52">
        <f t="shared" si="416"/>
        <v>0</v>
      </c>
      <c r="U265" s="369">
        <f t="shared" si="417"/>
        <v>0</v>
      </c>
      <c r="V265" s="369">
        <f t="shared" si="418"/>
        <v>0</v>
      </c>
      <c r="W265" s="368">
        <f t="shared" si="419"/>
        <v>2121.6</v>
      </c>
      <c r="X265" s="53">
        <f t="shared" si="406"/>
        <v>0</v>
      </c>
      <c r="Y265" s="53">
        <f t="shared" si="407"/>
        <v>0</v>
      </c>
      <c r="Z265" s="53">
        <f t="shared" si="408"/>
        <v>0</v>
      </c>
      <c r="AA265" s="54"/>
      <c r="AB265" s="54"/>
      <c r="AC265" s="54"/>
      <c r="AD265" s="54"/>
      <c r="AE265" s="55"/>
      <c r="AF265" s="55"/>
      <c r="AG265" s="55"/>
      <c r="AH265" s="55"/>
      <c r="AI265" s="48"/>
      <c r="AJ265" s="54"/>
      <c r="AK265" s="54"/>
      <c r="AL265" s="54"/>
      <c r="AM265" s="54"/>
      <c r="AN265" s="54"/>
      <c r="AO265" s="54"/>
      <c r="AP265" s="54"/>
      <c r="AQ265" s="54"/>
      <c r="AR265" s="54"/>
      <c r="AS265" s="54"/>
      <c r="AT265" s="54"/>
      <c r="AU265" s="54"/>
      <c r="AV265" s="54"/>
      <c r="AW265" s="54"/>
      <c r="AX265" s="54"/>
      <c r="AY265" s="54"/>
      <c r="AZ265" s="54"/>
      <c r="BA265" s="54">
        <f>2161.6-2161.6</f>
        <v>0</v>
      </c>
      <c r="BB265" s="54"/>
      <c r="BC265" s="54"/>
      <c r="BD265" s="54"/>
      <c r="BE265" s="54"/>
      <c r="BF265" s="54"/>
      <c r="BG265" s="54"/>
      <c r="BH265" s="54"/>
      <c r="BI265" s="54"/>
      <c r="BJ265" s="54"/>
      <c r="BK265" s="54"/>
      <c r="BL265" s="54"/>
      <c r="BM265" s="54"/>
      <c r="BN265" s="54">
        <f t="shared" ref="BN265:BN301" si="430">IF(O265-BK265&gt;0,O265-BK265,0)</f>
        <v>0</v>
      </c>
      <c r="BO265" s="58">
        <f t="shared" ref="BO265:BO301" si="431">IF(Q265-BM265&gt;0,Q265-BM265,0)</f>
        <v>0</v>
      </c>
      <c r="BP265" s="54">
        <f t="shared" ref="BP265:BP301" si="432">IF(BN265+BO265&gt;0,BN265+BO265,0)</f>
        <v>0</v>
      </c>
      <c r="BQ265" s="54">
        <f t="shared" ref="BQ265:BQ301" si="433">IF(U265=0,0,U265)</f>
        <v>0</v>
      </c>
      <c r="BR265" s="54">
        <f t="shared" ref="BR265:BR301" si="434">IF(W265=0,0,W265)</f>
        <v>2121.6</v>
      </c>
      <c r="BS265" s="54">
        <f t="shared" ref="BS265:BS301" si="435">IF(BQ265+BR265&gt;0,BQ265+BR265,0)</f>
        <v>2121.6</v>
      </c>
      <c r="BT265" s="54">
        <f t="shared" ref="BT265:BT301" si="436">IF(V265&gt;0,V265,0)</f>
        <v>0</v>
      </c>
      <c r="BU265" s="54">
        <f t="shared" ref="BU265:BU301" si="437">IF(BP265=0,0,BP265)</f>
        <v>0</v>
      </c>
      <c r="BV265" s="54">
        <f t="shared" ref="BV265:BV301" si="438">IF(BS265=0,0,BS265)</f>
        <v>2121.6</v>
      </c>
      <c r="BW265" s="54">
        <f t="shared" ref="BW265:BW301" si="439">IF(BP265+BT265&gt;0,BP265+BT265,0)</f>
        <v>0</v>
      </c>
      <c r="BX265" s="1"/>
      <c r="BY265" s="1"/>
      <c r="BZ265" s="1"/>
      <c r="CA265" s="1"/>
      <c r="CB265" s="1"/>
      <c r="CC265" s="1"/>
      <c r="CD265" s="1"/>
      <c r="CE265" s="1"/>
      <c r="CF265" s="1"/>
      <c r="CG265" s="1"/>
    </row>
    <row r="266" spans="1:85" ht="15.75" customHeight="1">
      <c r="A266" s="43" t="s">
        <v>586</v>
      </c>
      <c r="B266" s="426"/>
      <c r="C266" s="394" t="s">
        <v>131</v>
      </c>
      <c r="D266" s="44" t="s">
        <v>584</v>
      </c>
      <c r="E266" s="45"/>
      <c r="F266" s="46"/>
      <c r="G266" s="46"/>
      <c r="H266" s="46"/>
      <c r="I266" s="47"/>
      <c r="J266" s="47"/>
      <c r="K266" s="161"/>
      <c r="L266" s="54"/>
      <c r="M266" s="54"/>
      <c r="N266" s="48">
        <v>12015</v>
      </c>
      <c r="O266" s="51">
        <f t="shared" si="411"/>
        <v>0</v>
      </c>
      <c r="P266" s="51">
        <f t="shared" si="412"/>
        <v>0</v>
      </c>
      <c r="Q266" s="51">
        <f t="shared" si="413"/>
        <v>0</v>
      </c>
      <c r="R266" s="52">
        <f t="shared" si="414"/>
        <v>0</v>
      </c>
      <c r="S266" s="52">
        <f t="shared" si="415"/>
        <v>0</v>
      </c>
      <c r="T266" s="52">
        <f t="shared" si="416"/>
        <v>0</v>
      </c>
      <c r="U266" s="369">
        <f t="shared" si="417"/>
        <v>0</v>
      </c>
      <c r="V266" s="369">
        <f t="shared" si="418"/>
        <v>0</v>
      </c>
      <c r="W266" s="368">
        <f t="shared" si="419"/>
        <v>12015</v>
      </c>
      <c r="X266" s="53">
        <f t="shared" si="406"/>
        <v>0</v>
      </c>
      <c r="Y266" s="53">
        <f t="shared" si="407"/>
        <v>0</v>
      </c>
      <c r="Z266" s="53">
        <f t="shared" si="408"/>
        <v>0</v>
      </c>
      <c r="AA266" s="54"/>
      <c r="AB266" s="54"/>
      <c r="AC266" s="54"/>
      <c r="AD266" s="54"/>
      <c r="AE266" s="55"/>
      <c r="AF266" s="55"/>
      <c r="AG266" s="55"/>
      <c r="AH266" s="55"/>
      <c r="AI266" s="48"/>
      <c r="AJ266" s="54"/>
      <c r="AK266" s="54"/>
      <c r="AL266" s="54"/>
      <c r="AM266" s="54"/>
      <c r="AN266" s="54"/>
      <c r="AO266" s="54"/>
      <c r="AP266" s="54"/>
      <c r="AQ266" s="54"/>
      <c r="AR266" s="54"/>
      <c r="AS266" s="54"/>
      <c r="AT266" s="54"/>
      <c r="AU266" s="54"/>
      <c r="AV266" s="54"/>
      <c r="AW266" s="54"/>
      <c r="AX266" s="54"/>
      <c r="AY266" s="54"/>
      <c r="AZ266" s="54"/>
      <c r="BA266" s="54"/>
      <c r="BB266" s="54"/>
      <c r="BC266" s="54"/>
      <c r="BD266" s="54"/>
      <c r="BE266" s="54"/>
      <c r="BF266" s="54"/>
      <c r="BG266" s="54"/>
      <c r="BH266" s="54"/>
      <c r="BI266" s="54"/>
      <c r="BJ266" s="54"/>
      <c r="BK266" s="54"/>
      <c r="BL266" s="54"/>
      <c r="BM266" s="54"/>
      <c r="BN266" s="54">
        <f t="shared" si="430"/>
        <v>0</v>
      </c>
      <c r="BO266" s="58">
        <f t="shared" si="431"/>
        <v>0</v>
      </c>
      <c r="BP266" s="54">
        <f t="shared" si="432"/>
        <v>0</v>
      </c>
      <c r="BQ266" s="54">
        <f t="shared" si="433"/>
        <v>0</v>
      </c>
      <c r="BR266" s="54">
        <f t="shared" si="434"/>
        <v>12015</v>
      </c>
      <c r="BS266" s="54">
        <f t="shared" si="435"/>
        <v>12015</v>
      </c>
      <c r="BT266" s="54">
        <f t="shared" si="436"/>
        <v>0</v>
      </c>
      <c r="BU266" s="54">
        <f t="shared" si="437"/>
        <v>0</v>
      </c>
      <c r="BV266" s="54">
        <f t="shared" si="438"/>
        <v>12015</v>
      </c>
      <c r="BW266" s="54">
        <f t="shared" si="439"/>
        <v>0</v>
      </c>
      <c r="BX266" s="1"/>
      <c r="BY266" s="1"/>
      <c r="BZ266" s="1"/>
      <c r="CA266" s="1"/>
      <c r="CB266" s="1"/>
      <c r="CC266" s="1"/>
      <c r="CD266" s="1"/>
      <c r="CE266" s="1"/>
      <c r="CF266" s="1"/>
      <c r="CG266" s="1"/>
    </row>
    <row r="267" spans="1:85" ht="15.75" customHeight="1">
      <c r="A267" s="43" t="s">
        <v>587</v>
      </c>
      <c r="B267" s="426"/>
      <c r="C267" s="394" t="s">
        <v>133</v>
      </c>
      <c r="D267" s="73" t="s">
        <v>588</v>
      </c>
      <c r="E267" s="45"/>
      <c r="F267" s="46"/>
      <c r="G267" s="46">
        <f t="shared" ref="G267:G274" si="440">E267-F267</f>
        <v>0</v>
      </c>
      <c r="H267" s="46">
        <v>250000</v>
      </c>
      <c r="I267" s="47">
        <f t="shared" ref="I267:I274" si="441">IF(G267&gt;0,K267/G267,0)</f>
        <v>0</v>
      </c>
      <c r="J267" s="47">
        <f t="shared" ref="J267:J274" si="442">IF(G267&gt;0,O267/G267,0)</f>
        <v>0</v>
      </c>
      <c r="K267" s="161"/>
      <c r="L267" s="54"/>
      <c r="M267" s="54"/>
      <c r="N267" s="48">
        <v>33450</v>
      </c>
      <c r="O267" s="51">
        <f t="shared" si="411"/>
        <v>0</v>
      </c>
      <c r="P267" s="51">
        <f t="shared" si="412"/>
        <v>0</v>
      </c>
      <c r="Q267" s="51">
        <f t="shared" si="413"/>
        <v>33450</v>
      </c>
      <c r="R267" s="52">
        <f t="shared" si="414"/>
        <v>0</v>
      </c>
      <c r="S267" s="52">
        <f t="shared" si="415"/>
        <v>0</v>
      </c>
      <c r="T267" s="52">
        <f t="shared" si="416"/>
        <v>33450</v>
      </c>
      <c r="U267" s="369">
        <f t="shared" si="417"/>
        <v>0</v>
      </c>
      <c r="V267" s="369">
        <f t="shared" si="418"/>
        <v>0</v>
      </c>
      <c r="W267" s="369">
        <f t="shared" si="419"/>
        <v>0</v>
      </c>
      <c r="X267" s="53">
        <f t="shared" si="406"/>
        <v>0</v>
      </c>
      <c r="Y267" s="53">
        <f t="shared" si="407"/>
        <v>0</v>
      </c>
      <c r="Z267" s="53">
        <f t="shared" si="408"/>
        <v>1</v>
      </c>
      <c r="AA267" s="54"/>
      <c r="AB267" s="54"/>
      <c r="AC267" s="54"/>
      <c r="AD267" s="54"/>
      <c r="AE267" s="55"/>
      <c r="AF267" s="55"/>
      <c r="AG267" s="55"/>
      <c r="AH267" s="55"/>
      <c r="AI267" s="48">
        <v>14077.8</v>
      </c>
      <c r="AJ267" s="54"/>
      <c r="AK267" s="54"/>
      <c r="AL267" s="54"/>
      <c r="AM267" s="54"/>
      <c r="AN267" s="54"/>
      <c r="AO267" s="54">
        <f>13447.5+5924.7</f>
        <v>19372.2</v>
      </c>
      <c r="AP267" s="54"/>
      <c r="AQ267" s="54"/>
      <c r="AR267" s="54"/>
      <c r="AS267" s="54"/>
      <c r="AT267" s="54"/>
      <c r="AU267" s="54"/>
      <c r="AV267" s="54"/>
      <c r="AW267" s="54"/>
      <c r="AX267" s="54"/>
      <c r="AY267" s="54"/>
      <c r="AZ267" s="54"/>
      <c r="BA267" s="54"/>
      <c r="BB267" s="54"/>
      <c r="BC267" s="54"/>
      <c r="BD267" s="54"/>
      <c r="BE267" s="54"/>
      <c r="BF267" s="54"/>
      <c r="BG267" s="54"/>
      <c r="BH267" s="54"/>
      <c r="BI267" s="54"/>
      <c r="BJ267" s="54"/>
      <c r="BK267" s="54"/>
      <c r="BL267" s="54"/>
      <c r="BM267" s="54"/>
      <c r="BN267" s="54">
        <f t="shared" si="430"/>
        <v>0</v>
      </c>
      <c r="BO267" s="58">
        <f t="shared" si="431"/>
        <v>33450</v>
      </c>
      <c r="BP267" s="54">
        <f t="shared" si="432"/>
        <v>33450</v>
      </c>
      <c r="BQ267" s="54">
        <f t="shared" si="433"/>
        <v>0</v>
      </c>
      <c r="BR267" s="54">
        <f t="shared" si="434"/>
        <v>0</v>
      </c>
      <c r="BS267" s="54">
        <f t="shared" si="435"/>
        <v>0</v>
      </c>
      <c r="BT267" s="54">
        <f t="shared" si="436"/>
        <v>0</v>
      </c>
      <c r="BU267" s="54">
        <f t="shared" si="437"/>
        <v>33450</v>
      </c>
      <c r="BV267" s="54">
        <f t="shared" si="438"/>
        <v>0</v>
      </c>
      <c r="BW267" s="54">
        <f t="shared" si="439"/>
        <v>33450</v>
      </c>
      <c r="BX267" s="1"/>
      <c r="BY267" s="1"/>
      <c r="BZ267" s="1"/>
      <c r="CA267" s="1"/>
      <c r="CB267" s="1"/>
      <c r="CC267" s="1"/>
      <c r="CD267" s="1"/>
      <c r="CE267" s="1"/>
      <c r="CF267" s="1"/>
      <c r="CG267" s="1"/>
    </row>
    <row r="268" spans="1:85" ht="15.75" customHeight="1">
      <c r="A268" s="56"/>
      <c r="B268" s="426" t="s">
        <v>589</v>
      </c>
      <c r="C268" s="394" t="s">
        <v>133</v>
      </c>
      <c r="D268" s="44" t="s">
        <v>590</v>
      </c>
      <c r="E268" s="45"/>
      <c r="F268" s="46"/>
      <c r="G268" s="46">
        <f t="shared" si="440"/>
        <v>0</v>
      </c>
      <c r="H268" s="46"/>
      <c r="I268" s="47">
        <f t="shared" si="441"/>
        <v>0</v>
      </c>
      <c r="J268" s="47">
        <f t="shared" si="442"/>
        <v>0</v>
      </c>
      <c r="K268" s="49"/>
      <c r="L268" s="54">
        <v>83905.95</v>
      </c>
      <c r="M268" s="48">
        <f>32993.35-32993.35</f>
        <v>0</v>
      </c>
      <c r="N268" s="54"/>
      <c r="O268" s="51">
        <f t="shared" si="411"/>
        <v>0</v>
      </c>
      <c r="P268" s="51">
        <f t="shared" si="412"/>
        <v>79510.8</v>
      </c>
      <c r="Q268" s="51">
        <f t="shared" si="413"/>
        <v>0</v>
      </c>
      <c r="R268" s="52">
        <f t="shared" si="414"/>
        <v>0</v>
      </c>
      <c r="S268" s="52">
        <f t="shared" si="415"/>
        <v>79510.8</v>
      </c>
      <c r="T268" s="52">
        <f t="shared" si="416"/>
        <v>0</v>
      </c>
      <c r="U268" s="369">
        <f t="shared" si="417"/>
        <v>0</v>
      </c>
      <c r="V268" s="369">
        <f t="shared" si="418"/>
        <v>4395.1499999999942</v>
      </c>
      <c r="W268" s="369">
        <f t="shared" si="419"/>
        <v>0</v>
      </c>
      <c r="X268" s="53">
        <f t="shared" si="406"/>
        <v>0</v>
      </c>
      <c r="Y268" s="53">
        <f t="shared" si="407"/>
        <v>0.94761813673523754</v>
      </c>
      <c r="Z268" s="53">
        <f t="shared" si="408"/>
        <v>0</v>
      </c>
      <c r="AA268" s="54"/>
      <c r="AB268" s="54"/>
      <c r="AC268" s="54"/>
      <c r="AD268" s="54"/>
      <c r="AE268" s="55"/>
      <c r="AF268" s="55"/>
      <c r="AG268" s="55"/>
      <c r="AH268" s="54">
        <f>1362.5+2425</f>
        <v>3787.5</v>
      </c>
      <c r="AI268" s="54"/>
      <c r="AJ268" s="54"/>
      <c r="AK268" s="54">
        <f>2730.5+1352.1+5833+3027.6</f>
        <v>12943.2</v>
      </c>
      <c r="AL268" s="54"/>
      <c r="AM268" s="54"/>
      <c r="AN268" s="54">
        <f>4366+4260+3752.5+2547.7+4867.5</f>
        <v>19793.7</v>
      </c>
      <c r="AO268" s="54"/>
      <c r="AP268" s="54"/>
      <c r="AQ268" s="54">
        <f>2387.5+4543.3+2586+4871.4</f>
        <v>14388.199999999999</v>
      </c>
      <c r="AR268" s="54"/>
      <c r="AS268" s="54"/>
      <c r="AT268" s="54">
        <f>3425+2588</f>
        <v>6013</v>
      </c>
      <c r="AU268" s="54"/>
      <c r="AV268" s="54"/>
      <c r="AW268" s="54">
        <f>2713.5+5326.6+5256+3012.5</f>
        <v>16308.6</v>
      </c>
      <c r="AX268" s="54"/>
      <c r="AY268" s="54"/>
      <c r="AZ268" s="54">
        <f>1465+4811.6</f>
        <v>6276.6</v>
      </c>
      <c r="BA268" s="54"/>
      <c r="BB268" s="54"/>
      <c r="BC268" s="54"/>
      <c r="BD268" s="54"/>
      <c r="BE268" s="54"/>
      <c r="BF268" s="54"/>
      <c r="BG268" s="54"/>
      <c r="BH268" s="54"/>
      <c r="BI268" s="54"/>
      <c r="BJ268" s="54"/>
      <c r="BK268" s="54"/>
      <c r="BL268" s="54"/>
      <c r="BM268" s="54"/>
      <c r="BN268" s="54">
        <f t="shared" si="430"/>
        <v>0</v>
      </c>
      <c r="BO268" s="58">
        <f t="shared" si="431"/>
        <v>0</v>
      </c>
      <c r="BP268" s="54">
        <f t="shared" si="432"/>
        <v>0</v>
      </c>
      <c r="BQ268" s="54">
        <f t="shared" si="433"/>
        <v>0</v>
      </c>
      <c r="BR268" s="54">
        <f t="shared" si="434"/>
        <v>0</v>
      </c>
      <c r="BS268" s="54">
        <f t="shared" si="435"/>
        <v>0</v>
      </c>
      <c r="BT268" s="54">
        <f t="shared" si="436"/>
        <v>4395.1499999999942</v>
      </c>
      <c r="BU268" s="54">
        <f t="shared" si="437"/>
        <v>0</v>
      </c>
      <c r="BV268" s="54">
        <f t="shared" si="438"/>
        <v>0</v>
      </c>
      <c r="BW268" s="54">
        <f t="shared" si="439"/>
        <v>4395.1499999999942</v>
      </c>
      <c r="BX268" s="1"/>
      <c r="BY268" s="1"/>
      <c r="BZ268" s="1"/>
      <c r="CA268" s="1"/>
      <c r="CB268" s="1"/>
      <c r="CC268" s="1"/>
      <c r="CD268" s="1"/>
      <c r="CE268" s="1"/>
      <c r="CF268" s="1"/>
      <c r="CG268" s="1"/>
    </row>
    <row r="269" spans="1:85" ht="15.75" customHeight="1">
      <c r="A269" s="103"/>
      <c r="B269" s="426"/>
      <c r="C269" s="394" t="s">
        <v>133</v>
      </c>
      <c r="D269" s="44" t="s">
        <v>591</v>
      </c>
      <c r="E269" s="45"/>
      <c r="F269" s="46"/>
      <c r="G269" s="46">
        <f t="shared" si="440"/>
        <v>0</v>
      </c>
      <c r="H269" s="46">
        <v>200000</v>
      </c>
      <c r="I269" s="47">
        <f t="shared" si="441"/>
        <v>0</v>
      </c>
      <c r="J269" s="47">
        <f t="shared" si="442"/>
        <v>0</v>
      </c>
      <c r="K269" s="49"/>
      <c r="L269" s="54"/>
      <c r="M269" s="54"/>
      <c r="N269" s="54"/>
      <c r="O269" s="51">
        <f t="shared" si="411"/>
        <v>0</v>
      </c>
      <c r="P269" s="51">
        <f t="shared" si="412"/>
        <v>0</v>
      </c>
      <c r="Q269" s="51">
        <f t="shared" si="413"/>
        <v>0</v>
      </c>
      <c r="R269" s="52">
        <f t="shared" si="414"/>
        <v>0</v>
      </c>
      <c r="S269" s="52">
        <f t="shared" si="415"/>
        <v>0</v>
      </c>
      <c r="T269" s="52">
        <f t="shared" si="416"/>
        <v>0</v>
      </c>
      <c r="U269" s="369">
        <f t="shared" si="417"/>
        <v>0</v>
      </c>
      <c r="V269" s="369">
        <f t="shared" si="418"/>
        <v>0</v>
      </c>
      <c r="W269" s="369">
        <f t="shared" si="419"/>
        <v>0</v>
      </c>
      <c r="X269" s="53">
        <f t="shared" si="406"/>
        <v>0</v>
      </c>
      <c r="Y269" s="53">
        <f t="shared" si="407"/>
        <v>0</v>
      </c>
      <c r="Z269" s="53">
        <f t="shared" si="408"/>
        <v>0</v>
      </c>
      <c r="AA269" s="54"/>
      <c r="AB269" s="54"/>
      <c r="AC269" s="54"/>
      <c r="AD269" s="54"/>
      <c r="AE269" s="55"/>
      <c r="AF269" s="55"/>
      <c r="AG269" s="55"/>
      <c r="AH269" s="55"/>
      <c r="AI269" s="54"/>
      <c r="AJ269" s="54"/>
      <c r="AK269" s="54"/>
      <c r="AL269" s="54"/>
      <c r="AM269" s="54"/>
      <c r="AN269" s="54"/>
      <c r="AO269" s="54"/>
      <c r="AP269" s="54"/>
      <c r="AQ269" s="54"/>
      <c r="AR269" s="54"/>
      <c r="AS269" s="54"/>
      <c r="AT269" s="54"/>
      <c r="AU269" s="54"/>
      <c r="AV269" s="54"/>
      <c r="AW269" s="54"/>
      <c r="AX269" s="54"/>
      <c r="AY269" s="54"/>
      <c r="AZ269" s="54"/>
      <c r="BA269" s="54"/>
      <c r="BB269" s="54"/>
      <c r="BC269" s="54"/>
      <c r="BD269" s="54"/>
      <c r="BE269" s="54"/>
      <c r="BF269" s="54"/>
      <c r="BG269" s="54"/>
      <c r="BH269" s="54"/>
      <c r="BI269" s="54"/>
      <c r="BJ269" s="54"/>
      <c r="BK269" s="54"/>
      <c r="BL269" s="54"/>
      <c r="BM269" s="54"/>
      <c r="BN269" s="54">
        <f t="shared" si="430"/>
        <v>0</v>
      </c>
      <c r="BO269" s="58">
        <f t="shared" si="431"/>
        <v>0</v>
      </c>
      <c r="BP269" s="54">
        <f t="shared" si="432"/>
        <v>0</v>
      </c>
      <c r="BQ269" s="54">
        <f t="shared" si="433"/>
        <v>0</v>
      </c>
      <c r="BR269" s="54">
        <f t="shared" si="434"/>
        <v>0</v>
      </c>
      <c r="BS269" s="54">
        <f t="shared" si="435"/>
        <v>0</v>
      </c>
      <c r="BT269" s="54">
        <f t="shared" si="436"/>
        <v>0</v>
      </c>
      <c r="BU269" s="54">
        <f t="shared" si="437"/>
        <v>0</v>
      </c>
      <c r="BV269" s="54">
        <f t="shared" si="438"/>
        <v>0</v>
      </c>
      <c r="BW269" s="54">
        <f t="shared" si="439"/>
        <v>0</v>
      </c>
      <c r="BX269" s="1"/>
      <c r="BY269" s="1"/>
      <c r="BZ269" s="1"/>
      <c r="CA269" s="1"/>
      <c r="CB269" s="1"/>
      <c r="CC269" s="1"/>
      <c r="CD269" s="1"/>
      <c r="CE269" s="1"/>
      <c r="CF269" s="1"/>
      <c r="CG269" s="1"/>
    </row>
    <row r="270" spans="1:85" ht="15.75" customHeight="1">
      <c r="A270" s="83"/>
      <c r="B270" s="429" t="s">
        <v>592</v>
      </c>
      <c r="C270" s="394" t="s">
        <v>133</v>
      </c>
      <c r="D270" s="44" t="s">
        <v>593</v>
      </c>
      <c r="E270" s="45"/>
      <c r="F270" s="46"/>
      <c r="G270" s="46">
        <f t="shared" si="440"/>
        <v>0</v>
      </c>
      <c r="H270" s="46"/>
      <c r="I270" s="47">
        <f t="shared" si="441"/>
        <v>0</v>
      </c>
      <c r="J270" s="47">
        <f t="shared" si="442"/>
        <v>0</v>
      </c>
      <c r="K270" s="54"/>
      <c r="L270" s="54">
        <v>98709.6</v>
      </c>
      <c r="M270" s="54"/>
      <c r="N270" s="54"/>
      <c r="O270" s="51">
        <f t="shared" si="411"/>
        <v>0</v>
      </c>
      <c r="P270" s="51">
        <f t="shared" si="412"/>
        <v>98709.599999999991</v>
      </c>
      <c r="Q270" s="51">
        <f t="shared" si="413"/>
        <v>0</v>
      </c>
      <c r="R270" s="52">
        <f t="shared" si="414"/>
        <v>0</v>
      </c>
      <c r="S270" s="52">
        <f t="shared" si="415"/>
        <v>98709.599999999991</v>
      </c>
      <c r="T270" s="52">
        <f t="shared" si="416"/>
        <v>0</v>
      </c>
      <c r="U270" s="369">
        <f t="shared" si="417"/>
        <v>0</v>
      </c>
      <c r="V270" s="369">
        <f t="shared" si="418"/>
        <v>1.4551915228366852E-11</v>
      </c>
      <c r="W270" s="369">
        <f t="shared" si="419"/>
        <v>0</v>
      </c>
      <c r="X270" s="53">
        <f t="shared" si="406"/>
        <v>0</v>
      </c>
      <c r="Y270" s="53">
        <f t="shared" si="407"/>
        <v>0.99999999999999989</v>
      </c>
      <c r="Z270" s="53">
        <f t="shared" si="408"/>
        <v>0</v>
      </c>
      <c r="AA270" s="54"/>
      <c r="AB270" s="54"/>
      <c r="AC270" s="54"/>
      <c r="AD270" s="54"/>
      <c r="AE270" s="76">
        <v>18939.36</v>
      </c>
      <c r="AF270" s="55"/>
      <c r="AG270" s="55"/>
      <c r="AH270" s="54">
        <f>20977.44+18231.84+16589.76</f>
        <v>55799.039999999994</v>
      </c>
      <c r="AI270" s="54"/>
      <c r="AJ270" s="54"/>
      <c r="AK270" s="48">
        <v>18934.080000000002</v>
      </c>
      <c r="AL270" s="54"/>
      <c r="AM270" s="54"/>
      <c r="AN270" s="48">
        <v>5037.12</v>
      </c>
      <c r="AO270" s="54"/>
      <c r="AP270" s="54"/>
      <c r="AQ270" s="54"/>
      <c r="AR270" s="54"/>
      <c r="AS270" s="54"/>
      <c r="AT270" s="54"/>
      <c r="AU270" s="54"/>
      <c r="AV270" s="54"/>
      <c r="AW270" s="54"/>
      <c r="AX270" s="54"/>
      <c r="AY270" s="54"/>
      <c r="AZ270" s="54"/>
      <c r="BA270" s="54"/>
      <c r="BB270" s="54"/>
      <c r="BC270" s="54"/>
      <c r="BD270" s="54"/>
      <c r="BE270" s="54"/>
      <c r="BF270" s="54"/>
      <c r="BG270" s="54"/>
      <c r="BH270" s="54"/>
      <c r="BI270" s="54"/>
      <c r="BJ270" s="54"/>
      <c r="BK270" s="54"/>
      <c r="BL270" s="54"/>
      <c r="BM270" s="54"/>
      <c r="BN270" s="54">
        <f t="shared" si="430"/>
        <v>0</v>
      </c>
      <c r="BO270" s="58">
        <f t="shared" si="431"/>
        <v>0</v>
      </c>
      <c r="BP270" s="54">
        <f t="shared" si="432"/>
        <v>0</v>
      </c>
      <c r="BQ270" s="54">
        <f t="shared" si="433"/>
        <v>0</v>
      </c>
      <c r="BR270" s="54">
        <f t="shared" si="434"/>
        <v>0</v>
      </c>
      <c r="BS270" s="54">
        <f t="shared" si="435"/>
        <v>0</v>
      </c>
      <c r="BT270" s="54">
        <f t="shared" si="436"/>
        <v>1.4551915228366852E-11</v>
      </c>
      <c r="BU270" s="54">
        <f t="shared" si="437"/>
        <v>0</v>
      </c>
      <c r="BV270" s="54">
        <f t="shared" si="438"/>
        <v>0</v>
      </c>
      <c r="BW270" s="54">
        <f t="shared" si="439"/>
        <v>1.4551915228366852E-11</v>
      </c>
      <c r="BX270" s="1"/>
      <c r="BY270" s="1"/>
      <c r="BZ270" s="1"/>
      <c r="CA270" s="1"/>
      <c r="CB270" s="1"/>
      <c r="CC270" s="1"/>
      <c r="CD270" s="1"/>
      <c r="CE270" s="1"/>
      <c r="CF270" s="1"/>
      <c r="CG270" s="1"/>
    </row>
    <row r="271" spans="1:85" ht="15.75" customHeight="1">
      <c r="A271" s="83"/>
      <c r="B271" s="429" t="s">
        <v>594</v>
      </c>
      <c r="C271" s="394" t="s">
        <v>133</v>
      </c>
      <c r="D271" s="44" t="s">
        <v>593</v>
      </c>
      <c r="E271" s="45"/>
      <c r="F271" s="46"/>
      <c r="G271" s="46">
        <f t="shared" si="440"/>
        <v>0</v>
      </c>
      <c r="H271" s="46"/>
      <c r="I271" s="47">
        <f t="shared" si="441"/>
        <v>0</v>
      </c>
      <c r="J271" s="47">
        <f t="shared" si="442"/>
        <v>0</v>
      </c>
      <c r="K271" s="54"/>
      <c r="L271" s="54">
        <v>23138.15</v>
      </c>
      <c r="M271" s="54"/>
      <c r="N271" s="54"/>
      <c r="O271" s="51">
        <f t="shared" si="411"/>
        <v>0</v>
      </c>
      <c r="P271" s="51">
        <f t="shared" si="412"/>
        <v>21185.9</v>
      </c>
      <c r="Q271" s="51">
        <f t="shared" si="413"/>
        <v>0</v>
      </c>
      <c r="R271" s="52">
        <f t="shared" si="414"/>
        <v>0</v>
      </c>
      <c r="S271" s="52">
        <f t="shared" si="415"/>
        <v>21185.9</v>
      </c>
      <c r="T271" s="52">
        <f t="shared" si="416"/>
        <v>0</v>
      </c>
      <c r="U271" s="369">
        <f t="shared" si="417"/>
        <v>0</v>
      </c>
      <c r="V271" s="369">
        <f t="shared" si="418"/>
        <v>1952.25</v>
      </c>
      <c r="W271" s="369">
        <f t="shared" si="419"/>
        <v>0</v>
      </c>
      <c r="X271" s="53">
        <f t="shared" si="406"/>
        <v>0</v>
      </c>
      <c r="Y271" s="53">
        <f t="shared" si="407"/>
        <v>0.91562635733626063</v>
      </c>
      <c r="Z271" s="53">
        <f t="shared" si="408"/>
        <v>0</v>
      </c>
      <c r="AA271" s="54"/>
      <c r="AB271" s="54"/>
      <c r="AC271" s="54"/>
      <c r="AD271" s="54"/>
      <c r="AE271" s="76">
        <v>2060</v>
      </c>
      <c r="AF271" s="55"/>
      <c r="AG271" s="55"/>
      <c r="AH271" s="48">
        <v>697.75</v>
      </c>
      <c r="AI271" s="48"/>
      <c r="AJ271" s="54"/>
      <c r="AK271" s="54">
        <f>2442.6+2958</f>
        <v>5400.6</v>
      </c>
      <c r="AL271" s="54"/>
      <c r="AM271" s="54"/>
      <c r="AN271" s="48">
        <v>3133.5</v>
      </c>
      <c r="AO271" s="54"/>
      <c r="AP271" s="54"/>
      <c r="AQ271" s="54"/>
      <c r="AR271" s="54"/>
      <c r="AS271" s="54"/>
      <c r="AT271" s="48">
        <v>1469.6</v>
      </c>
      <c r="AU271" s="54"/>
      <c r="AV271" s="54"/>
      <c r="AW271" s="54">
        <f>5660+77.25+1157.6</f>
        <v>6894.85</v>
      </c>
      <c r="AX271" s="54"/>
      <c r="AY271" s="54"/>
      <c r="AZ271" s="54">
        <f>1529.6</f>
        <v>1529.6</v>
      </c>
      <c r="BA271" s="54"/>
      <c r="BB271" s="54"/>
      <c r="BC271" s="54"/>
      <c r="BD271" s="54"/>
      <c r="BE271" s="54"/>
      <c r="BF271" s="54"/>
      <c r="BG271" s="54"/>
      <c r="BH271" s="54"/>
      <c r="BI271" s="54"/>
      <c r="BJ271" s="54"/>
      <c r="BK271" s="54"/>
      <c r="BL271" s="54"/>
      <c r="BM271" s="54"/>
      <c r="BN271" s="54">
        <f t="shared" si="430"/>
        <v>0</v>
      </c>
      <c r="BO271" s="58">
        <f t="shared" si="431"/>
        <v>0</v>
      </c>
      <c r="BP271" s="54">
        <f t="shared" si="432"/>
        <v>0</v>
      </c>
      <c r="BQ271" s="54">
        <f t="shared" si="433"/>
        <v>0</v>
      </c>
      <c r="BR271" s="54">
        <f t="shared" si="434"/>
        <v>0</v>
      </c>
      <c r="BS271" s="54">
        <f t="shared" si="435"/>
        <v>0</v>
      </c>
      <c r="BT271" s="54">
        <f t="shared" si="436"/>
        <v>1952.25</v>
      </c>
      <c r="BU271" s="54">
        <f t="shared" si="437"/>
        <v>0</v>
      </c>
      <c r="BV271" s="54">
        <f t="shared" si="438"/>
        <v>0</v>
      </c>
      <c r="BW271" s="54">
        <f t="shared" si="439"/>
        <v>1952.25</v>
      </c>
      <c r="BX271" s="1"/>
      <c r="BY271" s="1"/>
      <c r="BZ271" s="1"/>
      <c r="CA271" s="1"/>
      <c r="CB271" s="1"/>
      <c r="CC271" s="1"/>
      <c r="CD271" s="1"/>
      <c r="CE271" s="1"/>
      <c r="CF271" s="1"/>
      <c r="CG271" s="1"/>
    </row>
    <row r="272" spans="1:85" ht="15.75" customHeight="1">
      <c r="A272" s="83"/>
      <c r="B272" s="429" t="s">
        <v>595</v>
      </c>
      <c r="C272" s="394" t="s">
        <v>133</v>
      </c>
      <c r="D272" s="44" t="s">
        <v>593</v>
      </c>
      <c r="E272" s="45"/>
      <c r="F272" s="46"/>
      <c r="G272" s="46">
        <f t="shared" si="440"/>
        <v>0</v>
      </c>
      <c r="H272" s="46"/>
      <c r="I272" s="47">
        <f t="shared" si="441"/>
        <v>0</v>
      </c>
      <c r="J272" s="47">
        <f t="shared" si="442"/>
        <v>0</v>
      </c>
      <c r="K272" s="54"/>
      <c r="L272" s="54">
        <v>265761.25</v>
      </c>
      <c r="M272" s="54"/>
      <c r="N272" s="54"/>
      <c r="O272" s="51">
        <f t="shared" si="411"/>
        <v>0</v>
      </c>
      <c r="P272" s="51">
        <f t="shared" si="412"/>
        <v>239419.33000000002</v>
      </c>
      <c r="Q272" s="51">
        <f t="shared" si="413"/>
        <v>0</v>
      </c>
      <c r="R272" s="52">
        <f t="shared" si="414"/>
        <v>0</v>
      </c>
      <c r="S272" s="52">
        <f t="shared" si="415"/>
        <v>239419.33000000002</v>
      </c>
      <c r="T272" s="52">
        <f t="shared" si="416"/>
        <v>0</v>
      </c>
      <c r="U272" s="369">
        <f t="shared" si="417"/>
        <v>0</v>
      </c>
      <c r="V272" s="369">
        <f t="shared" si="418"/>
        <v>26341.919999999984</v>
      </c>
      <c r="W272" s="369">
        <f t="shared" si="419"/>
        <v>0</v>
      </c>
      <c r="X272" s="53">
        <f t="shared" si="406"/>
        <v>0</v>
      </c>
      <c r="Y272" s="53">
        <f t="shared" si="407"/>
        <v>0.90088126090617049</v>
      </c>
      <c r="Z272" s="53">
        <f t="shared" si="408"/>
        <v>0</v>
      </c>
      <c r="AA272" s="54"/>
      <c r="AB272" s="54"/>
      <c r="AC272" s="54"/>
      <c r="AD272" s="54"/>
      <c r="AE272" s="76">
        <v>85.6</v>
      </c>
      <c r="AF272" s="55"/>
      <c r="AG272" s="55"/>
      <c r="AH272" s="48">
        <v>371.3</v>
      </c>
      <c r="AI272" s="48"/>
      <c r="AJ272" s="54"/>
      <c r="AK272" s="54">
        <f>735.75</f>
        <v>735.75</v>
      </c>
      <c r="AL272" s="54"/>
      <c r="AM272" s="54"/>
      <c r="AN272" s="54">
        <f>15708+20559.52</f>
        <v>36267.520000000004</v>
      </c>
      <c r="AO272" s="54"/>
      <c r="AP272" s="54"/>
      <c r="AQ272" s="54">
        <f>24288+24821.28+31584.96+25692.48</f>
        <v>106386.71999999999</v>
      </c>
      <c r="AR272" s="54"/>
      <c r="AS272" s="54"/>
      <c r="AT272" s="48">
        <v>226.2</v>
      </c>
      <c r="AU272" s="54"/>
      <c r="AV272" s="54"/>
      <c r="AW272" s="54">
        <f>24351.36+16288.8+21172.8+33533.28</f>
        <v>95346.240000000005</v>
      </c>
      <c r="AX272" s="54"/>
      <c r="AY272" s="54"/>
      <c r="AZ272" s="54"/>
      <c r="BA272" s="54"/>
      <c r="BB272" s="54"/>
      <c r="BC272" s="54"/>
      <c r="BD272" s="54"/>
      <c r="BE272" s="54"/>
      <c r="BF272" s="54"/>
      <c r="BG272" s="54"/>
      <c r="BH272" s="54"/>
      <c r="BI272" s="54"/>
      <c r="BJ272" s="54"/>
      <c r="BK272" s="54"/>
      <c r="BL272" s="54"/>
      <c r="BM272" s="54"/>
      <c r="BN272" s="54">
        <f t="shared" si="430"/>
        <v>0</v>
      </c>
      <c r="BO272" s="58">
        <f t="shared" si="431"/>
        <v>0</v>
      </c>
      <c r="BP272" s="54">
        <f t="shared" si="432"/>
        <v>0</v>
      </c>
      <c r="BQ272" s="54">
        <f t="shared" si="433"/>
        <v>0</v>
      </c>
      <c r="BR272" s="54">
        <f t="shared" si="434"/>
        <v>0</v>
      </c>
      <c r="BS272" s="54">
        <f t="shared" si="435"/>
        <v>0</v>
      </c>
      <c r="BT272" s="54">
        <f t="shared" si="436"/>
        <v>26341.919999999984</v>
      </c>
      <c r="BU272" s="54">
        <f t="shared" si="437"/>
        <v>0</v>
      </c>
      <c r="BV272" s="54">
        <f t="shared" si="438"/>
        <v>0</v>
      </c>
      <c r="BW272" s="54">
        <f t="shared" si="439"/>
        <v>26341.919999999984</v>
      </c>
      <c r="BX272" s="1"/>
      <c r="BY272" s="1"/>
      <c r="BZ272" s="1"/>
      <c r="CA272" s="1"/>
      <c r="CB272" s="1"/>
      <c r="CC272" s="1"/>
      <c r="CD272" s="1"/>
      <c r="CE272" s="1"/>
      <c r="CF272" s="1"/>
      <c r="CG272" s="1"/>
    </row>
    <row r="273" spans="1:85" ht="15.75" customHeight="1">
      <c r="A273" s="83"/>
      <c r="B273" s="429" t="s">
        <v>596</v>
      </c>
      <c r="C273" s="394" t="s">
        <v>133</v>
      </c>
      <c r="D273" s="44" t="s">
        <v>593</v>
      </c>
      <c r="E273" s="45"/>
      <c r="F273" s="46"/>
      <c r="G273" s="46">
        <f t="shared" si="440"/>
        <v>0</v>
      </c>
      <c r="H273" s="46"/>
      <c r="I273" s="47">
        <f t="shared" si="441"/>
        <v>0</v>
      </c>
      <c r="J273" s="47">
        <f t="shared" si="442"/>
        <v>0</v>
      </c>
      <c r="K273" s="54"/>
      <c r="L273" s="54">
        <v>29731.55</v>
      </c>
      <c r="M273" s="54"/>
      <c r="N273" s="54"/>
      <c r="O273" s="51">
        <f t="shared" si="411"/>
        <v>0</v>
      </c>
      <c r="P273" s="51">
        <f t="shared" si="412"/>
        <v>11632.9</v>
      </c>
      <c r="Q273" s="51">
        <f t="shared" si="413"/>
        <v>0</v>
      </c>
      <c r="R273" s="52">
        <f t="shared" si="414"/>
        <v>0</v>
      </c>
      <c r="S273" s="52">
        <f t="shared" si="415"/>
        <v>11632.9</v>
      </c>
      <c r="T273" s="52">
        <f t="shared" si="416"/>
        <v>0</v>
      </c>
      <c r="U273" s="369">
        <f t="shared" si="417"/>
        <v>0</v>
      </c>
      <c r="V273" s="369">
        <f t="shared" si="418"/>
        <v>18098.650000000001</v>
      </c>
      <c r="W273" s="369">
        <f t="shared" si="419"/>
        <v>0</v>
      </c>
      <c r="X273" s="53">
        <f t="shared" si="406"/>
        <v>0</v>
      </c>
      <c r="Y273" s="53">
        <f t="shared" si="407"/>
        <v>0.39126449848729716</v>
      </c>
      <c r="Z273" s="53">
        <f t="shared" si="408"/>
        <v>0</v>
      </c>
      <c r="AA273" s="54"/>
      <c r="AB273" s="54"/>
      <c r="AC273" s="54"/>
      <c r="AD273" s="54"/>
      <c r="AE273" s="76">
        <v>2156.4</v>
      </c>
      <c r="AF273" s="55"/>
      <c r="AG273" s="55"/>
      <c r="AH273" s="48">
        <v>685</v>
      </c>
      <c r="AI273" s="48"/>
      <c r="AJ273" s="54"/>
      <c r="AK273" s="48">
        <v>117.5</v>
      </c>
      <c r="AL273" s="54"/>
      <c r="AM273" s="54"/>
      <c r="AN273" s="48">
        <v>2372.5</v>
      </c>
      <c r="AO273" s="54"/>
      <c r="AP273" s="54"/>
      <c r="AQ273" s="54"/>
      <c r="AR273" s="54"/>
      <c r="AS273" s="54"/>
      <c r="AT273" s="48">
        <v>515</v>
      </c>
      <c r="AU273" s="54"/>
      <c r="AV273" s="54"/>
      <c r="AW273" s="54">
        <f>1324+1030+1545</f>
        <v>3899</v>
      </c>
      <c r="AX273" s="54"/>
      <c r="AY273" s="54"/>
      <c r="AZ273" s="54">
        <f>1887.5</f>
        <v>1887.5</v>
      </c>
      <c r="BA273" s="54"/>
      <c r="BB273" s="54"/>
      <c r="BC273" s="54"/>
      <c r="BD273" s="54"/>
      <c r="BE273" s="54"/>
      <c r="BF273" s="54"/>
      <c r="BG273" s="54"/>
      <c r="BH273" s="54"/>
      <c r="BI273" s="54"/>
      <c r="BJ273" s="54"/>
      <c r="BK273" s="54"/>
      <c r="BL273" s="54"/>
      <c r="BM273" s="54"/>
      <c r="BN273" s="54">
        <f t="shared" si="430"/>
        <v>0</v>
      </c>
      <c r="BO273" s="58">
        <f t="shared" si="431"/>
        <v>0</v>
      </c>
      <c r="BP273" s="54">
        <f t="shared" si="432"/>
        <v>0</v>
      </c>
      <c r="BQ273" s="54">
        <f t="shared" si="433"/>
        <v>0</v>
      </c>
      <c r="BR273" s="54">
        <f t="shared" si="434"/>
        <v>0</v>
      </c>
      <c r="BS273" s="54">
        <f t="shared" si="435"/>
        <v>0</v>
      </c>
      <c r="BT273" s="54">
        <f t="shared" si="436"/>
        <v>18098.650000000001</v>
      </c>
      <c r="BU273" s="54">
        <f t="shared" si="437"/>
        <v>0</v>
      </c>
      <c r="BV273" s="54">
        <f t="shared" si="438"/>
        <v>0</v>
      </c>
      <c r="BW273" s="54">
        <f t="shared" si="439"/>
        <v>18098.650000000001</v>
      </c>
      <c r="BX273" s="1"/>
      <c r="BY273" s="1"/>
      <c r="BZ273" s="1"/>
      <c r="CA273" s="1"/>
      <c r="CB273" s="1"/>
      <c r="CC273" s="1"/>
      <c r="CD273" s="1"/>
      <c r="CE273" s="1"/>
      <c r="CF273" s="1"/>
      <c r="CG273" s="1"/>
    </row>
    <row r="274" spans="1:85" ht="15.75" customHeight="1">
      <c r="A274" s="64"/>
      <c r="B274" s="444" t="s">
        <v>597</v>
      </c>
      <c r="C274" s="394" t="s">
        <v>133</v>
      </c>
      <c r="D274" s="44" t="s">
        <v>593</v>
      </c>
      <c r="E274" s="45"/>
      <c r="F274" s="46"/>
      <c r="G274" s="46">
        <f t="shared" si="440"/>
        <v>0</v>
      </c>
      <c r="H274" s="46"/>
      <c r="I274" s="47">
        <f t="shared" si="441"/>
        <v>0</v>
      </c>
      <c r="J274" s="47">
        <f t="shared" si="442"/>
        <v>0</v>
      </c>
      <c r="K274" s="54"/>
      <c r="L274" s="54">
        <v>175520.22</v>
      </c>
      <c r="M274" s="54"/>
      <c r="N274" s="54"/>
      <c r="O274" s="51">
        <f t="shared" si="411"/>
        <v>0</v>
      </c>
      <c r="P274" s="51">
        <f t="shared" si="412"/>
        <v>119756.08</v>
      </c>
      <c r="Q274" s="51">
        <f t="shared" si="413"/>
        <v>0</v>
      </c>
      <c r="R274" s="52">
        <f t="shared" si="414"/>
        <v>0</v>
      </c>
      <c r="S274" s="52">
        <f t="shared" si="415"/>
        <v>119756.08</v>
      </c>
      <c r="T274" s="52">
        <f t="shared" si="416"/>
        <v>0</v>
      </c>
      <c r="U274" s="369">
        <f t="shared" si="417"/>
        <v>0</v>
      </c>
      <c r="V274" s="369">
        <f t="shared" si="418"/>
        <v>55764.14</v>
      </c>
      <c r="W274" s="369">
        <f t="shared" si="419"/>
        <v>0</v>
      </c>
      <c r="X274" s="53">
        <f t="shared" si="406"/>
        <v>0</v>
      </c>
      <c r="Y274" s="53">
        <f t="shared" si="407"/>
        <v>0.68229221681695706</v>
      </c>
      <c r="Z274" s="53">
        <f t="shared" si="408"/>
        <v>0</v>
      </c>
      <c r="AA274" s="54"/>
      <c r="AB274" s="54"/>
      <c r="AC274" s="54"/>
      <c r="AD274" s="54"/>
      <c r="AE274" s="76">
        <v>16330.82</v>
      </c>
      <c r="AF274" s="55"/>
      <c r="AG274" s="55"/>
      <c r="AH274" s="48">
        <v>10630.32</v>
      </c>
      <c r="AI274" s="48"/>
      <c r="AJ274" s="54"/>
      <c r="AK274" s="54">
        <f>10039.5+15772.5</f>
        <v>25812</v>
      </c>
      <c r="AL274" s="54"/>
      <c r="AM274" s="54"/>
      <c r="AN274" s="48">
        <v>16440.650000000001</v>
      </c>
      <c r="AO274" s="54"/>
      <c r="AP274" s="54"/>
      <c r="AQ274" s="54">
        <f>996.4+3594.6</f>
        <v>4591</v>
      </c>
      <c r="AR274" s="54"/>
      <c r="AS274" s="54"/>
      <c r="AT274" s="48">
        <v>29976.5</v>
      </c>
      <c r="AU274" s="54"/>
      <c r="AV274" s="54"/>
      <c r="AW274" s="54">
        <f>1990.16+4064.6+7479.63</f>
        <v>13534.39</v>
      </c>
      <c r="AX274" s="54"/>
      <c r="AY274" s="54"/>
      <c r="AZ274" s="54">
        <f>2440.4</f>
        <v>2440.4</v>
      </c>
      <c r="BA274" s="54"/>
      <c r="BB274" s="54"/>
      <c r="BC274" s="54"/>
      <c r="BD274" s="54"/>
      <c r="BE274" s="54"/>
      <c r="BF274" s="54"/>
      <c r="BG274" s="54"/>
      <c r="BH274" s="54"/>
      <c r="BI274" s="54"/>
      <c r="BJ274" s="54"/>
      <c r="BK274" s="54"/>
      <c r="BL274" s="54"/>
      <c r="BM274" s="54"/>
      <c r="BN274" s="54">
        <f t="shared" si="430"/>
        <v>0</v>
      </c>
      <c r="BO274" s="58">
        <f t="shared" si="431"/>
        <v>0</v>
      </c>
      <c r="BP274" s="54">
        <f t="shared" si="432"/>
        <v>0</v>
      </c>
      <c r="BQ274" s="54">
        <f t="shared" si="433"/>
        <v>0</v>
      </c>
      <c r="BR274" s="54">
        <f t="shared" si="434"/>
        <v>0</v>
      </c>
      <c r="BS274" s="54">
        <f t="shared" si="435"/>
        <v>0</v>
      </c>
      <c r="BT274" s="54">
        <f t="shared" si="436"/>
        <v>55764.14</v>
      </c>
      <c r="BU274" s="54">
        <f t="shared" si="437"/>
        <v>0</v>
      </c>
      <c r="BV274" s="54">
        <f t="shared" si="438"/>
        <v>0</v>
      </c>
      <c r="BW274" s="54">
        <f t="shared" si="439"/>
        <v>55764.14</v>
      </c>
      <c r="BX274" s="1"/>
      <c r="BY274" s="1"/>
      <c r="BZ274" s="1"/>
      <c r="CA274" s="1"/>
      <c r="CB274" s="1"/>
      <c r="CC274" s="1"/>
      <c r="CD274" s="1"/>
      <c r="CE274" s="1"/>
      <c r="CF274" s="1"/>
      <c r="CG274" s="1"/>
    </row>
    <row r="275" spans="1:85" ht="15.75" customHeight="1">
      <c r="A275" s="84" t="s">
        <v>598</v>
      </c>
      <c r="B275" s="428"/>
      <c r="C275" s="394" t="s">
        <v>133</v>
      </c>
      <c r="D275" s="73" t="s">
        <v>588</v>
      </c>
      <c r="E275" s="45"/>
      <c r="F275" s="46"/>
      <c r="G275" s="46"/>
      <c r="H275" s="46"/>
      <c r="I275" s="47"/>
      <c r="J275" s="47"/>
      <c r="K275" s="54"/>
      <c r="L275" s="54"/>
      <c r="M275" s="48"/>
      <c r="N275" s="48">
        <f>292800-144600</f>
        <v>148200</v>
      </c>
      <c r="O275" s="51">
        <f t="shared" si="411"/>
        <v>0</v>
      </c>
      <c r="P275" s="51">
        <f t="shared" si="412"/>
        <v>0</v>
      </c>
      <c r="Q275" s="51">
        <f t="shared" si="413"/>
        <v>41239.5</v>
      </c>
      <c r="R275" s="52">
        <f t="shared" si="414"/>
        <v>0</v>
      </c>
      <c r="S275" s="52">
        <f t="shared" si="415"/>
        <v>0</v>
      </c>
      <c r="T275" s="52">
        <f t="shared" si="416"/>
        <v>41239.5</v>
      </c>
      <c r="U275" s="369">
        <f t="shared" si="417"/>
        <v>0</v>
      </c>
      <c r="V275" s="369">
        <f t="shared" si="418"/>
        <v>0</v>
      </c>
      <c r="W275" s="369">
        <f t="shared" si="419"/>
        <v>106960.5</v>
      </c>
      <c r="X275" s="53">
        <f t="shared" si="406"/>
        <v>0</v>
      </c>
      <c r="Y275" s="53">
        <f t="shared" si="407"/>
        <v>0</v>
      </c>
      <c r="Z275" s="53">
        <f t="shared" si="408"/>
        <v>0.27826923076923077</v>
      </c>
      <c r="AA275" s="54"/>
      <c r="AB275" s="54"/>
      <c r="AC275" s="54"/>
      <c r="AD275" s="54"/>
      <c r="AE275" s="55"/>
      <c r="AF275" s="55"/>
      <c r="AG275" s="55"/>
      <c r="AH275" s="55"/>
      <c r="AI275" s="54"/>
      <c r="AJ275" s="54"/>
      <c r="AK275" s="54"/>
      <c r="AL275" s="54"/>
      <c r="AM275" s="54"/>
      <c r="AN275" s="54"/>
      <c r="AO275" s="54"/>
      <c r="AP275" s="54"/>
      <c r="AQ275" s="54"/>
      <c r="AR275" s="54"/>
      <c r="AS275" s="54"/>
      <c r="AT275" s="54"/>
      <c r="AU275" s="54"/>
      <c r="AV275" s="54"/>
      <c r="AW275" s="54"/>
      <c r="AX275" s="54">
        <f>15133.5+26106</f>
        <v>41239.5</v>
      </c>
      <c r="AY275" s="54"/>
      <c r="AZ275" s="54"/>
      <c r="BA275" s="54"/>
      <c r="BB275" s="54"/>
      <c r="BC275" s="54"/>
      <c r="BD275" s="54"/>
      <c r="BE275" s="54"/>
      <c r="BF275" s="54"/>
      <c r="BG275" s="54"/>
      <c r="BH275" s="54"/>
      <c r="BI275" s="54"/>
      <c r="BJ275" s="54"/>
      <c r="BK275" s="54"/>
      <c r="BL275" s="54"/>
      <c r="BM275" s="54"/>
      <c r="BN275" s="54">
        <f t="shared" si="430"/>
        <v>0</v>
      </c>
      <c r="BO275" s="58">
        <f t="shared" si="431"/>
        <v>41239.5</v>
      </c>
      <c r="BP275" s="54">
        <f t="shared" si="432"/>
        <v>41239.5</v>
      </c>
      <c r="BQ275" s="54">
        <f t="shared" si="433"/>
        <v>0</v>
      </c>
      <c r="BR275" s="54">
        <f t="shared" si="434"/>
        <v>106960.5</v>
      </c>
      <c r="BS275" s="54">
        <f t="shared" si="435"/>
        <v>106960.5</v>
      </c>
      <c r="BT275" s="54">
        <f t="shared" si="436"/>
        <v>0</v>
      </c>
      <c r="BU275" s="54">
        <f t="shared" si="437"/>
        <v>41239.5</v>
      </c>
      <c r="BV275" s="54">
        <f t="shared" si="438"/>
        <v>106960.5</v>
      </c>
      <c r="BW275" s="54">
        <f t="shared" si="439"/>
        <v>41239.5</v>
      </c>
      <c r="BX275" s="1"/>
      <c r="BY275" s="1"/>
      <c r="BZ275" s="1"/>
      <c r="CA275" s="1"/>
      <c r="CB275" s="1"/>
      <c r="CC275" s="1"/>
      <c r="CD275" s="1"/>
      <c r="CE275" s="1"/>
      <c r="CF275" s="1"/>
      <c r="CG275" s="1"/>
    </row>
    <row r="276" spans="1:85" ht="15.75" customHeight="1">
      <c r="A276" s="84" t="s">
        <v>599</v>
      </c>
      <c r="B276" s="428"/>
      <c r="C276" s="394" t="s">
        <v>133</v>
      </c>
      <c r="D276" s="73" t="s">
        <v>600</v>
      </c>
      <c r="E276" s="45"/>
      <c r="F276" s="46"/>
      <c r="G276" s="46"/>
      <c r="H276" s="46"/>
      <c r="I276" s="47"/>
      <c r="J276" s="47"/>
      <c r="K276" s="54"/>
      <c r="L276" s="54"/>
      <c r="M276" s="48"/>
      <c r="N276" s="48">
        <v>103929</v>
      </c>
      <c r="O276" s="51">
        <f t="shared" si="411"/>
        <v>0</v>
      </c>
      <c r="P276" s="51">
        <f t="shared" si="412"/>
        <v>0</v>
      </c>
      <c r="Q276" s="51">
        <f t="shared" si="413"/>
        <v>31752</v>
      </c>
      <c r="R276" s="52">
        <f t="shared" si="414"/>
        <v>0</v>
      </c>
      <c r="S276" s="52">
        <f t="shared" si="415"/>
        <v>0</v>
      </c>
      <c r="T276" s="52">
        <f t="shared" si="416"/>
        <v>31752</v>
      </c>
      <c r="U276" s="369">
        <f t="shared" si="417"/>
        <v>0</v>
      </c>
      <c r="V276" s="369">
        <f t="shared" si="418"/>
        <v>0</v>
      </c>
      <c r="W276" s="369">
        <f t="shared" si="419"/>
        <v>72177</v>
      </c>
      <c r="X276" s="53">
        <f t="shared" si="406"/>
        <v>0</v>
      </c>
      <c r="Y276" s="53">
        <f t="shared" si="407"/>
        <v>0</v>
      </c>
      <c r="Z276" s="53">
        <f t="shared" si="408"/>
        <v>0.30551626591230552</v>
      </c>
      <c r="AA276" s="54"/>
      <c r="AB276" s="54"/>
      <c r="AC276" s="54"/>
      <c r="AD276" s="54"/>
      <c r="AE276" s="55"/>
      <c r="AF276" s="55"/>
      <c r="AG276" s="55"/>
      <c r="AH276" s="55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  <c r="AV276" s="54"/>
      <c r="AW276" s="54"/>
      <c r="AX276" s="54">
        <f>17760</f>
        <v>17760</v>
      </c>
      <c r="AY276" s="54"/>
      <c r="AZ276" s="54"/>
      <c r="BA276" s="54">
        <f>13992</f>
        <v>13992</v>
      </c>
      <c r="BB276" s="54"/>
      <c r="BC276" s="54"/>
      <c r="BD276" s="54"/>
      <c r="BE276" s="54"/>
      <c r="BF276" s="54"/>
      <c r="BG276" s="54"/>
      <c r="BH276" s="54"/>
      <c r="BI276" s="54"/>
      <c r="BJ276" s="54"/>
      <c r="BK276" s="54"/>
      <c r="BL276" s="54"/>
      <c r="BM276" s="54"/>
      <c r="BN276" s="54">
        <f t="shared" si="430"/>
        <v>0</v>
      </c>
      <c r="BO276" s="58">
        <f t="shared" si="431"/>
        <v>31752</v>
      </c>
      <c r="BP276" s="54">
        <f t="shared" si="432"/>
        <v>31752</v>
      </c>
      <c r="BQ276" s="54">
        <f t="shared" si="433"/>
        <v>0</v>
      </c>
      <c r="BR276" s="54">
        <f t="shared" si="434"/>
        <v>72177</v>
      </c>
      <c r="BS276" s="54">
        <f t="shared" si="435"/>
        <v>72177</v>
      </c>
      <c r="BT276" s="54">
        <f t="shared" si="436"/>
        <v>0</v>
      </c>
      <c r="BU276" s="54">
        <f t="shared" si="437"/>
        <v>31752</v>
      </c>
      <c r="BV276" s="54">
        <f t="shared" si="438"/>
        <v>72177</v>
      </c>
      <c r="BW276" s="54">
        <f t="shared" si="439"/>
        <v>31752</v>
      </c>
      <c r="BX276" s="1"/>
      <c r="BY276" s="1"/>
      <c r="BZ276" s="1"/>
      <c r="CA276" s="1"/>
      <c r="CB276" s="1"/>
      <c r="CC276" s="1"/>
      <c r="CD276" s="1"/>
      <c r="CE276" s="1"/>
      <c r="CF276" s="1"/>
      <c r="CG276" s="1"/>
    </row>
    <row r="277" spans="1:85" ht="15.75" customHeight="1">
      <c r="A277" s="84" t="s">
        <v>601</v>
      </c>
      <c r="B277" s="428"/>
      <c r="C277" s="394" t="s">
        <v>133</v>
      </c>
      <c r="D277" s="73" t="s">
        <v>602</v>
      </c>
      <c r="E277" s="45"/>
      <c r="F277" s="46"/>
      <c r="G277" s="46"/>
      <c r="H277" s="46"/>
      <c r="I277" s="47"/>
      <c r="J277" s="47"/>
      <c r="K277" s="54"/>
      <c r="L277" s="54"/>
      <c r="M277" s="48"/>
      <c r="N277" s="48">
        <v>719.92</v>
      </c>
      <c r="O277" s="51">
        <f t="shared" si="411"/>
        <v>0</v>
      </c>
      <c r="P277" s="51">
        <f t="shared" si="412"/>
        <v>0</v>
      </c>
      <c r="Q277" s="51">
        <f t="shared" si="413"/>
        <v>0</v>
      </c>
      <c r="R277" s="52">
        <f t="shared" si="414"/>
        <v>0</v>
      </c>
      <c r="S277" s="52">
        <f t="shared" si="415"/>
        <v>0</v>
      </c>
      <c r="T277" s="52">
        <f t="shared" si="416"/>
        <v>0</v>
      </c>
      <c r="U277" s="369">
        <f t="shared" si="417"/>
        <v>0</v>
      </c>
      <c r="V277" s="369">
        <f t="shared" si="418"/>
        <v>0</v>
      </c>
      <c r="W277" s="369">
        <f t="shared" si="419"/>
        <v>719.92</v>
      </c>
      <c r="X277" s="53">
        <f t="shared" si="406"/>
        <v>0</v>
      </c>
      <c r="Y277" s="53">
        <f t="shared" si="407"/>
        <v>0</v>
      </c>
      <c r="Z277" s="53">
        <f t="shared" si="408"/>
        <v>0</v>
      </c>
      <c r="AA277" s="54"/>
      <c r="AB277" s="54"/>
      <c r="AC277" s="54"/>
      <c r="AD277" s="54"/>
      <c r="AE277" s="55"/>
      <c r="AF277" s="55"/>
      <c r="AG277" s="55"/>
      <c r="AH277" s="55"/>
      <c r="AI277" s="54"/>
      <c r="AJ277" s="54"/>
      <c r="AK277" s="54"/>
      <c r="AL277" s="54"/>
      <c r="AM277" s="54"/>
      <c r="AN277" s="54"/>
      <c r="AO277" s="54"/>
      <c r="AP277" s="54"/>
      <c r="AQ277" s="54"/>
      <c r="AR277" s="54"/>
      <c r="AS277" s="54"/>
      <c r="AT277" s="54"/>
      <c r="AU277" s="54"/>
      <c r="AV277" s="54"/>
      <c r="AW277" s="54"/>
      <c r="AX277" s="54"/>
      <c r="AY277" s="54"/>
      <c r="AZ277" s="54"/>
      <c r="BA277" s="54"/>
      <c r="BB277" s="54"/>
      <c r="BC277" s="54"/>
      <c r="BD277" s="54"/>
      <c r="BE277" s="54"/>
      <c r="BF277" s="54"/>
      <c r="BG277" s="54"/>
      <c r="BH277" s="54"/>
      <c r="BI277" s="54"/>
      <c r="BJ277" s="54"/>
      <c r="BK277" s="54"/>
      <c r="BL277" s="54"/>
      <c r="BM277" s="54"/>
      <c r="BN277" s="54">
        <f t="shared" si="430"/>
        <v>0</v>
      </c>
      <c r="BO277" s="58">
        <f t="shared" si="431"/>
        <v>0</v>
      </c>
      <c r="BP277" s="54">
        <f t="shared" si="432"/>
        <v>0</v>
      </c>
      <c r="BQ277" s="54">
        <f t="shared" si="433"/>
        <v>0</v>
      </c>
      <c r="BR277" s="54">
        <f t="shared" si="434"/>
        <v>719.92</v>
      </c>
      <c r="BS277" s="54">
        <f t="shared" si="435"/>
        <v>719.92</v>
      </c>
      <c r="BT277" s="54">
        <f t="shared" si="436"/>
        <v>0</v>
      </c>
      <c r="BU277" s="54">
        <f t="shared" si="437"/>
        <v>0</v>
      </c>
      <c r="BV277" s="54">
        <f t="shared" si="438"/>
        <v>719.92</v>
      </c>
      <c r="BW277" s="54">
        <f t="shared" si="439"/>
        <v>0</v>
      </c>
      <c r="BX277" s="1"/>
      <c r="BY277" s="1"/>
      <c r="BZ277" s="1"/>
      <c r="CA277" s="1"/>
      <c r="CB277" s="1"/>
      <c r="CC277" s="1"/>
      <c r="CD277" s="1"/>
      <c r="CE277" s="1"/>
      <c r="CF277" s="1"/>
      <c r="CG277" s="1"/>
    </row>
    <row r="278" spans="1:85" ht="15.75" customHeight="1">
      <c r="A278" s="56"/>
      <c r="B278" s="426" t="s">
        <v>603</v>
      </c>
      <c r="C278" s="394" t="s">
        <v>137</v>
      </c>
      <c r="D278" s="73" t="s">
        <v>604</v>
      </c>
      <c r="E278" s="45"/>
      <c r="F278" s="46"/>
      <c r="G278" s="46">
        <f t="shared" ref="G278:G287" si="443">E278-F278</f>
        <v>0</v>
      </c>
      <c r="H278" s="46"/>
      <c r="I278" s="47">
        <f t="shared" ref="I278:I283" si="444">IF(G278&gt;0,K278/G278,0)</f>
        <v>0</v>
      </c>
      <c r="J278" s="47">
        <f t="shared" ref="J278:J283" si="445">IF(G278&gt;0,O278/G278,0)</f>
        <v>0</v>
      </c>
      <c r="K278" s="54"/>
      <c r="L278" s="54">
        <v>1772</v>
      </c>
      <c r="M278" s="48">
        <v>1772</v>
      </c>
      <c r="N278" s="54"/>
      <c r="O278" s="51">
        <f t="shared" si="411"/>
        <v>0</v>
      </c>
      <c r="P278" s="51">
        <f t="shared" si="412"/>
        <v>0</v>
      </c>
      <c r="Q278" s="51">
        <f t="shared" si="413"/>
        <v>0</v>
      </c>
      <c r="R278" s="52">
        <f t="shared" si="414"/>
        <v>0</v>
      </c>
      <c r="S278" s="52">
        <f t="shared" si="415"/>
        <v>0</v>
      </c>
      <c r="T278" s="52">
        <f t="shared" si="416"/>
        <v>0</v>
      </c>
      <c r="U278" s="369">
        <f t="shared" si="417"/>
        <v>0</v>
      </c>
      <c r="V278" s="369">
        <f t="shared" si="418"/>
        <v>0</v>
      </c>
      <c r="W278" s="369">
        <f t="shared" si="419"/>
        <v>0</v>
      </c>
      <c r="X278" s="53">
        <f t="shared" si="406"/>
        <v>0</v>
      </c>
      <c r="Y278" s="53">
        <f t="shared" si="407"/>
        <v>0</v>
      </c>
      <c r="Z278" s="53">
        <f t="shared" si="408"/>
        <v>0</v>
      </c>
      <c r="AA278" s="54"/>
      <c r="AB278" s="54"/>
      <c r="AC278" s="54"/>
      <c r="AD278" s="54"/>
      <c r="AE278" s="55"/>
      <c r="AF278" s="55"/>
      <c r="AG278" s="55"/>
      <c r="AH278" s="55"/>
      <c r="AI278" s="54"/>
      <c r="AJ278" s="54"/>
      <c r="AK278" s="54"/>
      <c r="AL278" s="54"/>
      <c r="AM278" s="54"/>
      <c r="AN278" s="54"/>
      <c r="AO278" s="54"/>
      <c r="AP278" s="54"/>
      <c r="AQ278" s="54"/>
      <c r="AR278" s="54"/>
      <c r="AS278" s="54"/>
      <c r="AT278" s="54"/>
      <c r="AU278" s="54"/>
      <c r="AV278" s="54"/>
      <c r="AW278" s="54"/>
      <c r="AX278" s="54"/>
      <c r="AY278" s="54"/>
      <c r="AZ278" s="54"/>
      <c r="BA278" s="54"/>
      <c r="BB278" s="54"/>
      <c r="BC278" s="54"/>
      <c r="BD278" s="54"/>
      <c r="BE278" s="54"/>
      <c r="BF278" s="54"/>
      <c r="BG278" s="54"/>
      <c r="BH278" s="54"/>
      <c r="BI278" s="54"/>
      <c r="BJ278" s="54"/>
      <c r="BK278" s="54"/>
      <c r="BL278" s="54"/>
      <c r="BM278" s="54"/>
      <c r="BN278" s="54">
        <f t="shared" si="430"/>
        <v>0</v>
      </c>
      <c r="BO278" s="58">
        <f t="shared" si="431"/>
        <v>0</v>
      </c>
      <c r="BP278" s="54">
        <f t="shared" si="432"/>
        <v>0</v>
      </c>
      <c r="BQ278" s="54">
        <f t="shared" si="433"/>
        <v>0</v>
      </c>
      <c r="BR278" s="54">
        <f t="shared" si="434"/>
        <v>0</v>
      </c>
      <c r="BS278" s="54">
        <f t="shared" si="435"/>
        <v>0</v>
      </c>
      <c r="BT278" s="54">
        <f t="shared" si="436"/>
        <v>0</v>
      </c>
      <c r="BU278" s="54">
        <f t="shared" si="437"/>
        <v>0</v>
      </c>
      <c r="BV278" s="54">
        <f t="shared" si="438"/>
        <v>0</v>
      </c>
      <c r="BW278" s="54">
        <f t="shared" si="439"/>
        <v>0</v>
      </c>
      <c r="BX278" s="1"/>
      <c r="BY278" s="1"/>
      <c r="BZ278" s="1"/>
      <c r="CA278" s="1"/>
      <c r="CB278" s="1"/>
      <c r="CC278" s="1"/>
      <c r="CD278" s="1"/>
      <c r="CE278" s="1"/>
      <c r="CF278" s="1"/>
      <c r="CG278" s="1"/>
    </row>
    <row r="279" spans="1:85" ht="15.75" customHeight="1">
      <c r="A279" s="116" t="s">
        <v>605</v>
      </c>
      <c r="B279" s="426"/>
      <c r="C279" s="394" t="s">
        <v>226</v>
      </c>
      <c r="D279" s="160" t="s">
        <v>606</v>
      </c>
      <c r="E279" s="91"/>
      <c r="F279" s="92"/>
      <c r="G279" s="46">
        <f t="shared" si="443"/>
        <v>0</v>
      </c>
      <c r="H279" s="46">
        <v>170000</v>
      </c>
      <c r="I279" s="47">
        <f t="shared" si="444"/>
        <v>0</v>
      </c>
      <c r="J279" s="47">
        <f t="shared" si="445"/>
        <v>0</v>
      </c>
      <c r="K279" s="54"/>
      <c r="L279" s="54"/>
      <c r="M279" s="54"/>
      <c r="N279" s="48">
        <v>137171.51999999999</v>
      </c>
      <c r="O279" s="51">
        <f t="shared" si="411"/>
        <v>0</v>
      </c>
      <c r="P279" s="51">
        <f t="shared" si="412"/>
        <v>0</v>
      </c>
      <c r="Q279" s="51">
        <f t="shared" si="413"/>
        <v>76206.400000000009</v>
      </c>
      <c r="R279" s="52">
        <f t="shared" si="414"/>
        <v>0</v>
      </c>
      <c r="S279" s="52">
        <f t="shared" si="415"/>
        <v>0</v>
      </c>
      <c r="T279" s="52">
        <f t="shared" si="416"/>
        <v>76206.400000000009</v>
      </c>
      <c r="U279" s="369">
        <f t="shared" si="417"/>
        <v>0</v>
      </c>
      <c r="V279" s="369">
        <f t="shared" si="418"/>
        <v>0</v>
      </c>
      <c r="W279" s="368">
        <f t="shared" si="419"/>
        <v>60965.119999999981</v>
      </c>
      <c r="X279" s="53">
        <f t="shared" si="406"/>
        <v>0</v>
      </c>
      <c r="Y279" s="53">
        <f t="shared" si="407"/>
        <v>0</v>
      </c>
      <c r="Z279" s="53">
        <f t="shared" si="408"/>
        <v>0.55555555555555569</v>
      </c>
      <c r="AA279" s="54"/>
      <c r="AB279" s="54"/>
      <c r="AC279" s="54"/>
      <c r="AD279" s="54"/>
      <c r="AE279" s="55"/>
      <c r="AF279" s="55"/>
      <c r="AG279" s="55"/>
      <c r="AH279" s="55"/>
      <c r="AI279" s="54"/>
      <c r="AJ279" s="54"/>
      <c r="AK279" s="54"/>
      <c r="AL279" s="54"/>
      <c r="AM279" s="54"/>
      <c r="AN279" s="54"/>
      <c r="AO279" s="48">
        <v>15241.28</v>
      </c>
      <c r="AP279" s="54"/>
      <c r="AQ279" s="54"/>
      <c r="AR279" s="48">
        <v>15241.28</v>
      </c>
      <c r="AS279" s="54"/>
      <c r="AT279" s="54"/>
      <c r="AU279" s="48">
        <v>15241.28</v>
      </c>
      <c r="AV279" s="54"/>
      <c r="AW279" s="54"/>
      <c r="AX279" s="54">
        <f>15241.28</f>
        <v>15241.28</v>
      </c>
      <c r="AY279" s="54"/>
      <c r="AZ279" s="54"/>
      <c r="BA279" s="54">
        <f>15241.28</f>
        <v>15241.28</v>
      </c>
      <c r="BB279" s="54"/>
      <c r="BC279" s="54"/>
      <c r="BD279" s="54"/>
      <c r="BE279" s="54"/>
      <c r="BF279" s="54"/>
      <c r="BG279" s="54"/>
      <c r="BH279" s="54"/>
      <c r="BI279" s="54"/>
      <c r="BJ279" s="54"/>
      <c r="BK279" s="54"/>
      <c r="BL279" s="54"/>
      <c r="BM279" s="54"/>
      <c r="BN279" s="54">
        <f t="shared" si="430"/>
        <v>0</v>
      </c>
      <c r="BO279" s="58">
        <f t="shared" si="431"/>
        <v>76206.400000000009</v>
      </c>
      <c r="BP279" s="54">
        <f t="shared" si="432"/>
        <v>76206.400000000009</v>
      </c>
      <c r="BQ279" s="54">
        <f t="shared" si="433"/>
        <v>0</v>
      </c>
      <c r="BR279" s="54">
        <f t="shared" si="434"/>
        <v>60965.119999999981</v>
      </c>
      <c r="BS279" s="54">
        <f t="shared" si="435"/>
        <v>60965.119999999981</v>
      </c>
      <c r="BT279" s="54">
        <f t="shared" si="436"/>
        <v>0</v>
      </c>
      <c r="BU279" s="54">
        <f t="shared" si="437"/>
        <v>76206.400000000009</v>
      </c>
      <c r="BV279" s="54">
        <f t="shared" si="438"/>
        <v>60965.119999999981</v>
      </c>
      <c r="BW279" s="54">
        <f t="shared" si="439"/>
        <v>76206.400000000009</v>
      </c>
      <c r="BX279" s="1"/>
      <c r="BY279" s="1"/>
      <c r="BZ279" s="1"/>
      <c r="CA279" s="1"/>
      <c r="CB279" s="1"/>
      <c r="CC279" s="1"/>
      <c r="CD279" s="1"/>
      <c r="CE279" s="1"/>
      <c r="CF279" s="1"/>
      <c r="CG279" s="1"/>
    </row>
    <row r="280" spans="1:85" ht="15.75" customHeight="1">
      <c r="A280" s="43" t="s">
        <v>607</v>
      </c>
      <c r="B280" s="426"/>
      <c r="C280" s="394" t="s">
        <v>226</v>
      </c>
      <c r="D280" s="160" t="s">
        <v>608</v>
      </c>
      <c r="E280" s="91"/>
      <c r="F280" s="92"/>
      <c r="G280" s="46">
        <f t="shared" si="443"/>
        <v>0</v>
      </c>
      <c r="H280" s="46">
        <v>45000</v>
      </c>
      <c r="I280" s="47">
        <f t="shared" si="444"/>
        <v>0</v>
      </c>
      <c r="J280" s="47">
        <f t="shared" si="445"/>
        <v>0</v>
      </c>
      <c r="K280" s="54"/>
      <c r="L280" s="54"/>
      <c r="M280" s="54"/>
      <c r="N280" s="48">
        <f>38614.2+2232.58</f>
        <v>40846.78</v>
      </c>
      <c r="O280" s="51">
        <f t="shared" si="411"/>
        <v>0</v>
      </c>
      <c r="P280" s="51">
        <f t="shared" si="412"/>
        <v>0</v>
      </c>
      <c r="Q280" s="51">
        <f t="shared" si="413"/>
        <v>19724.77</v>
      </c>
      <c r="R280" s="52">
        <f t="shared" si="414"/>
        <v>0</v>
      </c>
      <c r="S280" s="52">
        <f t="shared" si="415"/>
        <v>0</v>
      </c>
      <c r="T280" s="52">
        <f t="shared" si="416"/>
        <v>19724.77</v>
      </c>
      <c r="U280" s="369">
        <f t="shared" si="417"/>
        <v>0</v>
      </c>
      <c r="V280" s="369">
        <f t="shared" si="418"/>
        <v>0</v>
      </c>
      <c r="W280" s="368">
        <f t="shared" si="419"/>
        <v>21122.01</v>
      </c>
      <c r="X280" s="53">
        <f t="shared" si="406"/>
        <v>0</v>
      </c>
      <c r="Y280" s="53">
        <f t="shared" si="407"/>
        <v>0</v>
      </c>
      <c r="Z280" s="53">
        <f t="shared" si="408"/>
        <v>0.48289657103938183</v>
      </c>
      <c r="AA280" s="54"/>
      <c r="AB280" s="54"/>
      <c r="AC280" s="54"/>
      <c r="AD280" s="54"/>
      <c r="AE280" s="55"/>
      <c r="AF280" s="55"/>
      <c r="AG280" s="55"/>
      <c r="AH280" s="55"/>
      <c r="AI280" s="54"/>
      <c r="AJ280" s="54"/>
      <c r="AK280" s="54"/>
      <c r="AL280" s="48">
        <v>2359.7600000000002</v>
      </c>
      <c r="AM280" s="54"/>
      <c r="AN280" s="54"/>
      <c r="AO280" s="54"/>
      <c r="AP280" s="54"/>
      <c r="AQ280" s="54"/>
      <c r="AR280" s="48">
        <f>3217.85+3217.85</f>
        <v>6435.7</v>
      </c>
      <c r="AS280" s="54"/>
      <c r="AT280" s="54"/>
      <c r="AU280" s="54">
        <f>3217.85+637.88</f>
        <v>3855.73</v>
      </c>
      <c r="AV280" s="54"/>
      <c r="AW280" s="54"/>
      <c r="AX280" s="54">
        <f>3536.79</f>
        <v>3536.79</v>
      </c>
      <c r="AY280" s="54"/>
      <c r="AZ280" s="54"/>
      <c r="BA280" s="54">
        <f>3536.79</f>
        <v>3536.79</v>
      </c>
      <c r="BB280" s="54"/>
      <c r="BC280" s="54"/>
      <c r="BD280" s="54"/>
      <c r="BE280" s="54"/>
      <c r="BF280" s="54"/>
      <c r="BG280" s="54"/>
      <c r="BH280" s="54"/>
      <c r="BI280" s="54"/>
      <c r="BJ280" s="54"/>
      <c r="BK280" s="54"/>
      <c r="BL280" s="54"/>
      <c r="BM280" s="54"/>
      <c r="BN280" s="54">
        <f t="shared" si="430"/>
        <v>0</v>
      </c>
      <c r="BO280" s="58">
        <f t="shared" si="431"/>
        <v>19724.77</v>
      </c>
      <c r="BP280" s="54">
        <f t="shared" si="432"/>
        <v>19724.77</v>
      </c>
      <c r="BQ280" s="54">
        <f t="shared" si="433"/>
        <v>0</v>
      </c>
      <c r="BR280" s="54">
        <f t="shared" si="434"/>
        <v>21122.01</v>
      </c>
      <c r="BS280" s="54">
        <f t="shared" si="435"/>
        <v>21122.01</v>
      </c>
      <c r="BT280" s="54">
        <f t="shared" si="436"/>
        <v>0</v>
      </c>
      <c r="BU280" s="54">
        <f t="shared" si="437"/>
        <v>19724.77</v>
      </c>
      <c r="BV280" s="54">
        <f t="shared" si="438"/>
        <v>21122.01</v>
      </c>
      <c r="BW280" s="54">
        <f t="shared" si="439"/>
        <v>19724.77</v>
      </c>
      <c r="BX280" s="1"/>
      <c r="BY280" s="1"/>
      <c r="BZ280" s="1"/>
      <c r="CA280" s="1"/>
      <c r="CB280" s="1"/>
      <c r="CC280" s="1"/>
      <c r="CD280" s="1"/>
      <c r="CE280" s="1"/>
      <c r="CF280" s="1"/>
      <c r="CG280" s="1"/>
    </row>
    <row r="281" spans="1:85" ht="15.75" customHeight="1">
      <c r="A281" s="43" t="s">
        <v>609</v>
      </c>
      <c r="B281" s="426"/>
      <c r="C281" s="394" t="s">
        <v>226</v>
      </c>
      <c r="D281" s="160" t="s">
        <v>610</v>
      </c>
      <c r="E281" s="91"/>
      <c r="F281" s="92"/>
      <c r="G281" s="46">
        <f t="shared" si="443"/>
        <v>0</v>
      </c>
      <c r="H281" s="46">
        <v>300000</v>
      </c>
      <c r="I281" s="47">
        <f t="shared" si="444"/>
        <v>0</v>
      </c>
      <c r="J281" s="47">
        <f t="shared" si="445"/>
        <v>0</v>
      </c>
      <c r="K281" s="54"/>
      <c r="L281" s="54"/>
      <c r="M281" s="54"/>
      <c r="N281" s="48">
        <f>44389.9+192455.76</f>
        <v>236845.66</v>
      </c>
      <c r="O281" s="51">
        <f t="shared" si="411"/>
        <v>0</v>
      </c>
      <c r="P281" s="51">
        <f t="shared" si="412"/>
        <v>0</v>
      </c>
      <c r="Q281" s="51">
        <f t="shared" si="413"/>
        <v>145594.98999999996</v>
      </c>
      <c r="R281" s="52">
        <f t="shared" si="414"/>
        <v>0</v>
      </c>
      <c r="S281" s="52">
        <f t="shared" si="415"/>
        <v>0</v>
      </c>
      <c r="T281" s="52">
        <f t="shared" si="416"/>
        <v>145594.98999999996</v>
      </c>
      <c r="U281" s="369">
        <f t="shared" si="417"/>
        <v>0</v>
      </c>
      <c r="V281" s="369">
        <f t="shared" si="418"/>
        <v>0</v>
      </c>
      <c r="W281" s="368">
        <f t="shared" si="419"/>
        <v>91250.670000000042</v>
      </c>
      <c r="X281" s="53">
        <f t="shared" si="406"/>
        <v>0</v>
      </c>
      <c r="Y281" s="53">
        <f t="shared" si="407"/>
        <v>0</v>
      </c>
      <c r="Z281" s="53">
        <f t="shared" si="408"/>
        <v>0.61472517588036002</v>
      </c>
      <c r="AA281" s="54"/>
      <c r="AB281" s="54"/>
      <c r="AC281" s="54"/>
      <c r="AD281" s="54"/>
      <c r="AE281" s="55"/>
      <c r="AF281" s="55"/>
      <c r="AG281" s="55"/>
      <c r="AH281" s="55"/>
      <c r="AI281" s="48">
        <v>3775.98</v>
      </c>
      <c r="AJ281" s="54"/>
      <c r="AK281" s="54"/>
      <c r="AL281" s="48">
        <v>23306.959999999999</v>
      </c>
      <c r="AM281" s="54"/>
      <c r="AN281" s="54"/>
      <c r="AO281" s="48">
        <v>23306.959999999999</v>
      </c>
      <c r="AP281" s="54"/>
      <c r="AQ281" s="54"/>
      <c r="AR281" s="48">
        <v>23306.959999999999</v>
      </c>
      <c r="AS281" s="54"/>
      <c r="AT281" s="54"/>
      <c r="AU281" s="48">
        <v>23306.959999999999</v>
      </c>
      <c r="AV281" s="54"/>
      <c r="AW281" s="54"/>
      <c r="AX281" s="48">
        <f>23306.96+1977.25</f>
        <v>25284.21</v>
      </c>
      <c r="AY281" s="54"/>
      <c r="AZ281" s="54"/>
      <c r="BA281" s="54">
        <f>23306.96</f>
        <v>23306.959999999999</v>
      </c>
      <c r="BB281" s="54"/>
      <c r="BC281" s="54"/>
      <c r="BD281" s="54"/>
      <c r="BE281" s="54"/>
      <c r="BF281" s="54"/>
      <c r="BG281" s="54"/>
      <c r="BH281" s="54"/>
      <c r="BI281" s="54"/>
      <c r="BJ281" s="54"/>
      <c r="BK281" s="54"/>
      <c r="BL281" s="54"/>
      <c r="BM281" s="54"/>
      <c r="BN281" s="54">
        <f t="shared" si="430"/>
        <v>0</v>
      </c>
      <c r="BO281" s="58">
        <f t="shared" si="431"/>
        <v>145594.98999999996</v>
      </c>
      <c r="BP281" s="54">
        <f t="shared" si="432"/>
        <v>145594.98999999996</v>
      </c>
      <c r="BQ281" s="54">
        <f t="shared" si="433"/>
        <v>0</v>
      </c>
      <c r="BR281" s="54">
        <f t="shared" si="434"/>
        <v>91250.670000000042</v>
      </c>
      <c r="BS281" s="54">
        <f t="shared" si="435"/>
        <v>91250.670000000042</v>
      </c>
      <c r="BT281" s="54">
        <f t="shared" si="436"/>
        <v>0</v>
      </c>
      <c r="BU281" s="54">
        <f t="shared" si="437"/>
        <v>145594.98999999996</v>
      </c>
      <c r="BV281" s="54">
        <f t="shared" si="438"/>
        <v>91250.670000000042</v>
      </c>
      <c r="BW281" s="54">
        <f t="shared" si="439"/>
        <v>145594.98999999996</v>
      </c>
      <c r="BX281" s="1"/>
      <c r="BY281" s="1"/>
      <c r="BZ281" s="1"/>
      <c r="CA281" s="1"/>
      <c r="CB281" s="1"/>
      <c r="CC281" s="1"/>
      <c r="CD281" s="1"/>
      <c r="CE281" s="1"/>
      <c r="CF281" s="1"/>
      <c r="CG281" s="1"/>
    </row>
    <row r="282" spans="1:85" ht="15.75" customHeight="1">
      <c r="A282" s="156" t="s">
        <v>611</v>
      </c>
      <c r="B282" s="429" t="s">
        <v>612</v>
      </c>
      <c r="C282" s="394" t="s">
        <v>229</v>
      </c>
      <c r="D282" s="44" t="s">
        <v>613</v>
      </c>
      <c r="E282" s="91"/>
      <c r="F282" s="92"/>
      <c r="G282" s="46">
        <f t="shared" si="443"/>
        <v>0</v>
      </c>
      <c r="H282" s="46">
        <v>689944.87</v>
      </c>
      <c r="I282" s="47">
        <f t="shared" si="444"/>
        <v>0</v>
      </c>
      <c r="J282" s="47">
        <f t="shared" si="445"/>
        <v>0</v>
      </c>
      <c r="K282" s="48"/>
      <c r="L282" s="54">
        <v>80361.09</v>
      </c>
      <c r="M282" s="54"/>
      <c r="N282" s="48">
        <f>137547.75+55940.43</f>
        <v>193488.18</v>
      </c>
      <c r="O282" s="51">
        <f t="shared" si="411"/>
        <v>0</v>
      </c>
      <c r="P282" s="51">
        <f t="shared" si="412"/>
        <v>80361.09</v>
      </c>
      <c r="Q282" s="51">
        <f t="shared" si="413"/>
        <v>193488.18</v>
      </c>
      <c r="R282" s="52">
        <f t="shared" si="414"/>
        <v>0</v>
      </c>
      <c r="S282" s="52">
        <f t="shared" si="415"/>
        <v>80361.09</v>
      </c>
      <c r="T282" s="52">
        <f t="shared" si="416"/>
        <v>193488.18</v>
      </c>
      <c r="U282" s="369">
        <f t="shared" si="417"/>
        <v>0</v>
      </c>
      <c r="V282" s="369">
        <f t="shared" si="418"/>
        <v>0</v>
      </c>
      <c r="W282" s="369">
        <f t="shared" si="419"/>
        <v>0</v>
      </c>
      <c r="X282" s="53">
        <f t="shared" si="406"/>
        <v>0</v>
      </c>
      <c r="Y282" s="53">
        <f t="shared" si="407"/>
        <v>1</v>
      </c>
      <c r="Z282" s="53">
        <f t="shared" si="408"/>
        <v>1</v>
      </c>
      <c r="AA282" s="54"/>
      <c r="AB282" s="54"/>
      <c r="AC282" s="54"/>
      <c r="AD282" s="54"/>
      <c r="AE282" s="76">
        <v>34109.4</v>
      </c>
      <c r="AF282" s="55"/>
      <c r="AG282" s="55"/>
      <c r="AH282" s="76">
        <v>34109.4</v>
      </c>
      <c r="AI282" s="48"/>
      <c r="AJ282" s="54"/>
      <c r="AK282" s="48">
        <v>12142.29</v>
      </c>
      <c r="AL282" s="48">
        <v>35499.230000000003</v>
      </c>
      <c r="AM282" s="54"/>
      <c r="AN282" s="54"/>
      <c r="AO282" s="48">
        <v>51024.26</v>
      </c>
      <c r="AP282" s="54"/>
      <c r="AQ282" s="54"/>
      <c r="AR282" s="48">
        <v>51024.26</v>
      </c>
      <c r="AS282" s="54"/>
      <c r="AT282" s="54"/>
      <c r="AU282" s="48">
        <v>55940.43</v>
      </c>
      <c r="AV282" s="54"/>
      <c r="AW282" s="54"/>
      <c r="AX282" s="54"/>
      <c r="AY282" s="54"/>
      <c r="AZ282" s="54"/>
      <c r="BA282" s="54"/>
      <c r="BB282" s="54"/>
      <c r="BC282" s="54"/>
      <c r="BD282" s="54"/>
      <c r="BE282" s="54"/>
      <c r="BF282" s="54"/>
      <c r="BG282" s="54"/>
      <c r="BH282" s="54"/>
      <c r="BI282" s="54"/>
      <c r="BJ282" s="54"/>
      <c r="BK282" s="54"/>
      <c r="BL282" s="54"/>
      <c r="BM282" s="54"/>
      <c r="BN282" s="54">
        <f t="shared" si="430"/>
        <v>0</v>
      </c>
      <c r="BO282" s="58">
        <f t="shared" si="431"/>
        <v>193488.18</v>
      </c>
      <c r="BP282" s="54">
        <f t="shared" si="432"/>
        <v>193488.18</v>
      </c>
      <c r="BQ282" s="54">
        <f t="shared" si="433"/>
        <v>0</v>
      </c>
      <c r="BR282" s="54">
        <f t="shared" si="434"/>
        <v>0</v>
      </c>
      <c r="BS282" s="54">
        <f t="shared" si="435"/>
        <v>0</v>
      </c>
      <c r="BT282" s="54">
        <f t="shared" si="436"/>
        <v>0</v>
      </c>
      <c r="BU282" s="54">
        <f t="shared" si="437"/>
        <v>193488.18</v>
      </c>
      <c r="BV282" s="54">
        <f t="shared" si="438"/>
        <v>0</v>
      </c>
      <c r="BW282" s="54">
        <f t="shared" si="439"/>
        <v>193488.18</v>
      </c>
      <c r="BX282" s="1"/>
      <c r="BY282" s="1"/>
      <c r="BZ282" s="1"/>
      <c r="CA282" s="1"/>
      <c r="CB282" s="1"/>
      <c r="CC282" s="1"/>
      <c r="CD282" s="1"/>
      <c r="CE282" s="1"/>
      <c r="CF282" s="1"/>
      <c r="CG282" s="1"/>
    </row>
    <row r="283" spans="1:85" ht="15.75" customHeight="1">
      <c r="A283" s="156" t="s">
        <v>614</v>
      </c>
      <c r="B283" s="445" t="s">
        <v>615</v>
      </c>
      <c r="C283" s="394" t="s">
        <v>237</v>
      </c>
      <c r="D283" s="73" t="s">
        <v>616</v>
      </c>
      <c r="E283" s="45"/>
      <c r="F283" s="46"/>
      <c r="G283" s="46">
        <f t="shared" si="443"/>
        <v>0</v>
      </c>
      <c r="H283" s="46">
        <v>0</v>
      </c>
      <c r="I283" s="47">
        <f t="shared" si="444"/>
        <v>0</v>
      </c>
      <c r="J283" s="47">
        <f t="shared" si="445"/>
        <v>0</v>
      </c>
      <c r="K283" s="54"/>
      <c r="L283" s="54">
        <v>77562.759999999995</v>
      </c>
      <c r="M283" s="48">
        <v>0.03</v>
      </c>
      <c r="N283" s="48">
        <f>35303.38-537.65</f>
        <v>34765.729999999996</v>
      </c>
      <c r="O283" s="51">
        <f t="shared" si="411"/>
        <v>0</v>
      </c>
      <c r="P283" s="51">
        <f t="shared" si="412"/>
        <v>77562.73</v>
      </c>
      <c r="Q283" s="51">
        <f t="shared" si="413"/>
        <v>34765.730000000003</v>
      </c>
      <c r="R283" s="52">
        <f t="shared" si="414"/>
        <v>0</v>
      </c>
      <c r="S283" s="52">
        <f t="shared" si="415"/>
        <v>77562.73</v>
      </c>
      <c r="T283" s="52">
        <f t="shared" si="416"/>
        <v>34765.730000000003</v>
      </c>
      <c r="U283" s="369">
        <f t="shared" si="417"/>
        <v>0</v>
      </c>
      <c r="V283" s="369">
        <f t="shared" si="418"/>
        <v>-1.1641521080463235E-12</v>
      </c>
      <c r="W283" s="368">
        <f t="shared" si="419"/>
        <v>0</v>
      </c>
      <c r="X283" s="53">
        <f t="shared" si="406"/>
        <v>0</v>
      </c>
      <c r="Y283" s="53">
        <f t="shared" si="407"/>
        <v>0.99999961321644559</v>
      </c>
      <c r="Z283" s="53">
        <f t="shared" si="408"/>
        <v>1.0000000000000002</v>
      </c>
      <c r="AA283" s="54"/>
      <c r="AB283" s="54"/>
      <c r="AC283" s="54"/>
      <c r="AD283" s="54"/>
      <c r="AE283" s="76">
        <v>36042.720000000001</v>
      </c>
      <c r="AF283" s="55"/>
      <c r="AG283" s="55"/>
      <c r="AH283" s="48">
        <v>38123.97</v>
      </c>
      <c r="AI283" s="48"/>
      <c r="AJ283" s="54"/>
      <c r="AK283" s="48">
        <v>3396.04</v>
      </c>
      <c r="AL283" s="48">
        <v>34765.730000000003</v>
      </c>
      <c r="AM283" s="54"/>
      <c r="AN283" s="54"/>
      <c r="AO283" s="54"/>
      <c r="AP283" s="54"/>
      <c r="AQ283" s="54"/>
      <c r="AR283" s="54"/>
      <c r="AS283" s="54"/>
      <c r="AT283" s="54"/>
      <c r="AU283" s="54"/>
      <c r="AV283" s="54"/>
      <c r="AW283" s="54"/>
      <c r="AX283" s="54"/>
      <c r="AY283" s="54"/>
      <c r="AZ283" s="54"/>
      <c r="BA283" s="54"/>
      <c r="BB283" s="54"/>
      <c r="BC283" s="54"/>
      <c r="BD283" s="54"/>
      <c r="BE283" s="54"/>
      <c r="BF283" s="54"/>
      <c r="BG283" s="54"/>
      <c r="BH283" s="54"/>
      <c r="BI283" s="54"/>
      <c r="BJ283" s="54"/>
      <c r="BK283" s="54"/>
      <c r="BL283" s="54"/>
      <c r="BM283" s="54"/>
      <c r="BN283" s="54">
        <f t="shared" si="430"/>
        <v>0</v>
      </c>
      <c r="BO283" s="58">
        <f t="shared" si="431"/>
        <v>34765.730000000003</v>
      </c>
      <c r="BP283" s="54">
        <f t="shared" si="432"/>
        <v>34765.730000000003</v>
      </c>
      <c r="BQ283" s="54">
        <f t="shared" si="433"/>
        <v>0</v>
      </c>
      <c r="BR283" s="54">
        <f t="shared" si="434"/>
        <v>0</v>
      </c>
      <c r="BS283" s="54">
        <f t="shared" si="435"/>
        <v>0</v>
      </c>
      <c r="BT283" s="54">
        <f t="shared" si="436"/>
        <v>0</v>
      </c>
      <c r="BU283" s="54">
        <f t="shared" si="437"/>
        <v>34765.730000000003</v>
      </c>
      <c r="BV283" s="54">
        <f t="shared" si="438"/>
        <v>0</v>
      </c>
      <c r="BW283" s="54">
        <f t="shared" si="439"/>
        <v>34765.730000000003</v>
      </c>
      <c r="BX283" s="1"/>
      <c r="BY283" s="1"/>
      <c r="BZ283" s="1"/>
      <c r="CA283" s="1"/>
      <c r="CB283" s="1"/>
      <c r="CC283" s="1"/>
      <c r="CD283" s="1"/>
      <c r="CE283" s="1"/>
      <c r="CF283" s="1"/>
      <c r="CG283" s="1"/>
    </row>
    <row r="284" spans="1:85" ht="15.75" customHeight="1">
      <c r="A284" s="156" t="s">
        <v>617</v>
      </c>
      <c r="B284" s="445"/>
      <c r="C284" s="394" t="s">
        <v>226</v>
      </c>
      <c r="D284" s="460" t="s">
        <v>1077</v>
      </c>
      <c r="E284" s="45"/>
      <c r="F284" s="46"/>
      <c r="G284" s="46">
        <f t="shared" si="443"/>
        <v>0</v>
      </c>
      <c r="H284" s="46">
        <v>0</v>
      </c>
      <c r="I284" s="47"/>
      <c r="J284" s="47"/>
      <c r="K284" s="48"/>
      <c r="L284" s="54"/>
      <c r="M284" s="54"/>
      <c r="N284" s="48">
        <v>30210.99</v>
      </c>
      <c r="O284" s="51">
        <f t="shared" si="411"/>
        <v>0</v>
      </c>
      <c r="P284" s="51">
        <f t="shared" si="412"/>
        <v>0</v>
      </c>
      <c r="Q284" s="51">
        <f t="shared" si="413"/>
        <v>9610.7099999999991</v>
      </c>
      <c r="R284" s="52">
        <f t="shared" si="414"/>
        <v>0</v>
      </c>
      <c r="S284" s="52">
        <f t="shared" si="415"/>
        <v>0</v>
      </c>
      <c r="T284" s="52">
        <f t="shared" si="416"/>
        <v>9610.7099999999991</v>
      </c>
      <c r="U284" s="369">
        <f t="shared" si="417"/>
        <v>0</v>
      </c>
      <c r="V284" s="369">
        <f t="shared" si="418"/>
        <v>0</v>
      </c>
      <c r="W284" s="368">
        <f t="shared" si="419"/>
        <v>20600.280000000002</v>
      </c>
      <c r="X284" s="53">
        <f t="shared" si="406"/>
        <v>0</v>
      </c>
      <c r="Y284" s="53">
        <f t="shared" si="407"/>
        <v>0</v>
      </c>
      <c r="Z284" s="53">
        <f t="shared" si="408"/>
        <v>0.31811966440027284</v>
      </c>
      <c r="AA284" s="54"/>
      <c r="AB284" s="54"/>
      <c r="AC284" s="54"/>
      <c r="AD284" s="54"/>
      <c r="AE284" s="76"/>
      <c r="AF284" s="55"/>
      <c r="AG284" s="55"/>
      <c r="AH284" s="55"/>
      <c r="AI284" s="54"/>
      <c r="AJ284" s="54"/>
      <c r="AK284" s="54"/>
      <c r="AL284" s="54"/>
      <c r="AM284" s="48"/>
      <c r="AN284" s="54"/>
      <c r="AO284" s="54"/>
      <c r="AP284" s="54"/>
      <c r="AQ284" s="54"/>
      <c r="AR284" s="54"/>
      <c r="AS284" s="54"/>
      <c r="AT284" s="54"/>
      <c r="AU284" s="54"/>
      <c r="AV284" s="54"/>
      <c r="AW284" s="54"/>
      <c r="AX284" s="54"/>
      <c r="AY284" s="54"/>
      <c r="AZ284" s="54"/>
      <c r="BA284" s="54">
        <f>3067.13+3176.17+3367.41</f>
        <v>9610.7099999999991</v>
      </c>
      <c r="BB284" s="54"/>
      <c r="BC284" s="54"/>
      <c r="BD284" s="54"/>
      <c r="BE284" s="54"/>
      <c r="BF284" s="54"/>
      <c r="BG284" s="54"/>
      <c r="BH284" s="54"/>
      <c r="BI284" s="54"/>
      <c r="BJ284" s="54"/>
      <c r="BK284" s="54"/>
      <c r="BL284" s="54"/>
      <c r="BM284" s="54"/>
      <c r="BN284" s="54">
        <f t="shared" si="430"/>
        <v>0</v>
      </c>
      <c r="BO284" s="58">
        <f t="shared" si="431"/>
        <v>9610.7099999999991</v>
      </c>
      <c r="BP284" s="54">
        <f t="shared" si="432"/>
        <v>9610.7099999999991</v>
      </c>
      <c r="BQ284" s="54">
        <f t="shared" si="433"/>
        <v>0</v>
      </c>
      <c r="BR284" s="54">
        <f t="shared" si="434"/>
        <v>20600.280000000002</v>
      </c>
      <c r="BS284" s="54">
        <f t="shared" si="435"/>
        <v>20600.280000000002</v>
      </c>
      <c r="BT284" s="54">
        <f t="shared" si="436"/>
        <v>0</v>
      </c>
      <c r="BU284" s="54">
        <f t="shared" si="437"/>
        <v>9610.7099999999991</v>
      </c>
      <c r="BV284" s="54">
        <f t="shared" si="438"/>
        <v>20600.280000000002</v>
      </c>
      <c r="BW284" s="54">
        <f t="shared" si="439"/>
        <v>9610.7099999999991</v>
      </c>
      <c r="BX284" s="1"/>
      <c r="BY284" s="1"/>
      <c r="BZ284" s="1"/>
      <c r="CA284" s="1"/>
      <c r="CB284" s="1"/>
      <c r="CC284" s="1"/>
      <c r="CD284" s="1"/>
      <c r="CE284" s="1"/>
      <c r="CF284" s="1"/>
      <c r="CG284" s="1"/>
    </row>
    <row r="285" spans="1:85" ht="15.75" customHeight="1">
      <c r="A285" s="156"/>
      <c r="B285" s="429" t="s">
        <v>618</v>
      </c>
      <c r="C285" s="394" t="s">
        <v>226</v>
      </c>
      <c r="D285" s="78" t="s">
        <v>619</v>
      </c>
      <c r="E285" s="45"/>
      <c r="F285" s="46"/>
      <c r="G285" s="46">
        <f t="shared" si="443"/>
        <v>0</v>
      </c>
      <c r="H285" s="46"/>
      <c r="I285" s="47">
        <f>IF(G285&gt;0,K285/G285,0)</f>
        <v>0</v>
      </c>
      <c r="J285" s="47">
        <f>IF(G285&gt;0,O285/G285,0)</f>
        <v>0</v>
      </c>
      <c r="K285" s="48"/>
      <c r="L285" s="54">
        <v>40891</v>
      </c>
      <c r="M285" s="54"/>
      <c r="N285" s="54"/>
      <c r="O285" s="51">
        <f t="shared" si="411"/>
        <v>0</v>
      </c>
      <c r="P285" s="51">
        <f t="shared" si="412"/>
        <v>40891</v>
      </c>
      <c r="Q285" s="51">
        <f t="shared" si="413"/>
        <v>0</v>
      </c>
      <c r="R285" s="52">
        <f t="shared" si="414"/>
        <v>0</v>
      </c>
      <c r="S285" s="52">
        <f t="shared" si="415"/>
        <v>40891</v>
      </c>
      <c r="T285" s="52">
        <f t="shared" si="416"/>
        <v>0</v>
      </c>
      <c r="U285" s="369">
        <f t="shared" si="417"/>
        <v>0</v>
      </c>
      <c r="V285" s="369">
        <f t="shared" si="418"/>
        <v>0</v>
      </c>
      <c r="W285" s="369">
        <f t="shared" si="419"/>
        <v>0</v>
      </c>
      <c r="X285" s="53">
        <f t="shared" si="406"/>
        <v>0</v>
      </c>
      <c r="Y285" s="53">
        <f t="shared" si="407"/>
        <v>1</v>
      </c>
      <c r="Z285" s="53">
        <f t="shared" si="408"/>
        <v>0</v>
      </c>
      <c r="AA285" s="54"/>
      <c r="AB285" s="54"/>
      <c r="AC285" s="54"/>
      <c r="AD285" s="54"/>
      <c r="AE285" s="76">
        <v>40891</v>
      </c>
      <c r="AF285" s="55"/>
      <c r="AG285" s="55"/>
      <c r="AH285" s="55"/>
      <c r="AI285" s="54"/>
      <c r="AJ285" s="54"/>
      <c r="AK285" s="54"/>
      <c r="AL285" s="54"/>
      <c r="AM285" s="48"/>
      <c r="AN285" s="54"/>
      <c r="AO285" s="54"/>
      <c r="AP285" s="54"/>
      <c r="AQ285" s="54"/>
      <c r="AR285" s="54"/>
      <c r="AS285" s="54"/>
      <c r="AT285" s="54"/>
      <c r="AU285" s="54"/>
      <c r="AV285" s="54"/>
      <c r="AW285" s="54"/>
      <c r="AX285" s="54"/>
      <c r="AY285" s="54"/>
      <c r="AZ285" s="54"/>
      <c r="BA285" s="54"/>
      <c r="BB285" s="54"/>
      <c r="BC285" s="54"/>
      <c r="BD285" s="54"/>
      <c r="BE285" s="54"/>
      <c r="BF285" s="54"/>
      <c r="BG285" s="54"/>
      <c r="BH285" s="54"/>
      <c r="BI285" s="54"/>
      <c r="BJ285" s="54"/>
      <c r="BK285" s="54"/>
      <c r="BL285" s="54"/>
      <c r="BM285" s="54"/>
      <c r="BN285" s="54">
        <f t="shared" si="430"/>
        <v>0</v>
      </c>
      <c r="BO285" s="58">
        <f t="shared" si="431"/>
        <v>0</v>
      </c>
      <c r="BP285" s="54">
        <f t="shared" si="432"/>
        <v>0</v>
      </c>
      <c r="BQ285" s="54">
        <f t="shared" si="433"/>
        <v>0</v>
      </c>
      <c r="BR285" s="54">
        <f t="shared" si="434"/>
        <v>0</v>
      </c>
      <c r="BS285" s="54">
        <f t="shared" si="435"/>
        <v>0</v>
      </c>
      <c r="BT285" s="54">
        <f t="shared" si="436"/>
        <v>0</v>
      </c>
      <c r="BU285" s="54">
        <f t="shared" si="437"/>
        <v>0</v>
      </c>
      <c r="BV285" s="54">
        <f t="shared" si="438"/>
        <v>0</v>
      </c>
      <c r="BW285" s="54">
        <f t="shared" si="439"/>
        <v>0</v>
      </c>
      <c r="BX285" s="1"/>
      <c r="BY285" s="1"/>
      <c r="BZ285" s="1"/>
      <c r="CA285" s="1"/>
      <c r="CB285" s="1"/>
      <c r="CC285" s="1"/>
      <c r="CD285" s="1"/>
      <c r="CE285" s="1"/>
      <c r="CF285" s="1"/>
      <c r="CG285" s="1"/>
    </row>
    <row r="286" spans="1:85" ht="15.75" customHeight="1">
      <c r="A286" s="156" t="s">
        <v>620</v>
      </c>
      <c r="B286" s="430" t="s">
        <v>621</v>
      </c>
      <c r="C286" s="394" t="s">
        <v>233</v>
      </c>
      <c r="D286" s="78" t="s">
        <v>622</v>
      </c>
      <c r="E286" s="45"/>
      <c r="F286" s="46"/>
      <c r="G286" s="46">
        <f t="shared" si="443"/>
        <v>0</v>
      </c>
      <c r="H286" s="46"/>
      <c r="I286" s="47">
        <f>IF(G286&gt;0,K286/G286,0)</f>
        <v>0</v>
      </c>
      <c r="J286" s="47">
        <f>IF(G286&gt;0,O286/G286,0)</f>
        <v>0</v>
      </c>
      <c r="K286" s="48"/>
      <c r="L286" s="54">
        <v>38040</v>
      </c>
      <c r="M286" s="54"/>
      <c r="N286" s="48">
        <v>405.27</v>
      </c>
      <c r="O286" s="51">
        <f t="shared" si="411"/>
        <v>0</v>
      </c>
      <c r="P286" s="51">
        <f t="shared" si="412"/>
        <v>38040</v>
      </c>
      <c r="Q286" s="51">
        <f t="shared" si="413"/>
        <v>405.27</v>
      </c>
      <c r="R286" s="52">
        <f t="shared" si="414"/>
        <v>0</v>
      </c>
      <c r="S286" s="52">
        <f t="shared" si="415"/>
        <v>38040</v>
      </c>
      <c r="T286" s="52">
        <f t="shared" si="416"/>
        <v>405.27</v>
      </c>
      <c r="U286" s="369">
        <f t="shared" si="417"/>
        <v>0</v>
      </c>
      <c r="V286" s="369">
        <f t="shared" si="418"/>
        <v>0</v>
      </c>
      <c r="W286" s="369">
        <f t="shared" si="419"/>
        <v>0</v>
      </c>
      <c r="X286" s="53">
        <f t="shared" si="406"/>
        <v>0</v>
      </c>
      <c r="Y286" s="53">
        <f t="shared" si="407"/>
        <v>1</v>
      </c>
      <c r="Z286" s="53">
        <f t="shared" si="408"/>
        <v>1</v>
      </c>
      <c r="AA286" s="54"/>
      <c r="AB286" s="54"/>
      <c r="AC286" s="54"/>
      <c r="AD286" s="54"/>
      <c r="AE286" s="76">
        <v>38040</v>
      </c>
      <c r="AF286" s="76">
        <v>405.27</v>
      </c>
      <c r="AG286" s="55"/>
      <c r="AH286" s="55"/>
      <c r="AI286" s="54"/>
      <c r="AJ286" s="54"/>
      <c r="AK286" s="54"/>
      <c r="AL286" s="54"/>
      <c r="AM286" s="54"/>
      <c r="AN286" s="54"/>
      <c r="AO286" s="54"/>
      <c r="AP286" s="54"/>
      <c r="AQ286" s="54"/>
      <c r="AR286" s="54"/>
      <c r="AS286" s="54"/>
      <c r="AT286" s="54"/>
      <c r="AU286" s="54"/>
      <c r="AV286" s="54"/>
      <c r="AW286" s="54"/>
      <c r="AX286" s="54"/>
      <c r="AY286" s="54"/>
      <c r="AZ286" s="54"/>
      <c r="BA286" s="54"/>
      <c r="BB286" s="54"/>
      <c r="BC286" s="54"/>
      <c r="BD286" s="54"/>
      <c r="BE286" s="54"/>
      <c r="BF286" s="54"/>
      <c r="BG286" s="54"/>
      <c r="BH286" s="54"/>
      <c r="BI286" s="54"/>
      <c r="BJ286" s="54"/>
      <c r="BK286" s="54"/>
      <c r="BL286" s="54"/>
      <c r="BM286" s="54"/>
      <c r="BN286" s="54">
        <f t="shared" si="430"/>
        <v>0</v>
      </c>
      <c r="BO286" s="58">
        <f t="shared" si="431"/>
        <v>405.27</v>
      </c>
      <c r="BP286" s="54">
        <f t="shared" si="432"/>
        <v>405.27</v>
      </c>
      <c r="BQ286" s="54">
        <f t="shared" si="433"/>
        <v>0</v>
      </c>
      <c r="BR286" s="54">
        <f t="shared" si="434"/>
        <v>0</v>
      </c>
      <c r="BS286" s="54">
        <f t="shared" si="435"/>
        <v>0</v>
      </c>
      <c r="BT286" s="54">
        <f t="shared" si="436"/>
        <v>0</v>
      </c>
      <c r="BU286" s="54">
        <f t="shared" si="437"/>
        <v>405.27</v>
      </c>
      <c r="BV286" s="54">
        <f t="shared" si="438"/>
        <v>0</v>
      </c>
      <c r="BW286" s="54">
        <f t="shared" si="439"/>
        <v>405.27</v>
      </c>
      <c r="BX286" s="1"/>
      <c r="BY286" s="1"/>
      <c r="BZ286" s="1"/>
      <c r="CA286" s="1"/>
      <c r="CB286" s="1"/>
      <c r="CC286" s="1"/>
      <c r="CD286" s="1"/>
      <c r="CE286" s="1"/>
      <c r="CF286" s="1"/>
      <c r="CG286" s="1"/>
    </row>
    <row r="287" spans="1:85" ht="15.75" customHeight="1">
      <c r="A287" s="116" t="s">
        <v>623</v>
      </c>
      <c r="B287" s="426"/>
      <c r="C287" s="394" t="s">
        <v>624</v>
      </c>
      <c r="D287" s="73" t="s">
        <v>625</v>
      </c>
      <c r="E287" s="45"/>
      <c r="F287" s="46"/>
      <c r="G287" s="46">
        <f t="shared" si="443"/>
        <v>0</v>
      </c>
      <c r="H287" s="46">
        <v>680000</v>
      </c>
      <c r="I287" s="47">
        <f>IF(G287&gt;0,K287/G287,0)</f>
        <v>0</v>
      </c>
      <c r="J287" s="47">
        <f>IF(G287&gt;0,O287/G287,0)</f>
        <v>0</v>
      </c>
      <c r="K287" s="48"/>
      <c r="L287" s="54"/>
      <c r="M287" s="54"/>
      <c r="N287" s="48">
        <f>83610.78+418053.9+10059.11</f>
        <v>511723.79000000004</v>
      </c>
      <c r="O287" s="51">
        <f t="shared" si="411"/>
        <v>0</v>
      </c>
      <c r="P287" s="51">
        <f t="shared" si="412"/>
        <v>0</v>
      </c>
      <c r="Q287" s="51">
        <f t="shared" si="413"/>
        <v>511723.79000000004</v>
      </c>
      <c r="R287" s="52">
        <f t="shared" si="414"/>
        <v>0</v>
      </c>
      <c r="S287" s="52">
        <f t="shared" si="415"/>
        <v>0</v>
      </c>
      <c r="T287" s="52">
        <f t="shared" si="416"/>
        <v>511723.79000000004</v>
      </c>
      <c r="U287" s="369">
        <f t="shared" si="417"/>
        <v>0</v>
      </c>
      <c r="V287" s="369">
        <f t="shared" si="418"/>
        <v>0</v>
      </c>
      <c r="W287" s="368">
        <f t="shared" si="419"/>
        <v>0</v>
      </c>
      <c r="X287" s="53">
        <f t="shared" si="406"/>
        <v>0</v>
      </c>
      <c r="Y287" s="53">
        <f t="shared" si="407"/>
        <v>0</v>
      </c>
      <c r="Z287" s="53">
        <f t="shared" si="408"/>
        <v>1</v>
      </c>
      <c r="AA287" s="54"/>
      <c r="AB287" s="54"/>
      <c r="AC287" s="54"/>
      <c r="AD287" s="54"/>
      <c r="AE287" s="55"/>
      <c r="AF287" s="55"/>
      <c r="AG287" s="55"/>
      <c r="AH287" s="55"/>
      <c r="AI287" s="48">
        <v>82107.06</v>
      </c>
      <c r="AJ287" s="54"/>
      <c r="AK287" s="54"/>
      <c r="AL287" s="48">
        <f>80616.8+1503.72</f>
        <v>82120.52</v>
      </c>
      <c r="AM287" s="54"/>
      <c r="AN287" s="54"/>
      <c r="AO287" s="48">
        <v>82599.06</v>
      </c>
      <c r="AP287" s="54"/>
      <c r="AQ287" s="54"/>
      <c r="AR287" s="48">
        <v>82803.58</v>
      </c>
      <c r="AS287" s="54"/>
      <c r="AT287" s="54"/>
      <c r="AU287" s="54">
        <f>10429.2+82308.58+6352.81</f>
        <v>99090.59</v>
      </c>
      <c r="AV287" s="54"/>
      <c r="AW287" s="54"/>
      <c r="AX287" s="54">
        <f>72943.87+10059.11</f>
        <v>83002.98</v>
      </c>
      <c r="AY287" s="54"/>
      <c r="AZ287" s="54"/>
      <c r="BA287" s="54"/>
      <c r="BB287" s="54"/>
      <c r="BC287" s="54"/>
      <c r="BD287" s="54"/>
      <c r="BE287" s="54"/>
      <c r="BF287" s="54"/>
      <c r="BG287" s="54"/>
      <c r="BH287" s="54"/>
      <c r="BI287" s="54"/>
      <c r="BJ287" s="54"/>
      <c r="BK287" s="54"/>
      <c r="BL287" s="54"/>
      <c r="BM287" s="54"/>
      <c r="BN287" s="54">
        <f t="shared" si="430"/>
        <v>0</v>
      </c>
      <c r="BO287" s="58">
        <f t="shared" si="431"/>
        <v>511723.79000000004</v>
      </c>
      <c r="BP287" s="54">
        <f t="shared" si="432"/>
        <v>511723.79000000004</v>
      </c>
      <c r="BQ287" s="54">
        <f t="shared" si="433"/>
        <v>0</v>
      </c>
      <c r="BR287" s="54">
        <f t="shared" si="434"/>
        <v>0</v>
      </c>
      <c r="BS287" s="54">
        <f t="shared" si="435"/>
        <v>0</v>
      </c>
      <c r="BT287" s="54">
        <f t="shared" si="436"/>
        <v>0</v>
      </c>
      <c r="BU287" s="54">
        <f t="shared" si="437"/>
        <v>511723.79000000004</v>
      </c>
      <c r="BV287" s="54">
        <f t="shared" si="438"/>
        <v>0</v>
      </c>
      <c r="BW287" s="54">
        <f t="shared" si="439"/>
        <v>511723.79000000004</v>
      </c>
      <c r="BX287" s="1"/>
      <c r="BY287" s="1"/>
      <c r="BZ287" s="1"/>
      <c r="CA287" s="1"/>
      <c r="CB287" s="1"/>
      <c r="CC287" s="1"/>
      <c r="CD287" s="1"/>
      <c r="CE287" s="1"/>
      <c r="CF287" s="1"/>
      <c r="CG287" s="1"/>
    </row>
    <row r="288" spans="1:85" ht="15.75" customHeight="1">
      <c r="A288" s="81" t="s">
        <v>626</v>
      </c>
      <c r="B288" s="429"/>
      <c r="C288" s="394" t="s">
        <v>624</v>
      </c>
      <c r="D288" s="73" t="s">
        <v>627</v>
      </c>
      <c r="E288" s="45"/>
      <c r="F288" s="46"/>
      <c r="G288" s="46"/>
      <c r="H288" s="46"/>
      <c r="I288" s="47"/>
      <c r="J288" s="47"/>
      <c r="K288" s="54"/>
      <c r="L288" s="54"/>
      <c r="M288" s="54"/>
      <c r="N288" s="48">
        <v>284000</v>
      </c>
      <c r="O288" s="51">
        <f t="shared" si="411"/>
        <v>0</v>
      </c>
      <c r="P288" s="51">
        <f t="shared" si="412"/>
        <v>0</v>
      </c>
      <c r="Q288" s="51">
        <f t="shared" si="413"/>
        <v>55777.599999999999</v>
      </c>
      <c r="R288" s="52">
        <f t="shared" si="414"/>
        <v>0</v>
      </c>
      <c r="S288" s="52">
        <f t="shared" si="415"/>
        <v>0</v>
      </c>
      <c r="T288" s="52">
        <f t="shared" si="416"/>
        <v>55777.599999999999</v>
      </c>
      <c r="U288" s="369">
        <f t="shared" si="417"/>
        <v>0</v>
      </c>
      <c r="V288" s="369">
        <f t="shared" si="418"/>
        <v>0</v>
      </c>
      <c r="W288" s="368">
        <f t="shared" si="419"/>
        <v>228222.4</v>
      </c>
      <c r="X288" s="53">
        <f t="shared" si="406"/>
        <v>0</v>
      </c>
      <c r="Y288" s="53">
        <f t="shared" si="407"/>
        <v>0</v>
      </c>
      <c r="Z288" s="53">
        <f t="shared" si="408"/>
        <v>0.19639999999999999</v>
      </c>
      <c r="AA288" s="54"/>
      <c r="AB288" s="54"/>
      <c r="AC288" s="54"/>
      <c r="AD288" s="54"/>
      <c r="AE288" s="55"/>
      <c r="AF288" s="55"/>
      <c r="AG288" s="55"/>
      <c r="AH288" s="55"/>
      <c r="AI288" s="54"/>
      <c r="AJ288" s="54"/>
      <c r="AK288" s="54"/>
      <c r="AL288" s="54"/>
      <c r="AM288" s="54"/>
      <c r="AN288" s="54"/>
      <c r="AO288" s="54"/>
      <c r="AP288" s="54"/>
      <c r="AQ288" s="54"/>
      <c r="AR288" s="54"/>
      <c r="AS288" s="54"/>
      <c r="AT288" s="54"/>
      <c r="AU288" s="54"/>
      <c r="AV288" s="54"/>
      <c r="AW288" s="54"/>
      <c r="AX288" s="54"/>
      <c r="AY288" s="54"/>
      <c r="AZ288" s="54"/>
      <c r="BA288" s="54">
        <f>55777.6</f>
        <v>55777.599999999999</v>
      </c>
      <c r="BB288" s="54"/>
      <c r="BC288" s="54"/>
      <c r="BD288" s="54"/>
      <c r="BE288" s="54"/>
      <c r="BF288" s="54"/>
      <c r="BG288" s="54"/>
      <c r="BH288" s="54"/>
      <c r="BI288" s="54"/>
      <c r="BJ288" s="54"/>
      <c r="BK288" s="54"/>
      <c r="BL288" s="54"/>
      <c r="BM288" s="54"/>
      <c r="BN288" s="54">
        <f t="shared" si="430"/>
        <v>0</v>
      </c>
      <c r="BO288" s="58">
        <f t="shared" si="431"/>
        <v>55777.599999999999</v>
      </c>
      <c r="BP288" s="54">
        <f t="shared" si="432"/>
        <v>55777.599999999999</v>
      </c>
      <c r="BQ288" s="54">
        <f t="shared" si="433"/>
        <v>0</v>
      </c>
      <c r="BR288" s="54">
        <f t="shared" si="434"/>
        <v>228222.4</v>
      </c>
      <c r="BS288" s="54">
        <f t="shared" si="435"/>
        <v>228222.4</v>
      </c>
      <c r="BT288" s="54">
        <f t="shared" si="436"/>
        <v>0</v>
      </c>
      <c r="BU288" s="54">
        <f t="shared" si="437"/>
        <v>55777.599999999999</v>
      </c>
      <c r="BV288" s="54">
        <f t="shared" si="438"/>
        <v>228222.4</v>
      </c>
      <c r="BW288" s="54">
        <f t="shared" si="439"/>
        <v>55777.599999999999</v>
      </c>
      <c r="BX288" s="1"/>
      <c r="BY288" s="1"/>
      <c r="BZ288" s="1"/>
      <c r="CA288" s="1"/>
      <c r="CB288" s="1"/>
      <c r="CC288" s="1"/>
      <c r="CD288" s="1"/>
      <c r="CE288" s="1"/>
      <c r="CF288" s="1"/>
      <c r="CG288" s="1"/>
    </row>
    <row r="289" spans="1:85" ht="15.75" customHeight="1">
      <c r="A289" s="83"/>
      <c r="B289" s="429" t="s">
        <v>628</v>
      </c>
      <c r="C289" s="397" t="s">
        <v>246</v>
      </c>
      <c r="D289" s="86" t="s">
        <v>629</v>
      </c>
      <c r="E289" s="45"/>
      <c r="F289" s="46"/>
      <c r="G289" s="46">
        <f>E289-F289</f>
        <v>0</v>
      </c>
      <c r="H289" s="46">
        <v>250000</v>
      </c>
      <c r="I289" s="47">
        <f>IF(G289&gt;0,K289/G289,0)</f>
        <v>0</v>
      </c>
      <c r="J289" s="47">
        <f>IF(G289&gt;0,O289/G289,0)</f>
        <v>0</v>
      </c>
      <c r="K289" s="54"/>
      <c r="L289" s="54">
        <v>155586</v>
      </c>
      <c r="M289" s="54"/>
      <c r="N289" s="54"/>
      <c r="O289" s="51">
        <f t="shared" si="411"/>
        <v>0</v>
      </c>
      <c r="P289" s="51">
        <f t="shared" si="412"/>
        <v>69394.929999999993</v>
      </c>
      <c r="Q289" s="51">
        <f t="shared" si="413"/>
        <v>0</v>
      </c>
      <c r="R289" s="52">
        <f t="shared" si="414"/>
        <v>0</v>
      </c>
      <c r="S289" s="52">
        <f t="shared" si="415"/>
        <v>69394.929999999993</v>
      </c>
      <c r="T289" s="52">
        <f t="shared" si="416"/>
        <v>0</v>
      </c>
      <c r="U289" s="369">
        <f t="shared" si="417"/>
        <v>0</v>
      </c>
      <c r="V289" s="369">
        <f t="shared" si="418"/>
        <v>86191.07</v>
      </c>
      <c r="W289" s="369">
        <f t="shared" si="419"/>
        <v>0</v>
      </c>
      <c r="X289" s="53">
        <f t="shared" si="406"/>
        <v>0</v>
      </c>
      <c r="Y289" s="53">
        <f t="shared" si="407"/>
        <v>0.44602297121849005</v>
      </c>
      <c r="Z289" s="53">
        <f t="shared" si="408"/>
        <v>0</v>
      </c>
      <c r="AA289" s="54"/>
      <c r="AB289" s="54"/>
      <c r="AC289" s="54"/>
      <c r="AD289" s="54"/>
      <c r="AE289" s="55"/>
      <c r="AF289" s="55"/>
      <c r="AG289" s="55"/>
      <c r="AH289" s="55"/>
      <c r="AI289" s="54"/>
      <c r="AJ289" s="54"/>
      <c r="AK289" s="54"/>
      <c r="AL289" s="54"/>
      <c r="AM289" s="54"/>
      <c r="AN289" s="54"/>
      <c r="AO289" s="54"/>
      <c r="AP289" s="54"/>
      <c r="AQ289" s="54"/>
      <c r="AR289" s="54"/>
      <c r="AS289" s="54"/>
      <c r="AT289" s="54"/>
      <c r="AU289" s="54"/>
      <c r="AV289" s="54"/>
      <c r="AW289" s="54"/>
      <c r="AX289" s="54"/>
      <c r="AY289" s="54"/>
      <c r="AZ289" s="54">
        <f>69394.93</f>
        <v>69394.929999999993</v>
      </c>
      <c r="BA289" s="54"/>
      <c r="BB289" s="54"/>
      <c r="BC289" s="54"/>
      <c r="BD289" s="54"/>
      <c r="BE289" s="54"/>
      <c r="BF289" s="54"/>
      <c r="BG289" s="54"/>
      <c r="BH289" s="54"/>
      <c r="BI289" s="54"/>
      <c r="BJ289" s="54"/>
      <c r="BK289" s="54"/>
      <c r="BL289" s="54"/>
      <c r="BM289" s="54"/>
      <c r="BN289" s="54">
        <f t="shared" si="430"/>
        <v>0</v>
      </c>
      <c r="BO289" s="58">
        <f t="shared" si="431"/>
        <v>0</v>
      </c>
      <c r="BP289" s="54">
        <f t="shared" si="432"/>
        <v>0</v>
      </c>
      <c r="BQ289" s="54">
        <f t="shared" si="433"/>
        <v>0</v>
      </c>
      <c r="BR289" s="54">
        <f t="shared" si="434"/>
        <v>0</v>
      </c>
      <c r="BS289" s="54">
        <f t="shared" si="435"/>
        <v>0</v>
      </c>
      <c r="BT289" s="54">
        <f t="shared" si="436"/>
        <v>86191.07</v>
      </c>
      <c r="BU289" s="54">
        <f t="shared" si="437"/>
        <v>0</v>
      </c>
      <c r="BV289" s="54">
        <f t="shared" si="438"/>
        <v>0</v>
      </c>
      <c r="BW289" s="54">
        <f t="shared" si="439"/>
        <v>86191.07</v>
      </c>
      <c r="BX289" s="1"/>
      <c r="BY289" s="1"/>
      <c r="BZ289" s="1"/>
      <c r="CA289" s="1"/>
      <c r="CB289" s="1"/>
      <c r="CC289" s="1"/>
      <c r="CD289" s="1"/>
      <c r="CE289" s="1"/>
      <c r="CF289" s="1"/>
      <c r="CG289" s="1"/>
    </row>
    <row r="290" spans="1:85" ht="15.75" customHeight="1">
      <c r="A290" s="64"/>
      <c r="B290" s="426" t="s">
        <v>630</v>
      </c>
      <c r="C290" s="397" t="s">
        <v>246</v>
      </c>
      <c r="D290" s="86" t="s">
        <v>631</v>
      </c>
      <c r="E290" s="45"/>
      <c r="F290" s="46"/>
      <c r="G290" s="46">
        <f>E290-F290</f>
        <v>0</v>
      </c>
      <c r="H290" s="46">
        <v>0</v>
      </c>
      <c r="I290" s="47">
        <f>IF(G290&gt;0,K290/G290,0)</f>
        <v>0</v>
      </c>
      <c r="J290" s="47">
        <f>IF(G290&gt;0,O290/G290,0)</f>
        <v>0</v>
      </c>
      <c r="K290" s="54"/>
      <c r="L290" s="54">
        <v>93710.16</v>
      </c>
      <c r="M290" s="48">
        <v>32249.93</v>
      </c>
      <c r="N290" s="54"/>
      <c r="O290" s="51">
        <f t="shared" si="411"/>
        <v>0</v>
      </c>
      <c r="P290" s="51">
        <f t="shared" si="412"/>
        <v>61460.23</v>
      </c>
      <c r="Q290" s="51">
        <f t="shared" si="413"/>
        <v>0</v>
      </c>
      <c r="R290" s="52">
        <f t="shared" si="414"/>
        <v>0</v>
      </c>
      <c r="S290" s="52">
        <f t="shared" si="415"/>
        <v>61460.23</v>
      </c>
      <c r="T290" s="52">
        <f t="shared" si="416"/>
        <v>0</v>
      </c>
      <c r="U290" s="369">
        <f t="shared" si="417"/>
        <v>0</v>
      </c>
      <c r="V290" s="369">
        <f t="shared" si="418"/>
        <v>0</v>
      </c>
      <c r="W290" s="369">
        <f t="shared" si="419"/>
        <v>0</v>
      </c>
      <c r="X290" s="53">
        <f t="shared" si="406"/>
        <v>0</v>
      </c>
      <c r="Y290" s="53">
        <f t="shared" si="407"/>
        <v>0.65585449859438938</v>
      </c>
      <c r="Z290" s="53">
        <f t="shared" si="408"/>
        <v>0</v>
      </c>
      <c r="AA290" s="54"/>
      <c r="AB290" s="54">
        <f>17714.18+25389.45</f>
        <v>43103.630000000005</v>
      </c>
      <c r="AC290" s="54"/>
      <c r="AD290" s="54"/>
      <c r="AE290" s="76">
        <v>7384.63</v>
      </c>
      <c r="AF290" s="55"/>
      <c r="AG290" s="55"/>
      <c r="AH290" s="55"/>
      <c r="AI290" s="54"/>
      <c r="AJ290" s="54"/>
      <c r="AK290" s="54"/>
      <c r="AL290" s="54"/>
      <c r="AM290" s="54"/>
      <c r="AN290" s="48">
        <v>10971.97</v>
      </c>
      <c r="AO290" s="54"/>
      <c r="AP290" s="54"/>
      <c r="AQ290" s="54"/>
      <c r="AR290" s="54"/>
      <c r="AS290" s="54"/>
      <c r="AT290" s="54"/>
      <c r="AU290" s="54"/>
      <c r="AV290" s="54"/>
      <c r="AW290" s="54"/>
      <c r="AX290" s="54"/>
      <c r="AY290" s="54"/>
      <c r="AZ290" s="54"/>
      <c r="BA290" s="54"/>
      <c r="BB290" s="54"/>
      <c r="BC290" s="54"/>
      <c r="BD290" s="54"/>
      <c r="BE290" s="54"/>
      <c r="BF290" s="54"/>
      <c r="BG290" s="54"/>
      <c r="BH290" s="54"/>
      <c r="BI290" s="54"/>
      <c r="BJ290" s="54"/>
      <c r="BK290" s="54"/>
      <c r="BL290" s="54"/>
      <c r="BM290" s="54"/>
      <c r="BN290" s="54">
        <f t="shared" si="430"/>
        <v>0</v>
      </c>
      <c r="BO290" s="58">
        <f t="shared" si="431"/>
        <v>0</v>
      </c>
      <c r="BP290" s="54">
        <f t="shared" si="432"/>
        <v>0</v>
      </c>
      <c r="BQ290" s="54">
        <f t="shared" si="433"/>
        <v>0</v>
      </c>
      <c r="BR290" s="54">
        <f t="shared" si="434"/>
        <v>0</v>
      </c>
      <c r="BS290" s="54">
        <f t="shared" si="435"/>
        <v>0</v>
      </c>
      <c r="BT290" s="54">
        <f t="shared" si="436"/>
        <v>0</v>
      </c>
      <c r="BU290" s="54">
        <f t="shared" si="437"/>
        <v>0</v>
      </c>
      <c r="BV290" s="54">
        <f t="shared" si="438"/>
        <v>0</v>
      </c>
      <c r="BW290" s="54">
        <f t="shared" si="439"/>
        <v>0</v>
      </c>
      <c r="BX290" s="1"/>
      <c r="BY290" s="1"/>
      <c r="BZ290" s="1"/>
      <c r="CA290" s="1"/>
      <c r="CB290" s="1"/>
      <c r="CC290" s="1"/>
      <c r="CD290" s="1"/>
      <c r="CE290" s="1"/>
      <c r="CF290" s="1"/>
      <c r="CG290" s="1"/>
    </row>
    <row r="291" spans="1:85" ht="15.75" customHeight="1">
      <c r="A291" s="108"/>
      <c r="B291" s="444" t="s">
        <v>632</v>
      </c>
      <c r="C291" s="397" t="s">
        <v>246</v>
      </c>
      <c r="D291" s="86" t="s">
        <v>633</v>
      </c>
      <c r="E291" s="45"/>
      <c r="F291" s="46"/>
      <c r="G291" s="46">
        <f>E291-F291</f>
        <v>0</v>
      </c>
      <c r="H291" s="46">
        <v>0</v>
      </c>
      <c r="I291" s="47">
        <f>IF(G291&gt;0,K291/G291,0)</f>
        <v>0</v>
      </c>
      <c r="J291" s="47">
        <f>IF(G291&gt;0,O291/G291,0)</f>
        <v>0</v>
      </c>
      <c r="K291" s="54"/>
      <c r="L291" s="54">
        <v>89850</v>
      </c>
      <c r="M291" s="54"/>
      <c r="N291" s="54"/>
      <c r="O291" s="51">
        <f t="shared" si="411"/>
        <v>0</v>
      </c>
      <c r="P291" s="51">
        <f t="shared" si="412"/>
        <v>0</v>
      </c>
      <c r="Q291" s="51">
        <f t="shared" si="413"/>
        <v>0</v>
      </c>
      <c r="R291" s="52">
        <f t="shared" si="414"/>
        <v>0</v>
      </c>
      <c r="S291" s="52">
        <f t="shared" si="415"/>
        <v>0</v>
      </c>
      <c r="T291" s="52">
        <f t="shared" si="416"/>
        <v>0</v>
      </c>
      <c r="U291" s="369">
        <f t="shared" si="417"/>
        <v>0</v>
      </c>
      <c r="V291" s="369">
        <f t="shared" si="418"/>
        <v>89850</v>
      </c>
      <c r="W291" s="369">
        <f t="shared" si="419"/>
        <v>0</v>
      </c>
      <c r="X291" s="53">
        <f t="shared" si="406"/>
        <v>0</v>
      </c>
      <c r="Y291" s="53">
        <f t="shared" si="407"/>
        <v>0</v>
      </c>
      <c r="Z291" s="53">
        <f t="shared" si="408"/>
        <v>0</v>
      </c>
      <c r="AA291" s="54"/>
      <c r="AB291" s="54"/>
      <c r="AC291" s="54"/>
      <c r="AD291" s="54"/>
      <c r="AE291" s="55"/>
      <c r="AF291" s="55"/>
      <c r="AG291" s="55"/>
      <c r="AH291" s="55"/>
      <c r="AI291" s="54"/>
      <c r="AJ291" s="54"/>
      <c r="AK291" s="54"/>
      <c r="AL291" s="54"/>
      <c r="AM291" s="54"/>
      <c r="AN291" s="54"/>
      <c r="AO291" s="54"/>
      <c r="AP291" s="54"/>
      <c r="AQ291" s="54"/>
      <c r="AR291" s="54"/>
      <c r="AS291" s="54"/>
      <c r="AT291" s="54"/>
      <c r="AU291" s="54"/>
      <c r="AV291" s="54"/>
      <c r="AW291" s="54"/>
      <c r="AX291" s="54"/>
      <c r="AY291" s="54"/>
      <c r="AZ291" s="54"/>
      <c r="BA291" s="54"/>
      <c r="BB291" s="54"/>
      <c r="BC291" s="54"/>
      <c r="BD291" s="54"/>
      <c r="BE291" s="54"/>
      <c r="BF291" s="54"/>
      <c r="BG291" s="54"/>
      <c r="BH291" s="54"/>
      <c r="BI291" s="54"/>
      <c r="BJ291" s="54"/>
      <c r="BK291" s="54"/>
      <c r="BL291" s="54"/>
      <c r="BM291" s="54"/>
      <c r="BN291" s="54">
        <f t="shared" si="430"/>
        <v>0</v>
      </c>
      <c r="BO291" s="58">
        <f t="shared" si="431"/>
        <v>0</v>
      </c>
      <c r="BP291" s="54">
        <f t="shared" si="432"/>
        <v>0</v>
      </c>
      <c r="BQ291" s="54">
        <f t="shared" si="433"/>
        <v>0</v>
      </c>
      <c r="BR291" s="54">
        <f t="shared" si="434"/>
        <v>0</v>
      </c>
      <c r="BS291" s="54">
        <f t="shared" si="435"/>
        <v>0</v>
      </c>
      <c r="BT291" s="54">
        <f t="shared" si="436"/>
        <v>89850</v>
      </c>
      <c r="BU291" s="54">
        <f t="shared" si="437"/>
        <v>0</v>
      </c>
      <c r="BV291" s="54">
        <f t="shared" si="438"/>
        <v>0</v>
      </c>
      <c r="BW291" s="54">
        <f t="shared" si="439"/>
        <v>89850</v>
      </c>
      <c r="BX291" s="1"/>
      <c r="BY291" s="1"/>
      <c r="BZ291" s="1"/>
      <c r="CA291" s="1"/>
      <c r="CB291" s="1"/>
      <c r="CC291" s="1"/>
      <c r="CD291" s="1"/>
      <c r="CE291" s="1"/>
      <c r="CF291" s="1"/>
      <c r="CG291" s="1"/>
    </row>
    <row r="292" spans="1:85" ht="15.75" customHeight="1">
      <c r="A292" s="81"/>
      <c r="B292" s="429" t="s">
        <v>634</v>
      </c>
      <c r="C292" s="394" t="s">
        <v>276</v>
      </c>
      <c r="D292" s="44" t="s">
        <v>635</v>
      </c>
      <c r="E292" s="45"/>
      <c r="F292" s="46"/>
      <c r="G292" s="46">
        <f>E292-F292</f>
        <v>0</v>
      </c>
      <c r="H292" s="46">
        <v>110000</v>
      </c>
      <c r="I292" s="47">
        <f>IF(G292&gt;0,K292/G292,0)</f>
        <v>0</v>
      </c>
      <c r="J292" s="47">
        <f>IF(G292&gt;0,O292/G292,0)</f>
        <v>0</v>
      </c>
      <c r="K292" s="54"/>
      <c r="L292" s="54">
        <v>102194.39</v>
      </c>
      <c r="M292" s="54"/>
      <c r="N292" s="49"/>
      <c r="O292" s="51">
        <f t="shared" si="411"/>
        <v>0</v>
      </c>
      <c r="P292" s="51">
        <f t="shared" si="412"/>
        <v>102194.39</v>
      </c>
      <c r="Q292" s="51">
        <f t="shared" si="413"/>
        <v>0</v>
      </c>
      <c r="R292" s="52">
        <f t="shared" si="414"/>
        <v>0</v>
      </c>
      <c r="S292" s="52">
        <f t="shared" si="415"/>
        <v>102194.39</v>
      </c>
      <c r="T292" s="52">
        <f t="shared" si="416"/>
        <v>0</v>
      </c>
      <c r="U292" s="369">
        <f t="shared" si="417"/>
        <v>0</v>
      </c>
      <c r="V292" s="369">
        <f t="shared" si="418"/>
        <v>0</v>
      </c>
      <c r="W292" s="369">
        <f t="shared" si="419"/>
        <v>0</v>
      </c>
      <c r="X292" s="53">
        <f t="shared" si="406"/>
        <v>0</v>
      </c>
      <c r="Y292" s="53">
        <f t="shared" si="407"/>
        <v>1</v>
      </c>
      <c r="Z292" s="53">
        <f t="shared" si="408"/>
        <v>0</v>
      </c>
      <c r="AA292" s="54"/>
      <c r="AB292" s="54"/>
      <c r="AC292" s="54"/>
      <c r="AD292" s="54"/>
      <c r="AE292" s="55"/>
      <c r="AF292" s="55"/>
      <c r="AG292" s="55"/>
      <c r="AH292" s="55"/>
      <c r="AI292" s="54"/>
      <c r="AJ292" s="54"/>
      <c r="AK292" s="54">
        <f>60207.32+3231.18</f>
        <v>63438.5</v>
      </c>
      <c r="AL292" s="54"/>
      <c r="AM292" s="54"/>
      <c r="AN292" s="54"/>
      <c r="AO292" s="54"/>
      <c r="AP292" s="54"/>
      <c r="AQ292" s="54">
        <f>2810.07+35945.82</f>
        <v>38755.89</v>
      </c>
      <c r="AR292" s="54"/>
      <c r="AS292" s="54"/>
      <c r="AT292" s="54"/>
      <c r="AU292" s="54"/>
      <c r="AV292" s="54"/>
      <c r="AW292" s="54"/>
      <c r="AX292" s="54"/>
      <c r="AY292" s="54"/>
      <c r="AZ292" s="54"/>
      <c r="BA292" s="54"/>
      <c r="BB292" s="54"/>
      <c r="BC292" s="54"/>
      <c r="BD292" s="54"/>
      <c r="BE292" s="54"/>
      <c r="BF292" s="54"/>
      <c r="BG292" s="54"/>
      <c r="BH292" s="54"/>
      <c r="BI292" s="54"/>
      <c r="BJ292" s="54"/>
      <c r="BK292" s="54"/>
      <c r="BL292" s="54"/>
      <c r="BM292" s="54"/>
      <c r="BN292" s="54">
        <f t="shared" si="430"/>
        <v>0</v>
      </c>
      <c r="BO292" s="58">
        <f t="shared" si="431"/>
        <v>0</v>
      </c>
      <c r="BP292" s="54">
        <f t="shared" si="432"/>
        <v>0</v>
      </c>
      <c r="BQ292" s="54">
        <f t="shared" si="433"/>
        <v>0</v>
      </c>
      <c r="BR292" s="54">
        <f t="shared" si="434"/>
        <v>0</v>
      </c>
      <c r="BS292" s="54">
        <f t="shared" si="435"/>
        <v>0</v>
      </c>
      <c r="BT292" s="54">
        <f t="shared" si="436"/>
        <v>0</v>
      </c>
      <c r="BU292" s="54">
        <f t="shared" si="437"/>
        <v>0</v>
      </c>
      <c r="BV292" s="54">
        <f t="shared" si="438"/>
        <v>0</v>
      </c>
      <c r="BW292" s="54">
        <f t="shared" si="439"/>
        <v>0</v>
      </c>
      <c r="BX292" s="1"/>
      <c r="BY292" s="1"/>
      <c r="BZ292" s="1"/>
      <c r="CA292" s="1"/>
      <c r="CB292" s="1"/>
      <c r="CC292" s="1"/>
      <c r="CD292" s="1"/>
      <c r="CE292" s="1"/>
      <c r="CF292" s="1"/>
      <c r="CG292" s="1"/>
    </row>
    <row r="293" spans="1:85" ht="15.75" customHeight="1">
      <c r="A293" s="106" t="s">
        <v>636</v>
      </c>
      <c r="B293" s="429"/>
      <c r="C293" s="394" t="s">
        <v>276</v>
      </c>
      <c r="D293" s="44" t="s">
        <v>637</v>
      </c>
      <c r="E293" s="45"/>
      <c r="F293" s="46"/>
      <c r="G293" s="46">
        <f>E293-F293</f>
        <v>0</v>
      </c>
      <c r="H293" s="46"/>
      <c r="I293" s="47">
        <f>IF(G293&gt;0,K293/G293,0)</f>
        <v>0</v>
      </c>
      <c r="J293" s="47">
        <f>IF(G293&gt;0,O293/G293,0)</f>
        <v>0</v>
      </c>
      <c r="K293" s="54"/>
      <c r="L293" s="54"/>
      <c r="M293" s="54"/>
      <c r="N293" s="161">
        <f>110000-29100.03-4801.63-10059.11-37583.45</f>
        <v>28455.78</v>
      </c>
      <c r="O293" s="51">
        <f t="shared" si="411"/>
        <v>0</v>
      </c>
      <c r="P293" s="51">
        <f t="shared" si="412"/>
        <v>0</v>
      </c>
      <c r="Q293" s="51">
        <f t="shared" si="413"/>
        <v>28455.78</v>
      </c>
      <c r="R293" s="52">
        <f t="shared" si="414"/>
        <v>0</v>
      </c>
      <c r="S293" s="52">
        <f t="shared" si="415"/>
        <v>0</v>
      </c>
      <c r="T293" s="52">
        <f t="shared" si="416"/>
        <v>28455.78</v>
      </c>
      <c r="U293" s="369">
        <f t="shared" si="417"/>
        <v>0</v>
      </c>
      <c r="V293" s="369">
        <f t="shared" si="418"/>
        <v>0</v>
      </c>
      <c r="W293" s="368">
        <f t="shared" si="419"/>
        <v>0</v>
      </c>
      <c r="X293" s="53">
        <f t="shared" si="406"/>
        <v>0</v>
      </c>
      <c r="Y293" s="53">
        <f t="shared" si="407"/>
        <v>0</v>
      </c>
      <c r="Z293" s="53">
        <f t="shared" si="408"/>
        <v>1</v>
      </c>
      <c r="AA293" s="54"/>
      <c r="AB293" s="48"/>
      <c r="AC293" s="54"/>
      <c r="AD293" s="54"/>
      <c r="AE293" s="55"/>
      <c r="AF293" s="55"/>
      <c r="AG293" s="55"/>
      <c r="AH293" s="76"/>
      <c r="AI293" s="54"/>
      <c r="AJ293" s="54"/>
      <c r="AK293" s="54"/>
      <c r="AL293" s="54"/>
      <c r="AM293" s="54"/>
      <c r="AN293" s="54"/>
      <c r="AO293" s="54"/>
      <c r="AP293" s="54"/>
      <c r="AQ293" s="54"/>
      <c r="AR293" s="54"/>
      <c r="AS293" s="54"/>
      <c r="AT293" s="54"/>
      <c r="AU293" s="54"/>
      <c r="AV293" s="54"/>
      <c r="AW293" s="54"/>
      <c r="AX293" s="54">
        <f>28445.78+10</f>
        <v>28455.78</v>
      </c>
      <c r="AY293" s="54"/>
      <c r="AZ293" s="54"/>
      <c r="BA293" s="54"/>
      <c r="BB293" s="54"/>
      <c r="BC293" s="54"/>
      <c r="BD293" s="54"/>
      <c r="BE293" s="54"/>
      <c r="BF293" s="54"/>
      <c r="BG293" s="54"/>
      <c r="BH293" s="54"/>
      <c r="BI293" s="54"/>
      <c r="BJ293" s="54"/>
      <c r="BK293" s="54"/>
      <c r="BL293" s="54"/>
      <c r="BM293" s="54"/>
      <c r="BN293" s="54">
        <f t="shared" si="430"/>
        <v>0</v>
      </c>
      <c r="BO293" s="58">
        <f t="shared" si="431"/>
        <v>28455.78</v>
      </c>
      <c r="BP293" s="54">
        <f t="shared" si="432"/>
        <v>28455.78</v>
      </c>
      <c r="BQ293" s="54">
        <f t="shared" si="433"/>
        <v>0</v>
      </c>
      <c r="BR293" s="54">
        <f t="shared" si="434"/>
        <v>0</v>
      </c>
      <c r="BS293" s="54">
        <f t="shared" si="435"/>
        <v>0</v>
      </c>
      <c r="BT293" s="54">
        <f t="shared" si="436"/>
        <v>0</v>
      </c>
      <c r="BU293" s="54">
        <f t="shared" si="437"/>
        <v>28455.78</v>
      </c>
      <c r="BV293" s="54">
        <f t="shared" si="438"/>
        <v>0</v>
      </c>
      <c r="BW293" s="54">
        <f t="shared" si="439"/>
        <v>28455.78</v>
      </c>
      <c r="BX293" s="1"/>
      <c r="BY293" s="1"/>
      <c r="BZ293" s="1"/>
      <c r="CA293" s="1"/>
      <c r="CB293" s="1"/>
      <c r="CC293" s="1"/>
      <c r="CD293" s="1"/>
      <c r="CE293" s="1"/>
      <c r="CF293" s="1"/>
      <c r="CG293" s="1"/>
    </row>
    <row r="294" spans="1:85" ht="15.75" customHeight="1">
      <c r="A294" s="106" t="s">
        <v>638</v>
      </c>
      <c r="B294" s="429"/>
      <c r="C294" s="394" t="s">
        <v>290</v>
      </c>
      <c r="D294" s="73" t="s">
        <v>417</v>
      </c>
      <c r="E294" s="45"/>
      <c r="F294" s="46"/>
      <c r="G294" s="46"/>
      <c r="H294" s="46"/>
      <c r="I294" s="47"/>
      <c r="J294" s="47"/>
      <c r="K294" s="48">
        <v>7750</v>
      </c>
      <c r="L294" s="54"/>
      <c r="M294" s="54"/>
      <c r="N294" s="49"/>
      <c r="O294" s="51">
        <f t="shared" si="411"/>
        <v>0</v>
      </c>
      <c r="P294" s="51">
        <f t="shared" si="412"/>
        <v>0</v>
      </c>
      <c r="Q294" s="51">
        <f t="shared" si="413"/>
        <v>0</v>
      </c>
      <c r="R294" s="52">
        <f t="shared" si="414"/>
        <v>0</v>
      </c>
      <c r="S294" s="52">
        <f t="shared" si="415"/>
        <v>0</v>
      </c>
      <c r="T294" s="52">
        <f t="shared" si="416"/>
        <v>0</v>
      </c>
      <c r="U294" s="369">
        <f t="shared" si="417"/>
        <v>7750</v>
      </c>
      <c r="V294" s="369">
        <f t="shared" si="418"/>
        <v>0</v>
      </c>
      <c r="W294" s="368">
        <f t="shared" si="419"/>
        <v>0</v>
      </c>
      <c r="X294" s="53">
        <f t="shared" si="406"/>
        <v>0</v>
      </c>
      <c r="Y294" s="53">
        <f t="shared" si="407"/>
        <v>0</v>
      </c>
      <c r="Z294" s="53">
        <f t="shared" si="408"/>
        <v>0</v>
      </c>
      <c r="AA294" s="54"/>
      <c r="AB294" s="48"/>
      <c r="AC294" s="54"/>
      <c r="AD294" s="54"/>
      <c r="AE294" s="55"/>
      <c r="AF294" s="55"/>
      <c r="AG294" s="55"/>
      <c r="AH294" s="76"/>
      <c r="AI294" s="54"/>
      <c r="AJ294" s="54"/>
      <c r="AK294" s="54"/>
      <c r="AL294" s="54"/>
      <c r="AM294" s="54"/>
      <c r="AN294" s="54"/>
      <c r="AO294" s="54"/>
      <c r="AP294" s="54"/>
      <c r="AQ294" s="54"/>
      <c r="AR294" s="54"/>
      <c r="AS294" s="54"/>
      <c r="AT294" s="54"/>
      <c r="AU294" s="54"/>
      <c r="AV294" s="54"/>
      <c r="AW294" s="54"/>
      <c r="AX294" s="54"/>
      <c r="AY294" s="54"/>
      <c r="AZ294" s="54"/>
      <c r="BA294" s="54"/>
      <c r="BB294" s="54"/>
      <c r="BC294" s="54"/>
      <c r="BD294" s="54"/>
      <c r="BE294" s="54"/>
      <c r="BF294" s="54"/>
      <c r="BG294" s="54"/>
      <c r="BH294" s="54"/>
      <c r="BI294" s="54"/>
      <c r="BJ294" s="54"/>
      <c r="BK294" s="54"/>
      <c r="BL294" s="54"/>
      <c r="BM294" s="54"/>
      <c r="BN294" s="54">
        <f t="shared" si="430"/>
        <v>0</v>
      </c>
      <c r="BO294" s="58">
        <f t="shared" si="431"/>
        <v>0</v>
      </c>
      <c r="BP294" s="54">
        <f t="shared" si="432"/>
        <v>0</v>
      </c>
      <c r="BQ294" s="54">
        <f t="shared" si="433"/>
        <v>7750</v>
      </c>
      <c r="BR294" s="54">
        <f t="shared" si="434"/>
        <v>0</v>
      </c>
      <c r="BS294" s="54">
        <f t="shared" si="435"/>
        <v>7750</v>
      </c>
      <c r="BT294" s="54">
        <f t="shared" si="436"/>
        <v>0</v>
      </c>
      <c r="BU294" s="54">
        <f t="shared" si="437"/>
        <v>0</v>
      </c>
      <c r="BV294" s="54">
        <f t="shared" si="438"/>
        <v>7750</v>
      </c>
      <c r="BW294" s="54">
        <f t="shared" si="439"/>
        <v>0</v>
      </c>
      <c r="BX294" s="1"/>
      <c r="BY294" s="1"/>
      <c r="BZ294" s="1"/>
      <c r="CA294" s="1"/>
      <c r="CB294" s="1"/>
      <c r="CC294" s="1"/>
      <c r="CD294" s="1"/>
      <c r="CE294" s="1"/>
      <c r="CF294" s="1"/>
      <c r="CG294" s="1"/>
    </row>
    <row r="295" spans="1:85" ht="15.75" customHeight="1">
      <c r="A295" s="181"/>
      <c r="B295" s="429" t="s">
        <v>639</v>
      </c>
      <c r="C295" s="394" t="s">
        <v>640</v>
      </c>
      <c r="D295" s="73" t="s">
        <v>641</v>
      </c>
      <c r="E295" s="45"/>
      <c r="F295" s="46"/>
      <c r="G295" s="46">
        <f t="shared" ref="G295:G301" si="446">E295-F295</f>
        <v>0</v>
      </c>
      <c r="H295" s="46">
        <v>155000</v>
      </c>
      <c r="I295" s="47">
        <f t="shared" ref="I295:I350" si="447">IF(G295&gt;0,K295/G295,0)</f>
        <v>0</v>
      </c>
      <c r="J295" s="47">
        <f t="shared" ref="J295:J350" si="448">IF(G295&gt;0,O295/G295,0)</f>
        <v>0</v>
      </c>
      <c r="K295" s="54"/>
      <c r="L295" s="54">
        <v>15996.51</v>
      </c>
      <c r="M295" s="54"/>
      <c r="N295" s="49"/>
      <c r="O295" s="51">
        <f t="shared" si="411"/>
        <v>0</v>
      </c>
      <c r="P295" s="51">
        <f t="shared" si="412"/>
        <v>15996.51</v>
      </c>
      <c r="Q295" s="51">
        <f t="shared" si="413"/>
        <v>0</v>
      </c>
      <c r="R295" s="52">
        <f t="shared" si="414"/>
        <v>0</v>
      </c>
      <c r="S295" s="52">
        <f t="shared" si="415"/>
        <v>15996.51</v>
      </c>
      <c r="T295" s="52">
        <f t="shared" si="416"/>
        <v>0</v>
      </c>
      <c r="U295" s="369">
        <f t="shared" si="417"/>
        <v>0</v>
      </c>
      <c r="V295" s="369">
        <f t="shared" si="418"/>
        <v>0</v>
      </c>
      <c r="W295" s="369">
        <f t="shared" si="419"/>
        <v>0</v>
      </c>
      <c r="X295" s="53">
        <f t="shared" si="406"/>
        <v>0</v>
      </c>
      <c r="Y295" s="53">
        <f t="shared" si="407"/>
        <v>1</v>
      </c>
      <c r="Z295" s="53">
        <f t="shared" si="408"/>
        <v>0</v>
      </c>
      <c r="AA295" s="54"/>
      <c r="AB295" s="48">
        <v>5931.75</v>
      </c>
      <c r="AC295" s="54"/>
      <c r="AD295" s="54"/>
      <c r="AE295" s="55"/>
      <c r="AF295" s="55"/>
      <c r="AG295" s="55"/>
      <c r="AH295" s="76">
        <v>10064.76</v>
      </c>
      <c r="AI295" s="54"/>
      <c r="AJ295" s="54"/>
      <c r="AK295" s="54"/>
      <c r="AL295" s="54"/>
      <c r="AM295" s="54"/>
      <c r="AN295" s="54"/>
      <c r="AO295" s="54"/>
      <c r="AP295" s="54"/>
      <c r="AQ295" s="54"/>
      <c r="AR295" s="54"/>
      <c r="AS295" s="54"/>
      <c r="AT295" s="54"/>
      <c r="AU295" s="54"/>
      <c r="AV295" s="54"/>
      <c r="AW295" s="54"/>
      <c r="AX295" s="54"/>
      <c r="AY295" s="54"/>
      <c r="AZ295" s="54"/>
      <c r="BA295" s="54"/>
      <c r="BB295" s="54"/>
      <c r="BC295" s="54"/>
      <c r="BD295" s="54"/>
      <c r="BE295" s="54"/>
      <c r="BF295" s="54"/>
      <c r="BG295" s="54"/>
      <c r="BH295" s="54"/>
      <c r="BI295" s="54"/>
      <c r="BJ295" s="54"/>
      <c r="BK295" s="54"/>
      <c r="BL295" s="54"/>
      <c r="BM295" s="54"/>
      <c r="BN295" s="54">
        <f t="shared" si="430"/>
        <v>0</v>
      </c>
      <c r="BO295" s="58">
        <f t="shared" si="431"/>
        <v>0</v>
      </c>
      <c r="BP295" s="54">
        <f t="shared" si="432"/>
        <v>0</v>
      </c>
      <c r="BQ295" s="54">
        <f t="shared" si="433"/>
        <v>0</v>
      </c>
      <c r="BR295" s="54">
        <f t="shared" si="434"/>
        <v>0</v>
      </c>
      <c r="BS295" s="54">
        <f t="shared" si="435"/>
        <v>0</v>
      </c>
      <c r="BT295" s="54">
        <f t="shared" si="436"/>
        <v>0</v>
      </c>
      <c r="BU295" s="54">
        <f t="shared" si="437"/>
        <v>0</v>
      </c>
      <c r="BV295" s="54">
        <f t="shared" si="438"/>
        <v>0</v>
      </c>
      <c r="BW295" s="54">
        <f t="shared" si="439"/>
        <v>0</v>
      </c>
      <c r="BX295" s="1"/>
      <c r="BY295" s="1"/>
      <c r="BZ295" s="1"/>
      <c r="CA295" s="1"/>
      <c r="CB295" s="1"/>
      <c r="CC295" s="1"/>
      <c r="CD295" s="1"/>
      <c r="CE295" s="1"/>
      <c r="CF295" s="1"/>
      <c r="CG295" s="1"/>
    </row>
    <row r="296" spans="1:85" ht="15.75" customHeight="1">
      <c r="A296" s="56"/>
      <c r="B296" s="426"/>
      <c r="C296" s="397"/>
      <c r="D296" s="44" t="s">
        <v>642</v>
      </c>
      <c r="E296" s="45"/>
      <c r="F296" s="46"/>
      <c r="G296" s="46">
        <f t="shared" si="446"/>
        <v>0</v>
      </c>
      <c r="H296" s="46">
        <v>0</v>
      </c>
      <c r="I296" s="47">
        <f t="shared" si="447"/>
        <v>0</v>
      </c>
      <c r="J296" s="47">
        <f t="shared" si="448"/>
        <v>0</v>
      </c>
      <c r="K296" s="54"/>
      <c r="L296" s="49"/>
      <c r="M296" s="54"/>
      <c r="N296" s="49"/>
      <c r="O296" s="51">
        <f t="shared" si="411"/>
        <v>0</v>
      </c>
      <c r="P296" s="51">
        <f t="shared" si="412"/>
        <v>0</v>
      </c>
      <c r="Q296" s="51">
        <f t="shared" si="413"/>
        <v>0</v>
      </c>
      <c r="R296" s="52">
        <f t="shared" si="414"/>
        <v>0</v>
      </c>
      <c r="S296" s="52">
        <f t="shared" si="415"/>
        <v>0</v>
      </c>
      <c r="T296" s="52">
        <f t="shared" si="416"/>
        <v>0</v>
      </c>
      <c r="U296" s="369">
        <f t="shared" si="417"/>
        <v>0</v>
      </c>
      <c r="V296" s="369">
        <f t="shared" si="418"/>
        <v>0</v>
      </c>
      <c r="W296" s="369">
        <f t="shared" si="419"/>
        <v>0</v>
      </c>
      <c r="X296" s="53">
        <f t="shared" si="406"/>
        <v>0</v>
      </c>
      <c r="Y296" s="53">
        <f t="shared" si="407"/>
        <v>0</v>
      </c>
      <c r="Z296" s="53">
        <f t="shared" si="408"/>
        <v>0</v>
      </c>
      <c r="AA296" s="54"/>
      <c r="AB296" s="54"/>
      <c r="AC296" s="54"/>
      <c r="AD296" s="54"/>
      <c r="AE296" s="55"/>
      <c r="AF296" s="55"/>
      <c r="AG296" s="55"/>
      <c r="AH296" s="55"/>
      <c r="AI296" s="54"/>
      <c r="AJ296" s="54"/>
      <c r="AK296" s="54"/>
      <c r="AL296" s="54"/>
      <c r="AM296" s="54"/>
      <c r="AN296" s="54"/>
      <c r="AO296" s="54"/>
      <c r="AP296" s="54"/>
      <c r="AQ296" s="54"/>
      <c r="AR296" s="54"/>
      <c r="AS296" s="54"/>
      <c r="AT296" s="54"/>
      <c r="AU296" s="54"/>
      <c r="AV296" s="54"/>
      <c r="AW296" s="54"/>
      <c r="AX296" s="54"/>
      <c r="AY296" s="54"/>
      <c r="AZ296" s="54"/>
      <c r="BA296" s="54"/>
      <c r="BB296" s="54"/>
      <c r="BC296" s="54"/>
      <c r="BD296" s="54"/>
      <c r="BE296" s="54"/>
      <c r="BF296" s="54"/>
      <c r="BG296" s="54"/>
      <c r="BH296" s="54"/>
      <c r="BI296" s="54"/>
      <c r="BJ296" s="54"/>
      <c r="BK296" s="54"/>
      <c r="BL296" s="54"/>
      <c r="BM296" s="54"/>
      <c r="BN296" s="54">
        <f t="shared" si="430"/>
        <v>0</v>
      </c>
      <c r="BO296" s="58">
        <f t="shared" si="431"/>
        <v>0</v>
      </c>
      <c r="BP296" s="54">
        <f t="shared" si="432"/>
        <v>0</v>
      </c>
      <c r="BQ296" s="54">
        <f t="shared" si="433"/>
        <v>0</v>
      </c>
      <c r="BR296" s="54">
        <f t="shared" si="434"/>
        <v>0</v>
      </c>
      <c r="BS296" s="54">
        <f t="shared" si="435"/>
        <v>0</v>
      </c>
      <c r="BT296" s="54">
        <f t="shared" si="436"/>
        <v>0</v>
      </c>
      <c r="BU296" s="54">
        <f t="shared" si="437"/>
        <v>0</v>
      </c>
      <c r="BV296" s="54">
        <f t="shared" si="438"/>
        <v>0</v>
      </c>
      <c r="BW296" s="54">
        <f t="shared" si="439"/>
        <v>0</v>
      </c>
      <c r="BX296" s="1"/>
      <c r="BY296" s="1"/>
      <c r="BZ296" s="1"/>
      <c r="CA296" s="1"/>
      <c r="CB296" s="1"/>
      <c r="CC296" s="1"/>
      <c r="CD296" s="1"/>
      <c r="CE296" s="1"/>
      <c r="CF296" s="1"/>
      <c r="CG296" s="1"/>
    </row>
    <row r="297" spans="1:85" ht="15.75" customHeight="1">
      <c r="A297" s="43" t="s">
        <v>643</v>
      </c>
      <c r="B297" s="416"/>
      <c r="C297" s="394" t="s">
        <v>127</v>
      </c>
      <c r="D297" s="73" t="s">
        <v>644</v>
      </c>
      <c r="E297" s="45"/>
      <c r="F297" s="46"/>
      <c r="G297" s="46">
        <f t="shared" si="446"/>
        <v>0</v>
      </c>
      <c r="H297" s="46"/>
      <c r="I297" s="47">
        <f t="shared" si="447"/>
        <v>0</v>
      </c>
      <c r="J297" s="47">
        <f t="shared" si="448"/>
        <v>0</v>
      </c>
      <c r="K297" s="48"/>
      <c r="L297" s="54"/>
      <c r="M297" s="54"/>
      <c r="N297" s="48">
        <f>1000+1000</f>
        <v>2000</v>
      </c>
      <c r="O297" s="51">
        <f t="shared" si="411"/>
        <v>0</v>
      </c>
      <c r="P297" s="51">
        <f t="shared" si="412"/>
        <v>0</v>
      </c>
      <c r="Q297" s="51">
        <f t="shared" si="413"/>
        <v>1532.71</v>
      </c>
      <c r="R297" s="52">
        <f t="shared" si="414"/>
        <v>0</v>
      </c>
      <c r="S297" s="52">
        <f t="shared" si="415"/>
        <v>0</v>
      </c>
      <c r="T297" s="52">
        <f t="shared" si="416"/>
        <v>1532.71</v>
      </c>
      <c r="U297" s="369">
        <f t="shared" si="417"/>
        <v>0</v>
      </c>
      <c r="V297" s="369">
        <f t="shared" si="418"/>
        <v>0</v>
      </c>
      <c r="W297" s="368">
        <f t="shared" si="419"/>
        <v>467.28999999999996</v>
      </c>
      <c r="X297" s="53">
        <f t="shared" si="406"/>
        <v>0</v>
      </c>
      <c r="Y297" s="53">
        <f t="shared" si="407"/>
        <v>0</v>
      </c>
      <c r="Z297" s="53">
        <f t="shared" si="408"/>
        <v>0.76635500000000001</v>
      </c>
      <c r="AA297" s="54"/>
      <c r="AB297" s="54"/>
      <c r="AC297" s="54"/>
      <c r="AD297" s="54"/>
      <c r="AE297" s="55"/>
      <c r="AF297" s="55"/>
      <c r="AG297" s="55"/>
      <c r="AH297" s="55"/>
      <c r="AI297" s="48">
        <v>396.52</v>
      </c>
      <c r="AJ297" s="54"/>
      <c r="AK297" s="54"/>
      <c r="AL297" s="54"/>
      <c r="AM297" s="54"/>
      <c r="AN297" s="54"/>
      <c r="AO297" s="48">
        <v>736.19</v>
      </c>
      <c r="AP297" s="54"/>
      <c r="AQ297" s="54"/>
      <c r="AR297" s="54"/>
      <c r="AS297" s="54"/>
      <c r="AT297" s="54"/>
      <c r="AU297" s="54"/>
      <c r="AV297" s="54"/>
      <c r="AW297" s="54"/>
      <c r="AX297" s="54">
        <f>400</f>
        <v>400</v>
      </c>
      <c r="AY297" s="54"/>
      <c r="AZ297" s="54"/>
      <c r="BA297" s="54"/>
      <c r="BB297" s="54"/>
      <c r="BC297" s="54"/>
      <c r="BD297" s="54"/>
      <c r="BE297" s="54"/>
      <c r="BF297" s="54"/>
      <c r="BG297" s="54"/>
      <c r="BH297" s="54"/>
      <c r="BI297" s="54"/>
      <c r="BJ297" s="54"/>
      <c r="BK297" s="54"/>
      <c r="BL297" s="54"/>
      <c r="BM297" s="54"/>
      <c r="BN297" s="54">
        <f t="shared" si="430"/>
        <v>0</v>
      </c>
      <c r="BO297" s="58">
        <f t="shared" si="431"/>
        <v>1532.71</v>
      </c>
      <c r="BP297" s="54">
        <f t="shared" si="432"/>
        <v>1532.71</v>
      </c>
      <c r="BQ297" s="54">
        <f t="shared" si="433"/>
        <v>0</v>
      </c>
      <c r="BR297" s="54">
        <f t="shared" si="434"/>
        <v>467.28999999999996</v>
      </c>
      <c r="BS297" s="54">
        <f t="shared" si="435"/>
        <v>467.28999999999996</v>
      </c>
      <c r="BT297" s="54">
        <f t="shared" si="436"/>
        <v>0</v>
      </c>
      <c r="BU297" s="54">
        <f t="shared" si="437"/>
        <v>1532.71</v>
      </c>
      <c r="BV297" s="54">
        <f t="shared" si="438"/>
        <v>467.28999999999996</v>
      </c>
      <c r="BW297" s="54">
        <f t="shared" si="439"/>
        <v>1532.71</v>
      </c>
      <c r="BX297" s="1"/>
      <c r="BY297" s="1"/>
      <c r="BZ297" s="1"/>
      <c r="CA297" s="1"/>
      <c r="CB297" s="1"/>
      <c r="CC297" s="1"/>
      <c r="CD297" s="1"/>
      <c r="CE297" s="1"/>
      <c r="CF297" s="1"/>
      <c r="CG297" s="1"/>
    </row>
    <row r="298" spans="1:85" ht="15.75" customHeight="1">
      <c r="A298" s="56"/>
      <c r="B298" s="426"/>
      <c r="C298" s="397" t="s">
        <v>645</v>
      </c>
      <c r="D298" s="86" t="s">
        <v>646</v>
      </c>
      <c r="E298" s="45"/>
      <c r="F298" s="46"/>
      <c r="G298" s="46">
        <f t="shared" si="446"/>
        <v>0</v>
      </c>
      <c r="H298" s="46">
        <v>200000</v>
      </c>
      <c r="I298" s="47">
        <f t="shared" si="447"/>
        <v>0</v>
      </c>
      <c r="J298" s="47">
        <f t="shared" si="448"/>
        <v>0</v>
      </c>
      <c r="K298" s="54"/>
      <c r="L298" s="49"/>
      <c r="M298" s="54"/>
      <c r="N298" s="49"/>
      <c r="O298" s="51">
        <f t="shared" si="411"/>
        <v>0</v>
      </c>
      <c r="P298" s="51">
        <f t="shared" si="412"/>
        <v>0</v>
      </c>
      <c r="Q298" s="51">
        <f t="shared" si="413"/>
        <v>0</v>
      </c>
      <c r="R298" s="52">
        <f t="shared" si="414"/>
        <v>0</v>
      </c>
      <c r="S298" s="52">
        <f t="shared" si="415"/>
        <v>0</v>
      </c>
      <c r="T298" s="52">
        <f t="shared" si="416"/>
        <v>0</v>
      </c>
      <c r="U298" s="369">
        <f t="shared" si="417"/>
        <v>0</v>
      </c>
      <c r="V298" s="369">
        <f t="shared" si="418"/>
        <v>0</v>
      </c>
      <c r="W298" s="369">
        <f t="shared" si="419"/>
        <v>0</v>
      </c>
      <c r="X298" s="53">
        <f t="shared" si="406"/>
        <v>0</v>
      </c>
      <c r="Y298" s="53">
        <f t="shared" si="407"/>
        <v>0</v>
      </c>
      <c r="Z298" s="53">
        <f t="shared" si="408"/>
        <v>0</v>
      </c>
      <c r="AA298" s="54"/>
      <c r="AB298" s="54"/>
      <c r="AC298" s="54"/>
      <c r="AD298" s="54"/>
      <c r="AE298" s="55"/>
      <c r="AF298" s="55"/>
      <c r="AG298" s="55"/>
      <c r="AH298" s="55"/>
      <c r="AI298" s="54"/>
      <c r="AJ298" s="54"/>
      <c r="AK298" s="54"/>
      <c r="AL298" s="54"/>
      <c r="AM298" s="54"/>
      <c r="AN298" s="54"/>
      <c r="AO298" s="54"/>
      <c r="AP298" s="54"/>
      <c r="AQ298" s="54"/>
      <c r="AR298" s="54"/>
      <c r="AS298" s="54"/>
      <c r="AT298" s="54"/>
      <c r="AU298" s="54"/>
      <c r="AV298" s="54"/>
      <c r="AW298" s="54"/>
      <c r="AX298" s="54"/>
      <c r="AY298" s="54"/>
      <c r="AZ298" s="54"/>
      <c r="BA298" s="54"/>
      <c r="BB298" s="54"/>
      <c r="BC298" s="54"/>
      <c r="BD298" s="54"/>
      <c r="BE298" s="54"/>
      <c r="BF298" s="54"/>
      <c r="BG298" s="54"/>
      <c r="BH298" s="54"/>
      <c r="BI298" s="54"/>
      <c r="BJ298" s="54"/>
      <c r="BK298" s="54"/>
      <c r="BL298" s="54"/>
      <c r="BM298" s="54"/>
      <c r="BN298" s="54">
        <f t="shared" si="430"/>
        <v>0</v>
      </c>
      <c r="BO298" s="58">
        <f t="shared" si="431"/>
        <v>0</v>
      </c>
      <c r="BP298" s="54">
        <f t="shared" si="432"/>
        <v>0</v>
      </c>
      <c r="BQ298" s="54">
        <f t="shared" si="433"/>
        <v>0</v>
      </c>
      <c r="BR298" s="54">
        <f t="shared" si="434"/>
        <v>0</v>
      </c>
      <c r="BS298" s="54">
        <f t="shared" si="435"/>
        <v>0</v>
      </c>
      <c r="BT298" s="54">
        <f t="shared" si="436"/>
        <v>0</v>
      </c>
      <c r="BU298" s="54">
        <f t="shared" si="437"/>
        <v>0</v>
      </c>
      <c r="BV298" s="54">
        <f t="shared" si="438"/>
        <v>0</v>
      </c>
      <c r="BW298" s="54">
        <f t="shared" si="439"/>
        <v>0</v>
      </c>
      <c r="BX298" s="1"/>
      <c r="BY298" s="1"/>
      <c r="BZ298" s="1"/>
      <c r="CA298" s="1"/>
      <c r="CB298" s="1"/>
      <c r="CC298" s="1"/>
      <c r="CD298" s="1"/>
      <c r="CE298" s="1"/>
      <c r="CF298" s="1"/>
      <c r="CG298" s="1"/>
    </row>
    <row r="299" spans="1:85" ht="15.75" customHeight="1">
      <c r="A299" s="56"/>
      <c r="B299" s="426" t="s">
        <v>647</v>
      </c>
      <c r="C299" s="459" t="s">
        <v>348</v>
      </c>
      <c r="D299" s="86" t="s">
        <v>648</v>
      </c>
      <c r="E299" s="45"/>
      <c r="F299" s="46"/>
      <c r="G299" s="46">
        <f t="shared" si="446"/>
        <v>0</v>
      </c>
      <c r="H299" s="46"/>
      <c r="I299" s="47">
        <f t="shared" si="447"/>
        <v>0</v>
      </c>
      <c r="J299" s="47">
        <f t="shared" si="448"/>
        <v>0</v>
      </c>
      <c r="K299" s="54"/>
      <c r="L299" s="49">
        <v>7913.56</v>
      </c>
      <c r="M299" s="54"/>
      <c r="N299" s="49"/>
      <c r="O299" s="51">
        <f t="shared" si="411"/>
        <v>0</v>
      </c>
      <c r="P299" s="51">
        <f t="shared" si="412"/>
        <v>7913.56</v>
      </c>
      <c r="Q299" s="51">
        <f t="shared" si="413"/>
        <v>0</v>
      </c>
      <c r="R299" s="52">
        <f t="shared" si="414"/>
        <v>0</v>
      </c>
      <c r="S299" s="52">
        <f t="shared" si="415"/>
        <v>7913.56</v>
      </c>
      <c r="T299" s="52">
        <f t="shared" si="416"/>
        <v>0</v>
      </c>
      <c r="U299" s="369">
        <f t="shared" si="417"/>
        <v>0</v>
      </c>
      <c r="V299" s="369">
        <f t="shared" si="418"/>
        <v>0</v>
      </c>
      <c r="W299" s="369">
        <f t="shared" si="419"/>
        <v>0</v>
      </c>
      <c r="X299" s="53">
        <f t="shared" si="406"/>
        <v>0</v>
      </c>
      <c r="Y299" s="53">
        <f t="shared" si="407"/>
        <v>1</v>
      </c>
      <c r="Z299" s="53">
        <f t="shared" si="408"/>
        <v>0</v>
      </c>
      <c r="AA299" s="54"/>
      <c r="AB299" s="54"/>
      <c r="AC299" s="54"/>
      <c r="AD299" s="54"/>
      <c r="AE299" s="55"/>
      <c r="AF299" s="55"/>
      <c r="AG299" s="55"/>
      <c r="AH299" s="76">
        <v>7913.56</v>
      </c>
      <c r="AI299" s="54"/>
      <c r="AJ299" s="54"/>
      <c r="AK299" s="54"/>
      <c r="AL299" s="54"/>
      <c r="AM299" s="54"/>
      <c r="AN299" s="54"/>
      <c r="AO299" s="54"/>
      <c r="AP299" s="54"/>
      <c r="AQ299" s="54"/>
      <c r="AR299" s="54"/>
      <c r="AS299" s="54"/>
      <c r="AT299" s="54"/>
      <c r="AU299" s="54"/>
      <c r="AV299" s="54"/>
      <c r="AW299" s="54"/>
      <c r="AX299" s="54"/>
      <c r="AY299" s="54"/>
      <c r="AZ299" s="54"/>
      <c r="BA299" s="54"/>
      <c r="BB299" s="54"/>
      <c r="BC299" s="54"/>
      <c r="BD299" s="54"/>
      <c r="BE299" s="54"/>
      <c r="BF299" s="54"/>
      <c r="BG299" s="54"/>
      <c r="BH299" s="54"/>
      <c r="BI299" s="54"/>
      <c r="BJ299" s="54"/>
      <c r="BK299" s="54"/>
      <c r="BL299" s="54"/>
      <c r="BM299" s="54"/>
      <c r="BN299" s="54">
        <f t="shared" si="430"/>
        <v>0</v>
      </c>
      <c r="BO299" s="58">
        <f t="shared" si="431"/>
        <v>0</v>
      </c>
      <c r="BP299" s="54">
        <f t="shared" si="432"/>
        <v>0</v>
      </c>
      <c r="BQ299" s="54">
        <f t="shared" si="433"/>
        <v>0</v>
      </c>
      <c r="BR299" s="54">
        <f t="shared" si="434"/>
        <v>0</v>
      </c>
      <c r="BS299" s="54">
        <f t="shared" si="435"/>
        <v>0</v>
      </c>
      <c r="BT299" s="54">
        <f t="shared" si="436"/>
        <v>0</v>
      </c>
      <c r="BU299" s="54">
        <f t="shared" si="437"/>
        <v>0</v>
      </c>
      <c r="BV299" s="54">
        <f t="shared" si="438"/>
        <v>0</v>
      </c>
      <c r="BW299" s="54">
        <f t="shared" si="439"/>
        <v>0</v>
      </c>
      <c r="BX299" s="1"/>
      <c r="BY299" s="1"/>
      <c r="BZ299" s="1"/>
      <c r="CA299" s="1"/>
      <c r="CB299" s="1"/>
      <c r="CC299" s="1"/>
      <c r="CD299" s="1"/>
      <c r="CE299" s="1"/>
      <c r="CF299" s="1"/>
      <c r="CG299" s="1"/>
    </row>
    <row r="300" spans="1:85" ht="15.75" customHeight="1">
      <c r="A300" s="56"/>
      <c r="B300" s="426"/>
      <c r="C300" s="459" t="s">
        <v>348</v>
      </c>
      <c r="D300" s="86" t="s">
        <v>649</v>
      </c>
      <c r="E300" s="45"/>
      <c r="F300" s="46"/>
      <c r="G300" s="46">
        <f t="shared" si="446"/>
        <v>0</v>
      </c>
      <c r="H300" s="46"/>
      <c r="I300" s="47">
        <f t="shared" si="447"/>
        <v>0</v>
      </c>
      <c r="J300" s="47">
        <f t="shared" si="448"/>
        <v>0</v>
      </c>
      <c r="K300" s="54"/>
      <c r="L300" s="49"/>
      <c r="M300" s="54"/>
      <c r="N300" s="49"/>
      <c r="O300" s="51">
        <f t="shared" si="411"/>
        <v>0</v>
      </c>
      <c r="P300" s="51">
        <f t="shared" si="412"/>
        <v>0</v>
      </c>
      <c r="Q300" s="51">
        <f t="shared" si="413"/>
        <v>0</v>
      </c>
      <c r="R300" s="52">
        <f t="shared" si="414"/>
        <v>0</v>
      </c>
      <c r="S300" s="52">
        <f t="shared" si="415"/>
        <v>0</v>
      </c>
      <c r="T300" s="52">
        <f t="shared" si="416"/>
        <v>0</v>
      </c>
      <c r="U300" s="369">
        <f t="shared" si="417"/>
        <v>0</v>
      </c>
      <c r="V300" s="369">
        <f t="shared" si="418"/>
        <v>0</v>
      </c>
      <c r="W300" s="369">
        <f t="shared" si="419"/>
        <v>0</v>
      </c>
      <c r="X300" s="53">
        <f t="shared" si="406"/>
        <v>0</v>
      </c>
      <c r="Y300" s="53">
        <f t="shared" si="407"/>
        <v>0</v>
      </c>
      <c r="Z300" s="53">
        <f t="shared" si="408"/>
        <v>0</v>
      </c>
      <c r="AA300" s="54"/>
      <c r="AB300" s="54"/>
      <c r="AC300" s="54"/>
      <c r="AD300" s="54"/>
      <c r="AE300" s="55"/>
      <c r="AF300" s="55"/>
      <c r="AG300" s="55"/>
      <c r="AH300" s="55"/>
      <c r="AI300" s="54"/>
      <c r="AJ300" s="54"/>
      <c r="AK300" s="54"/>
      <c r="AL300" s="54"/>
      <c r="AM300" s="54"/>
      <c r="AN300" s="54"/>
      <c r="AO300" s="54"/>
      <c r="AP300" s="54"/>
      <c r="AQ300" s="54"/>
      <c r="AR300" s="54"/>
      <c r="AS300" s="54"/>
      <c r="AT300" s="54"/>
      <c r="AU300" s="54"/>
      <c r="AV300" s="54"/>
      <c r="AW300" s="54"/>
      <c r="AX300" s="54"/>
      <c r="AY300" s="54"/>
      <c r="AZ300" s="54"/>
      <c r="BA300" s="54"/>
      <c r="BB300" s="54"/>
      <c r="BC300" s="54"/>
      <c r="BD300" s="54"/>
      <c r="BE300" s="54"/>
      <c r="BF300" s="54"/>
      <c r="BG300" s="54"/>
      <c r="BH300" s="54"/>
      <c r="BI300" s="54"/>
      <c r="BJ300" s="54"/>
      <c r="BK300" s="54"/>
      <c r="BL300" s="54"/>
      <c r="BM300" s="54"/>
      <c r="BN300" s="54">
        <f t="shared" si="430"/>
        <v>0</v>
      </c>
      <c r="BO300" s="58">
        <f t="shared" si="431"/>
        <v>0</v>
      </c>
      <c r="BP300" s="54">
        <f t="shared" si="432"/>
        <v>0</v>
      </c>
      <c r="BQ300" s="54">
        <f t="shared" si="433"/>
        <v>0</v>
      </c>
      <c r="BR300" s="54">
        <f t="shared" si="434"/>
        <v>0</v>
      </c>
      <c r="BS300" s="54">
        <f t="shared" si="435"/>
        <v>0</v>
      </c>
      <c r="BT300" s="54">
        <f t="shared" si="436"/>
        <v>0</v>
      </c>
      <c r="BU300" s="54">
        <f t="shared" si="437"/>
        <v>0</v>
      </c>
      <c r="BV300" s="54">
        <f t="shared" si="438"/>
        <v>0</v>
      </c>
      <c r="BW300" s="54">
        <f t="shared" si="439"/>
        <v>0</v>
      </c>
      <c r="BX300" s="1"/>
      <c r="BY300" s="1"/>
      <c r="BZ300" s="1"/>
      <c r="CA300" s="1"/>
      <c r="CB300" s="1"/>
      <c r="CC300" s="1"/>
      <c r="CD300" s="1"/>
      <c r="CE300" s="1"/>
      <c r="CF300" s="1"/>
      <c r="CG300" s="1"/>
    </row>
    <row r="301" spans="1:85" ht="15.75" customHeight="1">
      <c r="A301" s="56"/>
      <c r="B301" s="426"/>
      <c r="C301" s="459" t="s">
        <v>348</v>
      </c>
      <c r="D301" s="86" t="s">
        <v>649</v>
      </c>
      <c r="E301" s="45"/>
      <c r="F301" s="46"/>
      <c r="G301" s="46">
        <f t="shared" si="446"/>
        <v>0</v>
      </c>
      <c r="H301" s="46"/>
      <c r="I301" s="47">
        <f t="shared" si="447"/>
        <v>0</v>
      </c>
      <c r="J301" s="47">
        <f t="shared" si="448"/>
        <v>0</v>
      </c>
      <c r="K301" s="54"/>
      <c r="L301" s="49"/>
      <c r="M301" s="54"/>
      <c r="N301" s="49"/>
      <c r="O301" s="51">
        <f t="shared" si="411"/>
        <v>0</v>
      </c>
      <c r="P301" s="51">
        <f t="shared" si="412"/>
        <v>0</v>
      </c>
      <c r="Q301" s="51">
        <f t="shared" si="413"/>
        <v>0</v>
      </c>
      <c r="R301" s="52">
        <f t="shared" si="414"/>
        <v>0</v>
      </c>
      <c r="S301" s="52">
        <f t="shared" si="415"/>
        <v>0</v>
      </c>
      <c r="T301" s="52">
        <f t="shared" si="416"/>
        <v>0</v>
      </c>
      <c r="U301" s="369">
        <f t="shared" si="417"/>
        <v>0</v>
      </c>
      <c r="V301" s="369">
        <f t="shared" si="418"/>
        <v>0</v>
      </c>
      <c r="W301" s="369">
        <f t="shared" si="419"/>
        <v>0</v>
      </c>
      <c r="X301" s="53">
        <f t="shared" si="406"/>
        <v>0</v>
      </c>
      <c r="Y301" s="53">
        <f t="shared" si="407"/>
        <v>0</v>
      </c>
      <c r="Z301" s="53">
        <f t="shared" si="408"/>
        <v>0</v>
      </c>
      <c r="AA301" s="54"/>
      <c r="AB301" s="54"/>
      <c r="AC301" s="54"/>
      <c r="AD301" s="54"/>
      <c r="AE301" s="55"/>
      <c r="AF301" s="55"/>
      <c r="AG301" s="55"/>
      <c r="AH301" s="55"/>
      <c r="AI301" s="54"/>
      <c r="AJ301" s="54"/>
      <c r="AK301" s="54"/>
      <c r="AL301" s="54"/>
      <c r="AM301" s="54"/>
      <c r="AN301" s="54"/>
      <c r="AO301" s="54"/>
      <c r="AP301" s="54"/>
      <c r="AQ301" s="54"/>
      <c r="AR301" s="54"/>
      <c r="AS301" s="54"/>
      <c r="AT301" s="54"/>
      <c r="AU301" s="54"/>
      <c r="AV301" s="54"/>
      <c r="AW301" s="54"/>
      <c r="AX301" s="54"/>
      <c r="AY301" s="54"/>
      <c r="AZ301" s="54"/>
      <c r="BA301" s="54"/>
      <c r="BB301" s="54"/>
      <c r="BC301" s="54"/>
      <c r="BD301" s="54"/>
      <c r="BE301" s="54"/>
      <c r="BF301" s="54"/>
      <c r="BG301" s="54"/>
      <c r="BH301" s="54"/>
      <c r="BI301" s="54"/>
      <c r="BJ301" s="54"/>
      <c r="BK301" s="54"/>
      <c r="BL301" s="54"/>
      <c r="BM301" s="54"/>
      <c r="BN301" s="54">
        <f t="shared" si="430"/>
        <v>0</v>
      </c>
      <c r="BO301" s="58">
        <f t="shared" si="431"/>
        <v>0</v>
      </c>
      <c r="BP301" s="54">
        <f t="shared" si="432"/>
        <v>0</v>
      </c>
      <c r="BQ301" s="54">
        <f t="shared" si="433"/>
        <v>0</v>
      </c>
      <c r="BR301" s="54">
        <f t="shared" si="434"/>
        <v>0</v>
      </c>
      <c r="BS301" s="54">
        <f t="shared" si="435"/>
        <v>0</v>
      </c>
      <c r="BT301" s="54">
        <f t="shared" si="436"/>
        <v>0</v>
      </c>
      <c r="BU301" s="54">
        <f t="shared" si="437"/>
        <v>0</v>
      </c>
      <c r="BV301" s="54">
        <f t="shared" si="438"/>
        <v>0</v>
      </c>
      <c r="BW301" s="54">
        <f t="shared" si="439"/>
        <v>0</v>
      </c>
      <c r="BX301" s="1"/>
      <c r="BY301" s="1"/>
      <c r="BZ301" s="1"/>
      <c r="CA301" s="1"/>
      <c r="CB301" s="1"/>
      <c r="CC301" s="1"/>
      <c r="CD301" s="1"/>
      <c r="CE301" s="1"/>
      <c r="CF301" s="1"/>
      <c r="CG301" s="1"/>
    </row>
    <row r="302" spans="1:85" ht="15.75" customHeight="1">
      <c r="A302" s="182"/>
      <c r="B302" s="446"/>
      <c r="C302" s="404"/>
      <c r="D302" s="183" t="s">
        <v>650</v>
      </c>
      <c r="E302" s="184">
        <f>SUM(E303:E320)</f>
        <v>0</v>
      </c>
      <c r="F302" s="185">
        <f>SUM(F303:F320)</f>
        <v>0</v>
      </c>
      <c r="G302" s="185">
        <f>SUM(G303:G320)</f>
        <v>0</v>
      </c>
      <c r="H302" s="185">
        <f>SUM(H303:H320)</f>
        <v>0</v>
      </c>
      <c r="I302" s="114">
        <f t="shared" si="447"/>
        <v>0</v>
      </c>
      <c r="J302" s="114">
        <f t="shared" si="448"/>
        <v>0</v>
      </c>
      <c r="K302" s="185">
        <f t="shared" ref="K302:W302" si="449">SUM(K303:K320)</f>
        <v>0</v>
      </c>
      <c r="L302" s="185">
        <f t="shared" si="449"/>
        <v>228990</v>
      </c>
      <c r="M302" s="185">
        <f t="shared" si="449"/>
        <v>0.01</v>
      </c>
      <c r="N302" s="185">
        <f t="shared" si="449"/>
        <v>132858.5</v>
      </c>
      <c r="O302" s="185">
        <f t="shared" si="449"/>
        <v>0</v>
      </c>
      <c r="P302" s="185">
        <f t="shared" si="449"/>
        <v>153490.64000000001</v>
      </c>
      <c r="Q302" s="185">
        <f t="shared" si="449"/>
        <v>115604.6</v>
      </c>
      <c r="R302" s="185">
        <f t="shared" si="449"/>
        <v>0</v>
      </c>
      <c r="S302" s="185">
        <f t="shared" si="449"/>
        <v>153490.64000000001</v>
      </c>
      <c r="T302" s="185">
        <f t="shared" si="449"/>
        <v>115604.6</v>
      </c>
      <c r="U302" s="376">
        <f t="shared" si="449"/>
        <v>0</v>
      </c>
      <c r="V302" s="376">
        <f t="shared" si="449"/>
        <v>75499.350000000006</v>
      </c>
      <c r="W302" s="376">
        <f t="shared" si="449"/>
        <v>17253.900000000001</v>
      </c>
      <c r="X302" s="115">
        <f t="shared" si="406"/>
        <v>0</v>
      </c>
      <c r="Y302" s="115">
        <f t="shared" si="407"/>
        <v>0.67029407397702967</v>
      </c>
      <c r="Z302" s="115">
        <f t="shared" si="408"/>
        <v>0.87013326207958097</v>
      </c>
      <c r="AA302" s="185">
        <f t="shared" ref="AA302:BW302" si="450">SUM(AA303:AA320)</f>
        <v>0</v>
      </c>
      <c r="AB302" s="185">
        <f t="shared" si="450"/>
        <v>0</v>
      </c>
      <c r="AC302" s="185">
        <f t="shared" si="450"/>
        <v>0</v>
      </c>
      <c r="AD302" s="185">
        <f t="shared" si="450"/>
        <v>0</v>
      </c>
      <c r="AE302" s="185">
        <f t="shared" si="450"/>
        <v>10952.04</v>
      </c>
      <c r="AF302" s="185">
        <f t="shared" si="450"/>
        <v>0</v>
      </c>
      <c r="AG302" s="185">
        <f t="shared" si="450"/>
        <v>0</v>
      </c>
      <c r="AH302" s="185">
        <f t="shared" si="450"/>
        <v>10336.6</v>
      </c>
      <c r="AI302" s="185">
        <f t="shared" si="450"/>
        <v>0</v>
      </c>
      <c r="AJ302" s="185">
        <f t="shared" si="450"/>
        <v>0</v>
      </c>
      <c r="AK302" s="185">
        <f t="shared" si="450"/>
        <v>44781.74</v>
      </c>
      <c r="AL302" s="185">
        <f t="shared" si="450"/>
        <v>9540.2999999999993</v>
      </c>
      <c r="AM302" s="185">
        <f t="shared" si="450"/>
        <v>0</v>
      </c>
      <c r="AN302" s="185">
        <f t="shared" si="450"/>
        <v>3682.2</v>
      </c>
      <c r="AO302" s="185">
        <f t="shared" si="450"/>
        <v>15795.2</v>
      </c>
      <c r="AP302" s="185">
        <f t="shared" si="450"/>
        <v>0</v>
      </c>
      <c r="AQ302" s="185">
        <f t="shared" si="450"/>
        <v>27027.84</v>
      </c>
      <c r="AR302" s="185">
        <f t="shared" si="450"/>
        <v>36619.600000000006</v>
      </c>
      <c r="AS302" s="185">
        <f t="shared" si="450"/>
        <v>0</v>
      </c>
      <c r="AT302" s="185">
        <f t="shared" si="450"/>
        <v>15469.89</v>
      </c>
      <c r="AU302" s="185">
        <f t="shared" si="450"/>
        <v>42131</v>
      </c>
      <c r="AV302" s="185">
        <f t="shared" si="450"/>
        <v>0</v>
      </c>
      <c r="AW302" s="185">
        <f t="shared" si="450"/>
        <v>20577.560000000001</v>
      </c>
      <c r="AX302" s="185">
        <f t="shared" si="450"/>
        <v>10113.5</v>
      </c>
      <c r="AY302" s="185">
        <f t="shared" si="450"/>
        <v>0</v>
      </c>
      <c r="AZ302" s="185">
        <f t="shared" si="450"/>
        <v>20662.77</v>
      </c>
      <c r="BA302" s="185">
        <f t="shared" si="450"/>
        <v>1405</v>
      </c>
      <c r="BB302" s="185">
        <f t="shared" si="450"/>
        <v>0</v>
      </c>
      <c r="BC302" s="185">
        <f t="shared" si="450"/>
        <v>0</v>
      </c>
      <c r="BD302" s="185">
        <f t="shared" si="450"/>
        <v>0</v>
      </c>
      <c r="BE302" s="185">
        <f t="shared" si="450"/>
        <v>0</v>
      </c>
      <c r="BF302" s="185">
        <f t="shared" si="450"/>
        <v>0</v>
      </c>
      <c r="BG302" s="185">
        <f t="shared" si="450"/>
        <v>0</v>
      </c>
      <c r="BH302" s="185">
        <f t="shared" si="450"/>
        <v>0</v>
      </c>
      <c r="BI302" s="185">
        <f t="shared" si="450"/>
        <v>0</v>
      </c>
      <c r="BJ302" s="185">
        <f t="shared" si="450"/>
        <v>0</v>
      </c>
      <c r="BK302" s="185">
        <f t="shared" si="450"/>
        <v>0</v>
      </c>
      <c r="BL302" s="185">
        <f t="shared" si="450"/>
        <v>0</v>
      </c>
      <c r="BM302" s="185">
        <f t="shared" si="450"/>
        <v>0</v>
      </c>
      <c r="BN302" s="185">
        <f t="shared" si="450"/>
        <v>0</v>
      </c>
      <c r="BO302" s="185">
        <f t="shared" si="450"/>
        <v>115604.6</v>
      </c>
      <c r="BP302" s="185">
        <f>SUM(BP303:BP320)</f>
        <v>115604.6</v>
      </c>
      <c r="BQ302" s="185">
        <f t="shared" si="450"/>
        <v>0</v>
      </c>
      <c r="BR302" s="185">
        <f t="shared" si="450"/>
        <v>17253.900000000001</v>
      </c>
      <c r="BS302" s="185">
        <f t="shared" si="450"/>
        <v>17253.900000000001</v>
      </c>
      <c r="BT302" s="185">
        <f t="shared" si="450"/>
        <v>75499.350000000006</v>
      </c>
      <c r="BU302" s="185">
        <f t="shared" si="450"/>
        <v>115604.6</v>
      </c>
      <c r="BV302" s="185">
        <f t="shared" si="450"/>
        <v>17253.900000000001</v>
      </c>
      <c r="BW302" s="185">
        <f t="shared" si="450"/>
        <v>191103.95</v>
      </c>
      <c r="BX302" s="1"/>
      <c r="BY302" s="1"/>
      <c r="BZ302" s="1"/>
      <c r="CA302" s="1"/>
      <c r="CB302" s="1"/>
      <c r="CC302" s="1"/>
      <c r="CD302" s="1"/>
      <c r="CE302" s="1"/>
      <c r="CF302" s="1"/>
      <c r="CG302" s="1"/>
    </row>
    <row r="303" spans="1:85" ht="15.75" customHeight="1">
      <c r="A303" s="56"/>
      <c r="B303" s="426" t="s">
        <v>651</v>
      </c>
      <c r="C303" s="394" t="s">
        <v>652</v>
      </c>
      <c r="D303" s="44" t="s">
        <v>653</v>
      </c>
      <c r="E303" s="45"/>
      <c r="F303" s="46"/>
      <c r="G303" s="46">
        <f t="shared" ref="G303:G320" si="451">E303-F303</f>
        <v>0</v>
      </c>
      <c r="H303" s="46">
        <v>0</v>
      </c>
      <c r="I303" s="47">
        <f t="shared" si="447"/>
        <v>0</v>
      </c>
      <c r="J303" s="47">
        <f t="shared" si="448"/>
        <v>0</v>
      </c>
      <c r="K303" s="54"/>
      <c r="L303" s="54">
        <v>8100.9</v>
      </c>
      <c r="M303" s="54"/>
      <c r="N303" s="54"/>
      <c r="O303" s="51">
        <f t="shared" ref="O303:O320" si="452">AA303+AD303+AG303+AJ303+AM303+AP303+AS303+AV303+AY303+BB303+BE303+BH303</f>
        <v>0</v>
      </c>
      <c r="P303" s="51">
        <f t="shared" ref="P303:P320" si="453">AB303+AE303+AH303+AK303+AN303+AQ303+AT303+AW303+AZ303+BC303+BF303+BI303</f>
        <v>8100.9</v>
      </c>
      <c r="Q303" s="51">
        <f t="shared" ref="Q303:Q320" si="454">AC303+AF303+AI303+AL303+AO303+AR303+AU303+AX303+BA303+BD303+BG303+BJ303</f>
        <v>0</v>
      </c>
      <c r="R303" s="52">
        <f t="shared" ref="R303:R320" si="455">IF(BK303=0,SUM(AA303+AD303+AG303+AJ303+AM303+AP303+AS303+AV303+AY303+BB303+BE303+BH303),BK303)</f>
        <v>0</v>
      </c>
      <c r="S303" s="52">
        <f t="shared" ref="S303:S320" si="456">IF(BL303=0,SUM(AB303+AE303+AH303+AK303+AN303+AQ303+AT303+AW303+AZ303+BC303+BF303+BI303),BL303)</f>
        <v>8100.9</v>
      </c>
      <c r="T303" s="52">
        <f t="shared" ref="T303:T320" si="457">IF(BM303=0,SUM(AC303+AF303+AI303+AL303+AO303+AR303+AU303+AX303+BA303+BD303+BG303+BJ303),BM303)</f>
        <v>0</v>
      </c>
      <c r="U303" s="369">
        <f t="shared" ref="U303:U320" si="458">K303-O303</f>
        <v>0</v>
      </c>
      <c r="V303" s="369">
        <f t="shared" ref="V303:V320" si="459">L303-P303-M303</f>
        <v>0</v>
      </c>
      <c r="W303" s="369">
        <f t="shared" ref="W303:W320" si="460">N303-Q303</f>
        <v>0</v>
      </c>
      <c r="X303" s="53">
        <f t="shared" si="406"/>
        <v>0</v>
      </c>
      <c r="Y303" s="53">
        <f t="shared" si="407"/>
        <v>1</v>
      </c>
      <c r="Z303" s="53">
        <f t="shared" si="408"/>
        <v>0</v>
      </c>
      <c r="AA303" s="54"/>
      <c r="AB303" s="54"/>
      <c r="AC303" s="54"/>
      <c r="AD303" s="54"/>
      <c r="AE303" s="55"/>
      <c r="AF303" s="55"/>
      <c r="AG303" s="55"/>
      <c r="AH303" s="54">
        <f>3440+500+1430</f>
        <v>5370</v>
      </c>
      <c r="AI303" s="54"/>
      <c r="AJ303" s="54"/>
      <c r="AK303" s="54">
        <f>1724.5+1006.4</f>
        <v>2730.9</v>
      </c>
      <c r="AL303" s="54"/>
      <c r="AM303" s="54"/>
      <c r="AN303" s="54"/>
      <c r="AO303" s="54"/>
      <c r="AP303" s="54"/>
      <c r="AQ303" s="54"/>
      <c r="AR303" s="54"/>
      <c r="AS303" s="54"/>
      <c r="AT303" s="54"/>
      <c r="AU303" s="54"/>
      <c r="AV303" s="54"/>
      <c r="AW303" s="54"/>
      <c r="AX303" s="54"/>
      <c r="AY303" s="54"/>
      <c r="AZ303" s="54"/>
      <c r="BA303" s="54"/>
      <c r="BB303" s="54"/>
      <c r="BC303" s="54"/>
      <c r="BD303" s="54"/>
      <c r="BE303" s="54"/>
      <c r="BF303" s="54"/>
      <c r="BG303" s="54"/>
      <c r="BH303" s="54"/>
      <c r="BI303" s="54"/>
      <c r="BJ303" s="54"/>
      <c r="BK303" s="54"/>
      <c r="BL303" s="54"/>
      <c r="BM303" s="54"/>
      <c r="BN303" s="54">
        <f t="shared" ref="BN303" si="461">IF(O303-BK303&gt;0,O303-BK303,0)</f>
        <v>0</v>
      </c>
      <c r="BO303" s="58">
        <f t="shared" ref="BO303" si="462">IF(Q303-BM303&gt;0,Q303-BM303,0)</f>
        <v>0</v>
      </c>
      <c r="BP303" s="54">
        <f t="shared" ref="BP303" si="463">IF(BN303+BO303&gt;0,BN303+BO303,0)</f>
        <v>0</v>
      </c>
      <c r="BQ303" s="54">
        <f t="shared" ref="BQ303" si="464">IF(U303=0,0,U303)</f>
        <v>0</v>
      </c>
      <c r="BR303" s="54">
        <f t="shared" ref="BR303" si="465">IF(W303=0,0,W303)</f>
        <v>0</v>
      </c>
      <c r="BS303" s="54">
        <f t="shared" ref="BS303" si="466">IF(BQ303+BR303&gt;0,BQ303+BR303,0)</f>
        <v>0</v>
      </c>
      <c r="BT303" s="54">
        <f t="shared" ref="BT303" si="467">IF(V303&gt;0,V303,0)</f>
        <v>0</v>
      </c>
      <c r="BU303" s="54">
        <f t="shared" ref="BU303" si="468">IF(BP303=0,0,BP303)</f>
        <v>0</v>
      </c>
      <c r="BV303" s="54">
        <f t="shared" ref="BV303" si="469">IF(BS303=0,0,BS303)</f>
        <v>0</v>
      </c>
      <c r="BW303" s="54">
        <f t="shared" ref="BW303" si="470">IF(BP303+BT303&gt;0,BP303+BT303,0)</f>
        <v>0</v>
      </c>
      <c r="BX303" s="1"/>
      <c r="BY303" s="1"/>
      <c r="BZ303" s="1"/>
      <c r="CA303" s="1"/>
      <c r="CB303" s="1"/>
      <c r="CC303" s="1"/>
      <c r="CD303" s="1"/>
      <c r="CE303" s="1"/>
      <c r="CF303" s="1"/>
      <c r="CG303" s="1"/>
    </row>
    <row r="304" spans="1:85" ht="15.75" customHeight="1">
      <c r="A304" s="56"/>
      <c r="B304" s="426" t="s">
        <v>654</v>
      </c>
      <c r="C304" s="394" t="s">
        <v>652</v>
      </c>
      <c r="D304" s="44" t="s">
        <v>653</v>
      </c>
      <c r="E304" s="45"/>
      <c r="F304" s="46"/>
      <c r="G304" s="46">
        <f t="shared" si="451"/>
        <v>0</v>
      </c>
      <c r="H304" s="46"/>
      <c r="I304" s="47">
        <f t="shared" si="447"/>
        <v>0</v>
      </c>
      <c r="J304" s="47">
        <f t="shared" si="448"/>
        <v>0</v>
      </c>
      <c r="K304" s="49"/>
      <c r="L304" s="54">
        <v>25832.5</v>
      </c>
      <c r="M304" s="48">
        <f>17607-17607</f>
        <v>0</v>
      </c>
      <c r="N304" s="54"/>
      <c r="O304" s="51">
        <f t="shared" si="452"/>
        <v>0</v>
      </c>
      <c r="P304" s="51">
        <f t="shared" si="453"/>
        <v>8225.5</v>
      </c>
      <c r="Q304" s="51">
        <f t="shared" si="454"/>
        <v>0</v>
      </c>
      <c r="R304" s="52">
        <f t="shared" si="455"/>
        <v>0</v>
      </c>
      <c r="S304" s="52">
        <f t="shared" si="456"/>
        <v>8225.5</v>
      </c>
      <c r="T304" s="52">
        <f t="shared" si="457"/>
        <v>0</v>
      </c>
      <c r="U304" s="369">
        <f t="shared" si="458"/>
        <v>0</v>
      </c>
      <c r="V304" s="369">
        <f t="shared" si="459"/>
        <v>17607</v>
      </c>
      <c r="W304" s="369">
        <f t="shared" si="460"/>
        <v>0</v>
      </c>
      <c r="X304" s="53">
        <f t="shared" si="406"/>
        <v>0</v>
      </c>
      <c r="Y304" s="53">
        <f t="shared" si="407"/>
        <v>0.31841672312010066</v>
      </c>
      <c r="Z304" s="53">
        <f t="shared" si="408"/>
        <v>0</v>
      </c>
      <c r="AA304" s="54"/>
      <c r="AB304" s="54"/>
      <c r="AC304" s="54"/>
      <c r="AD304" s="54"/>
      <c r="AE304" s="55"/>
      <c r="AF304" s="55"/>
      <c r="AG304" s="55"/>
      <c r="AH304" s="55"/>
      <c r="AI304" s="54"/>
      <c r="AJ304" s="54"/>
      <c r="AK304" s="54">
        <f>220.5+558</f>
        <v>778.5</v>
      </c>
      <c r="AL304" s="54"/>
      <c r="AM304" s="54"/>
      <c r="AN304" s="54"/>
      <c r="AO304" s="54"/>
      <c r="AP304" s="54"/>
      <c r="AQ304" s="54">
        <f>2449+2549+2449</f>
        <v>7447</v>
      </c>
      <c r="AR304" s="54"/>
      <c r="AS304" s="54"/>
      <c r="AT304" s="54"/>
      <c r="AU304" s="54"/>
      <c r="AV304" s="54"/>
      <c r="AW304" s="54"/>
      <c r="AX304" s="54"/>
      <c r="AY304" s="54"/>
      <c r="AZ304" s="54"/>
      <c r="BA304" s="54"/>
      <c r="BB304" s="54"/>
      <c r="BC304" s="54"/>
      <c r="BD304" s="54"/>
      <c r="BE304" s="54"/>
      <c r="BF304" s="54"/>
      <c r="BG304" s="54"/>
      <c r="BH304" s="54"/>
      <c r="BI304" s="54"/>
      <c r="BJ304" s="54"/>
      <c r="BK304" s="54"/>
      <c r="BL304" s="54"/>
      <c r="BM304" s="54"/>
      <c r="BN304" s="54">
        <f t="shared" ref="BN304:BN320" si="471">IF(O304-BK304&gt;0,O304-BK304,0)</f>
        <v>0</v>
      </c>
      <c r="BO304" s="58">
        <f t="shared" ref="BO304:BO320" si="472">IF(Q304-BM304&gt;0,Q304-BM304,0)</f>
        <v>0</v>
      </c>
      <c r="BP304" s="54">
        <f t="shared" ref="BP304:BP320" si="473">IF(BN304+BO304&gt;0,BN304+BO304,0)</f>
        <v>0</v>
      </c>
      <c r="BQ304" s="54">
        <f t="shared" ref="BQ304:BQ320" si="474">IF(U304=0,0,U304)</f>
        <v>0</v>
      </c>
      <c r="BR304" s="54">
        <f t="shared" ref="BR304:BR320" si="475">IF(W304=0,0,W304)</f>
        <v>0</v>
      </c>
      <c r="BS304" s="54">
        <f t="shared" ref="BS304:BS320" si="476">IF(BQ304+BR304&gt;0,BQ304+BR304,0)</f>
        <v>0</v>
      </c>
      <c r="BT304" s="54">
        <f t="shared" ref="BT304:BT320" si="477">IF(V304&gt;0,V304,0)</f>
        <v>17607</v>
      </c>
      <c r="BU304" s="54">
        <f t="shared" ref="BU304:BU320" si="478">IF(BP304=0,0,BP304)</f>
        <v>0</v>
      </c>
      <c r="BV304" s="54">
        <f t="shared" ref="BV304:BV320" si="479">IF(BS304=0,0,BS304)</f>
        <v>0</v>
      </c>
      <c r="BW304" s="54">
        <f t="shared" ref="BW304:BW320" si="480">IF(BP304+BT304&gt;0,BP304+BT304,0)</f>
        <v>17607</v>
      </c>
      <c r="BX304" s="1"/>
      <c r="BY304" s="1"/>
      <c r="BZ304" s="1"/>
      <c r="CA304" s="1"/>
      <c r="CB304" s="1"/>
      <c r="CC304" s="1"/>
      <c r="CD304" s="1"/>
      <c r="CE304" s="1"/>
      <c r="CF304" s="1"/>
      <c r="CG304" s="1"/>
    </row>
    <row r="305" spans="1:85" ht="15.75" customHeight="1">
      <c r="A305" s="103"/>
      <c r="B305" s="445" t="s">
        <v>655</v>
      </c>
      <c r="C305" s="394" t="s">
        <v>652</v>
      </c>
      <c r="D305" s="44" t="s">
        <v>656</v>
      </c>
      <c r="E305" s="45"/>
      <c r="F305" s="46"/>
      <c r="G305" s="46">
        <f t="shared" si="451"/>
        <v>0</v>
      </c>
      <c r="H305" s="46"/>
      <c r="I305" s="47">
        <f t="shared" si="447"/>
        <v>0</v>
      </c>
      <c r="J305" s="47">
        <f t="shared" si="448"/>
        <v>0</v>
      </c>
      <c r="K305" s="49"/>
      <c r="L305" s="54">
        <v>610.75</v>
      </c>
      <c r="M305" s="54"/>
      <c r="N305" s="54"/>
      <c r="O305" s="51">
        <f t="shared" si="452"/>
        <v>0</v>
      </c>
      <c r="P305" s="51">
        <f t="shared" si="453"/>
        <v>610.75</v>
      </c>
      <c r="Q305" s="51">
        <f t="shared" si="454"/>
        <v>0</v>
      </c>
      <c r="R305" s="52">
        <f t="shared" si="455"/>
        <v>0</v>
      </c>
      <c r="S305" s="52">
        <f t="shared" si="456"/>
        <v>610.75</v>
      </c>
      <c r="T305" s="52">
        <f t="shared" si="457"/>
        <v>0</v>
      </c>
      <c r="U305" s="369">
        <f t="shared" si="458"/>
        <v>0</v>
      </c>
      <c r="V305" s="369">
        <f t="shared" si="459"/>
        <v>0</v>
      </c>
      <c r="W305" s="369">
        <f t="shared" si="460"/>
        <v>0</v>
      </c>
      <c r="X305" s="53">
        <f t="shared" si="406"/>
        <v>0</v>
      </c>
      <c r="Y305" s="53">
        <f t="shared" si="407"/>
        <v>1</v>
      </c>
      <c r="Z305" s="53">
        <f t="shared" si="408"/>
        <v>0</v>
      </c>
      <c r="AA305" s="54"/>
      <c r="AB305" s="54"/>
      <c r="AC305" s="54"/>
      <c r="AD305" s="54"/>
      <c r="AE305" s="55"/>
      <c r="AF305" s="55"/>
      <c r="AG305" s="55"/>
      <c r="AH305" s="55"/>
      <c r="AI305" s="54"/>
      <c r="AJ305" s="54"/>
      <c r="AK305" s="48">
        <v>610.75</v>
      </c>
      <c r="AL305" s="54"/>
      <c r="AM305" s="54"/>
      <c r="AN305" s="54"/>
      <c r="AO305" s="54"/>
      <c r="AP305" s="54"/>
      <c r="AQ305" s="54"/>
      <c r="AR305" s="54"/>
      <c r="AS305" s="54"/>
      <c r="AT305" s="54"/>
      <c r="AU305" s="54"/>
      <c r="AV305" s="54"/>
      <c r="AW305" s="54"/>
      <c r="AX305" s="54"/>
      <c r="AY305" s="54"/>
      <c r="AZ305" s="54"/>
      <c r="BA305" s="54"/>
      <c r="BB305" s="54"/>
      <c r="BC305" s="54"/>
      <c r="BD305" s="54"/>
      <c r="BE305" s="54"/>
      <c r="BF305" s="54"/>
      <c r="BG305" s="54"/>
      <c r="BH305" s="54"/>
      <c r="BI305" s="54"/>
      <c r="BJ305" s="54"/>
      <c r="BK305" s="54"/>
      <c r="BL305" s="54"/>
      <c r="BM305" s="54"/>
      <c r="BN305" s="54">
        <f t="shared" si="471"/>
        <v>0</v>
      </c>
      <c r="BO305" s="58">
        <f t="shared" si="472"/>
        <v>0</v>
      </c>
      <c r="BP305" s="54">
        <f t="shared" si="473"/>
        <v>0</v>
      </c>
      <c r="BQ305" s="54">
        <f t="shared" si="474"/>
        <v>0</v>
      </c>
      <c r="BR305" s="54">
        <f t="shared" si="475"/>
        <v>0</v>
      </c>
      <c r="BS305" s="54">
        <f t="shared" si="476"/>
        <v>0</v>
      </c>
      <c r="BT305" s="54">
        <f t="shared" si="477"/>
        <v>0</v>
      </c>
      <c r="BU305" s="54">
        <f t="shared" si="478"/>
        <v>0</v>
      </c>
      <c r="BV305" s="54">
        <f t="shared" si="479"/>
        <v>0</v>
      </c>
      <c r="BW305" s="54">
        <f t="shared" si="480"/>
        <v>0</v>
      </c>
      <c r="BX305" s="1"/>
      <c r="BY305" s="1"/>
      <c r="BZ305" s="1"/>
      <c r="CA305" s="1"/>
      <c r="CB305" s="1"/>
      <c r="CC305" s="1"/>
      <c r="CD305" s="1"/>
      <c r="CE305" s="1"/>
      <c r="CF305" s="1"/>
      <c r="CG305" s="1"/>
    </row>
    <row r="306" spans="1:85" ht="15.75" customHeight="1">
      <c r="A306" s="83"/>
      <c r="B306" s="447" t="s">
        <v>657</v>
      </c>
      <c r="C306" s="394" t="s">
        <v>652</v>
      </c>
      <c r="D306" s="44" t="s">
        <v>658</v>
      </c>
      <c r="E306" s="45"/>
      <c r="F306" s="46"/>
      <c r="G306" s="46">
        <f t="shared" si="451"/>
        <v>0</v>
      </c>
      <c r="H306" s="46"/>
      <c r="I306" s="47">
        <f t="shared" si="447"/>
        <v>0</v>
      </c>
      <c r="J306" s="47">
        <f t="shared" si="448"/>
        <v>0</v>
      </c>
      <c r="K306" s="49"/>
      <c r="L306" s="54">
        <v>2419.73</v>
      </c>
      <c r="M306" s="54"/>
      <c r="N306" s="54"/>
      <c r="O306" s="51">
        <f t="shared" si="452"/>
        <v>0</v>
      </c>
      <c r="P306" s="51">
        <f t="shared" si="453"/>
        <v>2419.73</v>
      </c>
      <c r="Q306" s="51">
        <f t="shared" si="454"/>
        <v>0</v>
      </c>
      <c r="R306" s="52">
        <f t="shared" si="455"/>
        <v>0</v>
      </c>
      <c r="S306" s="52">
        <f t="shared" si="456"/>
        <v>2419.73</v>
      </c>
      <c r="T306" s="52">
        <f t="shared" si="457"/>
        <v>0</v>
      </c>
      <c r="U306" s="369">
        <f t="shared" si="458"/>
        <v>0</v>
      </c>
      <c r="V306" s="369">
        <f t="shared" si="459"/>
        <v>0</v>
      </c>
      <c r="W306" s="369">
        <f t="shared" si="460"/>
        <v>0</v>
      </c>
      <c r="X306" s="53">
        <f t="shared" si="406"/>
        <v>0</v>
      </c>
      <c r="Y306" s="53">
        <f t="shared" si="407"/>
        <v>1</v>
      </c>
      <c r="Z306" s="53">
        <f t="shared" si="408"/>
        <v>0</v>
      </c>
      <c r="AA306" s="54"/>
      <c r="AB306" s="54"/>
      <c r="AC306" s="54"/>
      <c r="AD306" s="54"/>
      <c r="AE306" s="55"/>
      <c r="AF306" s="55"/>
      <c r="AG306" s="55"/>
      <c r="AH306" s="55"/>
      <c r="AI306" s="54"/>
      <c r="AJ306" s="54"/>
      <c r="AK306" s="54"/>
      <c r="AL306" s="54"/>
      <c r="AM306" s="54"/>
      <c r="AN306" s="54"/>
      <c r="AO306" s="54"/>
      <c r="AP306" s="54"/>
      <c r="AQ306" s="54"/>
      <c r="AR306" s="54"/>
      <c r="AS306" s="54"/>
      <c r="AT306" s="48">
        <v>1375.46</v>
      </c>
      <c r="AU306" s="54"/>
      <c r="AV306" s="54"/>
      <c r="AW306" s="48">
        <v>1044.27</v>
      </c>
      <c r="AX306" s="54"/>
      <c r="AY306" s="54"/>
      <c r="AZ306" s="54"/>
      <c r="BA306" s="54"/>
      <c r="BB306" s="54"/>
      <c r="BC306" s="54"/>
      <c r="BD306" s="54"/>
      <c r="BE306" s="54"/>
      <c r="BF306" s="54"/>
      <c r="BG306" s="54"/>
      <c r="BH306" s="54"/>
      <c r="BI306" s="54"/>
      <c r="BJ306" s="54"/>
      <c r="BK306" s="54"/>
      <c r="BL306" s="54"/>
      <c r="BM306" s="54"/>
      <c r="BN306" s="54">
        <f t="shared" si="471"/>
        <v>0</v>
      </c>
      <c r="BO306" s="58">
        <f t="shared" si="472"/>
        <v>0</v>
      </c>
      <c r="BP306" s="54">
        <f t="shared" si="473"/>
        <v>0</v>
      </c>
      <c r="BQ306" s="54">
        <f t="shared" si="474"/>
        <v>0</v>
      </c>
      <c r="BR306" s="54">
        <f t="shared" si="475"/>
        <v>0</v>
      </c>
      <c r="BS306" s="54">
        <f t="shared" si="476"/>
        <v>0</v>
      </c>
      <c r="BT306" s="54">
        <f t="shared" si="477"/>
        <v>0</v>
      </c>
      <c r="BU306" s="54">
        <f t="shared" si="478"/>
        <v>0</v>
      </c>
      <c r="BV306" s="54">
        <f t="shared" si="479"/>
        <v>0</v>
      </c>
      <c r="BW306" s="54">
        <f t="shared" si="480"/>
        <v>0</v>
      </c>
      <c r="BX306" s="1"/>
      <c r="BY306" s="1"/>
      <c r="BZ306" s="1"/>
      <c r="CA306" s="1"/>
      <c r="CB306" s="1"/>
      <c r="CC306" s="1"/>
      <c r="CD306" s="1"/>
      <c r="CE306" s="1"/>
      <c r="CF306" s="1"/>
      <c r="CG306" s="1"/>
    </row>
    <row r="307" spans="1:85" ht="15.75" customHeight="1">
      <c r="A307" s="83"/>
      <c r="B307" s="429" t="s">
        <v>659</v>
      </c>
      <c r="C307" s="394" t="s">
        <v>652</v>
      </c>
      <c r="D307" s="44" t="s">
        <v>660</v>
      </c>
      <c r="E307" s="45"/>
      <c r="F307" s="46"/>
      <c r="G307" s="46">
        <f t="shared" si="451"/>
        <v>0</v>
      </c>
      <c r="H307" s="46"/>
      <c r="I307" s="47">
        <f t="shared" si="447"/>
        <v>0</v>
      </c>
      <c r="J307" s="47">
        <f t="shared" si="448"/>
        <v>0</v>
      </c>
      <c r="K307" s="49"/>
      <c r="L307" s="54">
        <v>2420.64</v>
      </c>
      <c r="M307" s="54"/>
      <c r="N307" s="54"/>
      <c r="O307" s="51">
        <f t="shared" si="452"/>
        <v>0</v>
      </c>
      <c r="P307" s="51">
        <f t="shared" si="453"/>
        <v>2420.64</v>
      </c>
      <c r="Q307" s="51">
        <f t="shared" si="454"/>
        <v>0</v>
      </c>
      <c r="R307" s="52">
        <f t="shared" si="455"/>
        <v>0</v>
      </c>
      <c r="S307" s="52">
        <f t="shared" si="456"/>
        <v>2420.64</v>
      </c>
      <c r="T307" s="52">
        <f t="shared" si="457"/>
        <v>0</v>
      </c>
      <c r="U307" s="369">
        <f t="shared" si="458"/>
        <v>0</v>
      </c>
      <c r="V307" s="369">
        <f t="shared" si="459"/>
        <v>0</v>
      </c>
      <c r="W307" s="369">
        <f t="shared" si="460"/>
        <v>0</v>
      </c>
      <c r="X307" s="53">
        <f t="shared" si="406"/>
        <v>0</v>
      </c>
      <c r="Y307" s="53">
        <f t="shared" si="407"/>
        <v>1</v>
      </c>
      <c r="Z307" s="53">
        <f t="shared" si="408"/>
        <v>0</v>
      </c>
      <c r="AA307" s="54"/>
      <c r="AB307" s="54"/>
      <c r="AC307" s="54"/>
      <c r="AD307" s="54"/>
      <c r="AE307" s="55"/>
      <c r="AF307" s="55"/>
      <c r="AG307" s="55"/>
      <c r="AH307" s="55"/>
      <c r="AI307" s="54"/>
      <c r="AJ307" s="54"/>
      <c r="AK307" s="54"/>
      <c r="AL307" s="54"/>
      <c r="AM307" s="54"/>
      <c r="AN307" s="54"/>
      <c r="AO307" s="54"/>
      <c r="AP307" s="54"/>
      <c r="AQ307" s="54"/>
      <c r="AR307" s="54"/>
      <c r="AS307" s="54"/>
      <c r="AT307" s="54"/>
      <c r="AU307" s="54"/>
      <c r="AV307" s="54"/>
      <c r="AW307" s="54"/>
      <c r="AX307" s="54"/>
      <c r="AY307" s="54"/>
      <c r="AZ307" s="54">
        <f>2420.64</f>
        <v>2420.64</v>
      </c>
      <c r="BA307" s="54"/>
      <c r="BB307" s="54"/>
      <c r="BC307" s="54"/>
      <c r="BD307" s="54"/>
      <c r="BE307" s="54"/>
      <c r="BF307" s="54"/>
      <c r="BG307" s="54"/>
      <c r="BH307" s="54"/>
      <c r="BI307" s="54"/>
      <c r="BJ307" s="54"/>
      <c r="BK307" s="54"/>
      <c r="BL307" s="54"/>
      <c r="BM307" s="54"/>
      <c r="BN307" s="54">
        <f t="shared" si="471"/>
        <v>0</v>
      </c>
      <c r="BO307" s="58">
        <f t="shared" si="472"/>
        <v>0</v>
      </c>
      <c r="BP307" s="54">
        <f t="shared" si="473"/>
        <v>0</v>
      </c>
      <c r="BQ307" s="54">
        <f t="shared" si="474"/>
        <v>0</v>
      </c>
      <c r="BR307" s="54">
        <f t="shared" si="475"/>
        <v>0</v>
      </c>
      <c r="BS307" s="54">
        <f t="shared" si="476"/>
        <v>0</v>
      </c>
      <c r="BT307" s="54">
        <f t="shared" si="477"/>
        <v>0</v>
      </c>
      <c r="BU307" s="54">
        <f t="shared" si="478"/>
        <v>0</v>
      </c>
      <c r="BV307" s="54">
        <f t="shared" si="479"/>
        <v>0</v>
      </c>
      <c r="BW307" s="54">
        <f t="shared" si="480"/>
        <v>0</v>
      </c>
      <c r="BX307" s="1"/>
      <c r="BY307" s="1"/>
      <c r="BZ307" s="1"/>
      <c r="CA307" s="1"/>
      <c r="CB307" s="1"/>
      <c r="CC307" s="1"/>
      <c r="CD307" s="1"/>
      <c r="CE307" s="1"/>
      <c r="CF307" s="1"/>
      <c r="CG307" s="1"/>
    </row>
    <row r="308" spans="1:85" ht="15.75" customHeight="1">
      <c r="A308" s="83"/>
      <c r="B308" s="445" t="s">
        <v>661</v>
      </c>
      <c r="C308" s="394" t="s">
        <v>652</v>
      </c>
      <c r="D308" s="44" t="s">
        <v>662</v>
      </c>
      <c r="E308" s="45"/>
      <c r="F308" s="46"/>
      <c r="G308" s="46">
        <f t="shared" si="451"/>
        <v>0</v>
      </c>
      <c r="H308" s="46"/>
      <c r="I308" s="47">
        <f t="shared" si="447"/>
        <v>0</v>
      </c>
      <c r="J308" s="47">
        <f t="shared" si="448"/>
        <v>0</v>
      </c>
      <c r="K308" s="49"/>
      <c r="L308" s="54">
        <v>17502.7</v>
      </c>
      <c r="M308" s="54"/>
      <c r="N308" s="54"/>
      <c r="O308" s="51">
        <f t="shared" si="452"/>
        <v>0</v>
      </c>
      <c r="P308" s="51">
        <f t="shared" si="453"/>
        <v>17502.7</v>
      </c>
      <c r="Q308" s="51">
        <f t="shared" si="454"/>
        <v>0</v>
      </c>
      <c r="R308" s="52">
        <f t="shared" si="455"/>
        <v>0</v>
      </c>
      <c r="S308" s="52">
        <f t="shared" si="456"/>
        <v>17502.7</v>
      </c>
      <c r="T308" s="52">
        <f t="shared" si="457"/>
        <v>0</v>
      </c>
      <c r="U308" s="369">
        <f t="shared" si="458"/>
        <v>0</v>
      </c>
      <c r="V308" s="369">
        <f t="shared" si="459"/>
        <v>0</v>
      </c>
      <c r="W308" s="369">
        <f t="shared" si="460"/>
        <v>0</v>
      </c>
      <c r="X308" s="53">
        <f t="shared" si="406"/>
        <v>0</v>
      </c>
      <c r="Y308" s="53">
        <f t="shared" si="407"/>
        <v>1</v>
      </c>
      <c r="Z308" s="53">
        <f t="shared" si="408"/>
        <v>0</v>
      </c>
      <c r="AA308" s="54"/>
      <c r="AB308" s="54"/>
      <c r="AC308" s="54"/>
      <c r="AD308" s="54"/>
      <c r="AE308" s="55"/>
      <c r="AF308" s="55"/>
      <c r="AG308" s="55"/>
      <c r="AH308" s="55"/>
      <c r="AI308" s="54"/>
      <c r="AJ308" s="54"/>
      <c r="AK308" s="54">
        <f>2754.09+9198.64</f>
        <v>11952.73</v>
      </c>
      <c r="AL308" s="54"/>
      <c r="AM308" s="54"/>
      <c r="AN308" s="54"/>
      <c r="AO308" s="54"/>
      <c r="AP308" s="54"/>
      <c r="AQ308" s="48">
        <v>5549.97</v>
      </c>
      <c r="AR308" s="54"/>
      <c r="AS308" s="54"/>
      <c r="AT308" s="54"/>
      <c r="AU308" s="54"/>
      <c r="AV308" s="54"/>
      <c r="AW308" s="54"/>
      <c r="AX308" s="54"/>
      <c r="AY308" s="54"/>
      <c r="AZ308" s="54"/>
      <c r="BA308" s="54"/>
      <c r="BB308" s="54"/>
      <c r="BC308" s="54"/>
      <c r="BD308" s="54"/>
      <c r="BE308" s="54"/>
      <c r="BF308" s="54"/>
      <c r="BG308" s="54"/>
      <c r="BH308" s="54"/>
      <c r="BI308" s="54"/>
      <c r="BJ308" s="54"/>
      <c r="BK308" s="54"/>
      <c r="BL308" s="54"/>
      <c r="BM308" s="54"/>
      <c r="BN308" s="54">
        <f t="shared" si="471"/>
        <v>0</v>
      </c>
      <c r="BO308" s="58">
        <f t="shared" si="472"/>
        <v>0</v>
      </c>
      <c r="BP308" s="54">
        <f t="shared" si="473"/>
        <v>0</v>
      </c>
      <c r="BQ308" s="54">
        <f t="shared" si="474"/>
        <v>0</v>
      </c>
      <c r="BR308" s="54">
        <f t="shared" si="475"/>
        <v>0</v>
      </c>
      <c r="BS308" s="54">
        <f t="shared" si="476"/>
        <v>0</v>
      </c>
      <c r="BT308" s="54">
        <f t="shared" si="477"/>
        <v>0</v>
      </c>
      <c r="BU308" s="54">
        <f t="shared" si="478"/>
        <v>0</v>
      </c>
      <c r="BV308" s="54">
        <f t="shared" si="479"/>
        <v>0</v>
      </c>
      <c r="BW308" s="54">
        <f t="shared" si="480"/>
        <v>0</v>
      </c>
      <c r="BX308" s="1"/>
      <c r="BY308" s="1"/>
      <c r="BZ308" s="1"/>
      <c r="CA308" s="1"/>
      <c r="CB308" s="1"/>
      <c r="CC308" s="1"/>
      <c r="CD308" s="1"/>
      <c r="CE308" s="1"/>
      <c r="CF308" s="1"/>
      <c r="CG308" s="1"/>
    </row>
    <row r="309" spans="1:85" ht="15.75" customHeight="1">
      <c r="A309" s="83"/>
      <c r="B309" s="429" t="s">
        <v>663</v>
      </c>
      <c r="C309" s="394" t="s">
        <v>652</v>
      </c>
      <c r="D309" s="44" t="s">
        <v>664</v>
      </c>
      <c r="E309" s="45"/>
      <c r="F309" s="46"/>
      <c r="G309" s="46">
        <f t="shared" si="451"/>
        <v>0</v>
      </c>
      <c r="H309" s="46"/>
      <c r="I309" s="47">
        <f t="shared" si="447"/>
        <v>0</v>
      </c>
      <c r="J309" s="47">
        <f t="shared" si="448"/>
        <v>0</v>
      </c>
      <c r="K309" s="49"/>
      <c r="L309" s="54">
        <v>2420.64</v>
      </c>
      <c r="M309" s="54"/>
      <c r="N309" s="54"/>
      <c r="O309" s="51">
        <f t="shared" si="452"/>
        <v>0</v>
      </c>
      <c r="P309" s="51">
        <f t="shared" si="453"/>
        <v>0</v>
      </c>
      <c r="Q309" s="51">
        <f t="shared" si="454"/>
        <v>0</v>
      </c>
      <c r="R309" s="52">
        <f t="shared" si="455"/>
        <v>0</v>
      </c>
      <c r="S309" s="52">
        <f t="shared" si="456"/>
        <v>0</v>
      </c>
      <c r="T309" s="52">
        <f t="shared" si="457"/>
        <v>0</v>
      </c>
      <c r="U309" s="369">
        <f t="shared" si="458"/>
        <v>0</v>
      </c>
      <c r="V309" s="369">
        <f t="shared" si="459"/>
        <v>2420.64</v>
      </c>
      <c r="W309" s="369">
        <f t="shared" si="460"/>
        <v>0</v>
      </c>
      <c r="X309" s="53">
        <f t="shared" si="406"/>
        <v>0</v>
      </c>
      <c r="Y309" s="53">
        <f t="shared" si="407"/>
        <v>0</v>
      </c>
      <c r="Z309" s="53">
        <f t="shared" si="408"/>
        <v>0</v>
      </c>
      <c r="AA309" s="54"/>
      <c r="AB309" s="54"/>
      <c r="AC309" s="54"/>
      <c r="AD309" s="54"/>
      <c r="AE309" s="55"/>
      <c r="AF309" s="55"/>
      <c r="AG309" s="55"/>
      <c r="AH309" s="55"/>
      <c r="AI309" s="54"/>
      <c r="AJ309" s="54"/>
      <c r="AK309" s="54"/>
      <c r="AL309" s="54"/>
      <c r="AM309" s="54"/>
      <c r="AN309" s="54"/>
      <c r="AO309" s="54"/>
      <c r="AP309" s="54"/>
      <c r="AQ309" s="54"/>
      <c r="AR309" s="54"/>
      <c r="AS309" s="54"/>
      <c r="AT309" s="54"/>
      <c r="AU309" s="54"/>
      <c r="AV309" s="54"/>
      <c r="AW309" s="54"/>
      <c r="AX309" s="54"/>
      <c r="AY309" s="54"/>
      <c r="AZ309" s="54"/>
      <c r="BA309" s="54"/>
      <c r="BB309" s="54"/>
      <c r="BC309" s="54"/>
      <c r="BD309" s="54"/>
      <c r="BE309" s="54"/>
      <c r="BF309" s="54"/>
      <c r="BG309" s="54"/>
      <c r="BH309" s="54"/>
      <c r="BI309" s="54"/>
      <c r="BJ309" s="54"/>
      <c r="BK309" s="54"/>
      <c r="BL309" s="54"/>
      <c r="BM309" s="54"/>
      <c r="BN309" s="54">
        <f t="shared" si="471"/>
        <v>0</v>
      </c>
      <c r="BO309" s="58">
        <f t="shared" si="472"/>
        <v>0</v>
      </c>
      <c r="BP309" s="54">
        <f t="shared" si="473"/>
        <v>0</v>
      </c>
      <c r="BQ309" s="54">
        <f t="shared" si="474"/>
        <v>0</v>
      </c>
      <c r="BR309" s="54">
        <f t="shared" si="475"/>
        <v>0</v>
      </c>
      <c r="BS309" s="54">
        <f t="shared" si="476"/>
        <v>0</v>
      </c>
      <c r="BT309" s="54">
        <f t="shared" si="477"/>
        <v>2420.64</v>
      </c>
      <c r="BU309" s="54">
        <f t="shared" si="478"/>
        <v>0</v>
      </c>
      <c r="BV309" s="54">
        <f t="shared" si="479"/>
        <v>0</v>
      </c>
      <c r="BW309" s="54">
        <f t="shared" si="480"/>
        <v>2420.64</v>
      </c>
      <c r="BX309" s="1"/>
      <c r="BY309" s="1"/>
      <c r="BZ309" s="1"/>
      <c r="CA309" s="1"/>
      <c r="CB309" s="1"/>
      <c r="CC309" s="1"/>
      <c r="CD309" s="1"/>
      <c r="CE309" s="1"/>
      <c r="CF309" s="1"/>
      <c r="CG309" s="1"/>
    </row>
    <row r="310" spans="1:85" ht="15.75" customHeight="1">
      <c r="A310" s="83"/>
      <c r="B310" s="430" t="s">
        <v>665</v>
      </c>
      <c r="C310" s="394" t="s">
        <v>652</v>
      </c>
      <c r="D310" s="44" t="s">
        <v>666</v>
      </c>
      <c r="E310" s="45"/>
      <c r="F310" s="46"/>
      <c r="G310" s="46">
        <f t="shared" si="451"/>
        <v>0</v>
      </c>
      <c r="H310" s="46"/>
      <c r="I310" s="47">
        <f t="shared" si="447"/>
        <v>0</v>
      </c>
      <c r="J310" s="47">
        <f t="shared" si="448"/>
        <v>0</v>
      </c>
      <c r="K310" s="49"/>
      <c r="L310" s="54">
        <v>17484.68</v>
      </c>
      <c r="M310" s="54"/>
      <c r="N310" s="54"/>
      <c r="O310" s="51">
        <f t="shared" si="452"/>
        <v>0</v>
      </c>
      <c r="P310" s="51">
        <f t="shared" si="453"/>
        <v>17484.68</v>
      </c>
      <c r="Q310" s="51">
        <f t="shared" si="454"/>
        <v>0</v>
      </c>
      <c r="R310" s="52">
        <f t="shared" si="455"/>
        <v>0</v>
      </c>
      <c r="S310" s="52">
        <f t="shared" si="456"/>
        <v>17484.68</v>
      </c>
      <c r="T310" s="52">
        <f t="shared" si="457"/>
        <v>0</v>
      </c>
      <c r="U310" s="369">
        <f t="shared" si="458"/>
        <v>0</v>
      </c>
      <c r="V310" s="369">
        <f t="shared" si="459"/>
        <v>0</v>
      </c>
      <c r="W310" s="369">
        <f t="shared" si="460"/>
        <v>0</v>
      </c>
      <c r="X310" s="53">
        <f t="shared" si="406"/>
        <v>0</v>
      </c>
      <c r="Y310" s="53">
        <f t="shared" si="407"/>
        <v>1</v>
      </c>
      <c r="Z310" s="53">
        <f t="shared" si="408"/>
        <v>0</v>
      </c>
      <c r="AA310" s="54"/>
      <c r="AB310" s="54"/>
      <c r="AC310" s="54"/>
      <c r="AD310" s="54"/>
      <c r="AE310" s="55"/>
      <c r="AF310" s="55"/>
      <c r="AG310" s="55"/>
      <c r="AH310" s="55"/>
      <c r="AI310" s="54"/>
      <c r="AJ310" s="54"/>
      <c r="AK310" s="54"/>
      <c r="AL310" s="54"/>
      <c r="AM310" s="54"/>
      <c r="AN310" s="54"/>
      <c r="AO310" s="54"/>
      <c r="AP310" s="54"/>
      <c r="AQ310" s="54">
        <f>742.18+4039.11</f>
        <v>4781.29</v>
      </c>
      <c r="AR310" s="54"/>
      <c r="AS310" s="54"/>
      <c r="AT310" s="54">
        <f>1225.67+7189.74</f>
        <v>8415.41</v>
      </c>
      <c r="AU310" s="54"/>
      <c r="AV310" s="54"/>
      <c r="AW310" s="48">
        <v>4287.9799999999996</v>
      </c>
      <c r="AX310" s="54"/>
      <c r="AY310" s="54"/>
      <c r="AZ310" s="54"/>
      <c r="BA310" s="54"/>
      <c r="BB310" s="54"/>
      <c r="BC310" s="54"/>
      <c r="BD310" s="54"/>
      <c r="BE310" s="54"/>
      <c r="BF310" s="54"/>
      <c r="BG310" s="54"/>
      <c r="BH310" s="54"/>
      <c r="BI310" s="54"/>
      <c r="BJ310" s="54"/>
      <c r="BK310" s="54"/>
      <c r="BL310" s="54"/>
      <c r="BM310" s="54"/>
      <c r="BN310" s="54">
        <f t="shared" si="471"/>
        <v>0</v>
      </c>
      <c r="BO310" s="58">
        <f t="shared" si="472"/>
        <v>0</v>
      </c>
      <c r="BP310" s="54">
        <f t="shared" si="473"/>
        <v>0</v>
      </c>
      <c r="BQ310" s="54">
        <f t="shared" si="474"/>
        <v>0</v>
      </c>
      <c r="BR310" s="54">
        <f t="shared" si="475"/>
        <v>0</v>
      </c>
      <c r="BS310" s="54">
        <f t="shared" si="476"/>
        <v>0</v>
      </c>
      <c r="BT310" s="54">
        <f t="shared" si="477"/>
        <v>0</v>
      </c>
      <c r="BU310" s="54">
        <f t="shared" si="478"/>
        <v>0</v>
      </c>
      <c r="BV310" s="54">
        <f t="shared" si="479"/>
        <v>0</v>
      </c>
      <c r="BW310" s="54">
        <f t="shared" si="480"/>
        <v>0</v>
      </c>
      <c r="BX310" s="1"/>
      <c r="BY310" s="1"/>
      <c r="BZ310" s="1"/>
      <c r="CA310" s="1"/>
      <c r="CB310" s="1"/>
      <c r="CC310" s="1"/>
      <c r="CD310" s="1"/>
      <c r="CE310" s="1"/>
      <c r="CF310" s="1"/>
      <c r="CG310" s="1"/>
    </row>
    <row r="311" spans="1:85" ht="15.75" customHeight="1">
      <c r="A311" s="186"/>
      <c r="B311" s="426" t="s">
        <v>667</v>
      </c>
      <c r="C311" s="394" t="s">
        <v>652</v>
      </c>
      <c r="D311" s="44" t="s">
        <v>656</v>
      </c>
      <c r="E311" s="45"/>
      <c r="F311" s="46"/>
      <c r="G311" s="46">
        <f t="shared" si="451"/>
        <v>0</v>
      </c>
      <c r="H311" s="46"/>
      <c r="I311" s="47">
        <f t="shared" si="447"/>
        <v>0</v>
      </c>
      <c r="J311" s="47">
        <f t="shared" si="448"/>
        <v>0</v>
      </c>
      <c r="K311" s="49"/>
      <c r="L311" s="54">
        <v>19289.41</v>
      </c>
      <c r="M311" s="54"/>
      <c r="N311" s="54"/>
      <c r="O311" s="51">
        <f t="shared" si="452"/>
        <v>0</v>
      </c>
      <c r="P311" s="51">
        <f t="shared" si="453"/>
        <v>19289.41</v>
      </c>
      <c r="Q311" s="51">
        <f t="shared" si="454"/>
        <v>0</v>
      </c>
      <c r="R311" s="52">
        <f t="shared" si="455"/>
        <v>0</v>
      </c>
      <c r="S311" s="52">
        <f t="shared" si="456"/>
        <v>19289.41</v>
      </c>
      <c r="T311" s="52">
        <f t="shared" si="457"/>
        <v>0</v>
      </c>
      <c r="U311" s="369">
        <f t="shared" si="458"/>
        <v>0</v>
      </c>
      <c r="V311" s="369">
        <f t="shared" si="459"/>
        <v>0</v>
      </c>
      <c r="W311" s="369">
        <f t="shared" si="460"/>
        <v>0</v>
      </c>
      <c r="X311" s="53">
        <f t="shared" si="406"/>
        <v>0</v>
      </c>
      <c r="Y311" s="53">
        <f t="shared" si="407"/>
        <v>1</v>
      </c>
      <c r="Z311" s="53">
        <f t="shared" si="408"/>
        <v>0</v>
      </c>
      <c r="AA311" s="54"/>
      <c r="AB311" s="54"/>
      <c r="AC311" s="54"/>
      <c r="AD311" s="54"/>
      <c r="AE311" s="55"/>
      <c r="AF311" s="55"/>
      <c r="AG311" s="55"/>
      <c r="AH311" s="55"/>
      <c r="AI311" s="54"/>
      <c r="AJ311" s="54"/>
      <c r="AK311" s="48">
        <v>16110.81</v>
      </c>
      <c r="AL311" s="54"/>
      <c r="AM311" s="54"/>
      <c r="AN311" s="54"/>
      <c r="AO311" s="54"/>
      <c r="AP311" s="54"/>
      <c r="AQ311" s="48">
        <v>3178.6</v>
      </c>
      <c r="AR311" s="54"/>
      <c r="AS311" s="54"/>
      <c r="AT311" s="54"/>
      <c r="AU311" s="54"/>
      <c r="AV311" s="54"/>
      <c r="AW311" s="54"/>
      <c r="AX311" s="54"/>
      <c r="AY311" s="54"/>
      <c r="AZ311" s="54"/>
      <c r="BA311" s="54"/>
      <c r="BB311" s="54"/>
      <c r="BC311" s="54"/>
      <c r="BD311" s="54"/>
      <c r="BE311" s="54"/>
      <c r="BF311" s="54"/>
      <c r="BG311" s="54"/>
      <c r="BH311" s="54"/>
      <c r="BI311" s="54"/>
      <c r="BJ311" s="54"/>
      <c r="BK311" s="54"/>
      <c r="BL311" s="54"/>
      <c r="BM311" s="54"/>
      <c r="BN311" s="54">
        <f t="shared" si="471"/>
        <v>0</v>
      </c>
      <c r="BO311" s="58">
        <f t="shared" si="472"/>
        <v>0</v>
      </c>
      <c r="BP311" s="54">
        <f t="shared" si="473"/>
        <v>0</v>
      </c>
      <c r="BQ311" s="54">
        <f t="shared" si="474"/>
        <v>0</v>
      </c>
      <c r="BR311" s="54">
        <f t="shared" si="475"/>
        <v>0</v>
      </c>
      <c r="BS311" s="54">
        <f t="shared" si="476"/>
        <v>0</v>
      </c>
      <c r="BT311" s="54">
        <f t="shared" si="477"/>
        <v>0</v>
      </c>
      <c r="BU311" s="54">
        <f t="shared" si="478"/>
        <v>0</v>
      </c>
      <c r="BV311" s="54">
        <f t="shared" si="479"/>
        <v>0</v>
      </c>
      <c r="BW311" s="54">
        <f t="shared" si="480"/>
        <v>0</v>
      </c>
      <c r="BX311" s="1"/>
      <c r="BY311" s="1"/>
      <c r="BZ311" s="1"/>
      <c r="CA311" s="1"/>
      <c r="CB311" s="1"/>
      <c r="CC311" s="1"/>
      <c r="CD311" s="1"/>
      <c r="CE311" s="1"/>
      <c r="CF311" s="1"/>
      <c r="CG311" s="1"/>
    </row>
    <row r="312" spans="1:85" ht="15.75" customHeight="1">
      <c r="A312" s="108"/>
      <c r="B312" s="416" t="s">
        <v>668</v>
      </c>
      <c r="C312" s="394" t="s">
        <v>652</v>
      </c>
      <c r="D312" s="44" t="s">
        <v>669</v>
      </c>
      <c r="E312" s="45"/>
      <c r="F312" s="46"/>
      <c r="G312" s="46">
        <f t="shared" si="451"/>
        <v>0</v>
      </c>
      <c r="H312" s="46"/>
      <c r="I312" s="47">
        <f t="shared" si="447"/>
        <v>0</v>
      </c>
      <c r="J312" s="47">
        <f t="shared" si="448"/>
        <v>0</v>
      </c>
      <c r="K312" s="49"/>
      <c r="L312" s="54">
        <v>3019.44</v>
      </c>
      <c r="M312" s="54"/>
      <c r="N312" s="54"/>
      <c r="O312" s="51">
        <f t="shared" si="452"/>
        <v>0</v>
      </c>
      <c r="P312" s="51">
        <f t="shared" si="453"/>
        <v>3019.44</v>
      </c>
      <c r="Q312" s="51">
        <f t="shared" si="454"/>
        <v>0</v>
      </c>
      <c r="R312" s="52">
        <f t="shared" si="455"/>
        <v>0</v>
      </c>
      <c r="S312" s="52">
        <f t="shared" si="456"/>
        <v>3019.44</v>
      </c>
      <c r="T312" s="52">
        <f t="shared" si="457"/>
        <v>0</v>
      </c>
      <c r="U312" s="369">
        <f t="shared" si="458"/>
        <v>0</v>
      </c>
      <c r="V312" s="369">
        <f t="shared" si="459"/>
        <v>0</v>
      </c>
      <c r="W312" s="369">
        <f t="shared" si="460"/>
        <v>0</v>
      </c>
      <c r="X312" s="53">
        <f t="shared" si="406"/>
        <v>0</v>
      </c>
      <c r="Y312" s="53">
        <f t="shared" si="407"/>
        <v>1</v>
      </c>
      <c r="Z312" s="53">
        <f t="shared" si="408"/>
        <v>0</v>
      </c>
      <c r="AA312" s="54"/>
      <c r="AB312" s="54"/>
      <c r="AC312" s="54"/>
      <c r="AD312" s="54"/>
      <c r="AE312" s="55"/>
      <c r="AF312" s="55"/>
      <c r="AG312" s="55"/>
      <c r="AH312" s="55"/>
      <c r="AI312" s="54"/>
      <c r="AJ312" s="54"/>
      <c r="AK312" s="54"/>
      <c r="AL312" s="54"/>
      <c r="AM312" s="54"/>
      <c r="AN312" s="54"/>
      <c r="AO312" s="54"/>
      <c r="AP312" s="54"/>
      <c r="AQ312" s="48">
        <v>1170.75</v>
      </c>
      <c r="AR312" s="54"/>
      <c r="AS312" s="54"/>
      <c r="AT312" s="54"/>
      <c r="AU312" s="54"/>
      <c r="AV312" s="54"/>
      <c r="AW312" s="48">
        <v>1848.69</v>
      </c>
      <c r="AX312" s="54"/>
      <c r="AY312" s="54"/>
      <c r="AZ312" s="54"/>
      <c r="BA312" s="54"/>
      <c r="BB312" s="54"/>
      <c r="BC312" s="54"/>
      <c r="BD312" s="54"/>
      <c r="BE312" s="54"/>
      <c r="BF312" s="54"/>
      <c r="BG312" s="54"/>
      <c r="BH312" s="54"/>
      <c r="BI312" s="54"/>
      <c r="BJ312" s="54"/>
      <c r="BK312" s="54"/>
      <c r="BL312" s="54"/>
      <c r="BM312" s="54"/>
      <c r="BN312" s="54">
        <f t="shared" si="471"/>
        <v>0</v>
      </c>
      <c r="BO312" s="58">
        <f t="shared" si="472"/>
        <v>0</v>
      </c>
      <c r="BP312" s="54">
        <f t="shared" si="473"/>
        <v>0</v>
      </c>
      <c r="BQ312" s="54">
        <f t="shared" si="474"/>
        <v>0</v>
      </c>
      <c r="BR312" s="54">
        <f t="shared" si="475"/>
        <v>0</v>
      </c>
      <c r="BS312" s="54">
        <f t="shared" si="476"/>
        <v>0</v>
      </c>
      <c r="BT312" s="54">
        <f t="shared" si="477"/>
        <v>0</v>
      </c>
      <c r="BU312" s="54">
        <f t="shared" si="478"/>
        <v>0</v>
      </c>
      <c r="BV312" s="54">
        <f t="shared" si="479"/>
        <v>0</v>
      </c>
      <c r="BW312" s="54">
        <f t="shared" si="480"/>
        <v>0</v>
      </c>
      <c r="BX312" s="1"/>
      <c r="BY312" s="1"/>
      <c r="BZ312" s="1"/>
      <c r="CA312" s="1"/>
      <c r="CB312" s="1"/>
      <c r="CC312" s="1"/>
      <c r="CD312" s="1"/>
      <c r="CE312" s="1"/>
      <c r="CF312" s="1"/>
      <c r="CG312" s="1"/>
    </row>
    <row r="313" spans="1:85" ht="15.75" customHeight="1">
      <c r="A313" s="83"/>
      <c r="B313" s="429" t="s">
        <v>670</v>
      </c>
      <c r="C313" s="394" t="s">
        <v>652</v>
      </c>
      <c r="D313" s="44" t="s">
        <v>671</v>
      </c>
      <c r="E313" s="45"/>
      <c r="F313" s="46"/>
      <c r="G313" s="46">
        <f t="shared" si="451"/>
        <v>0</v>
      </c>
      <c r="H313" s="46"/>
      <c r="I313" s="47">
        <f t="shared" si="447"/>
        <v>0</v>
      </c>
      <c r="J313" s="47">
        <f t="shared" si="448"/>
        <v>0</v>
      </c>
      <c r="K313" s="49"/>
      <c r="L313" s="54">
        <v>7231.22</v>
      </c>
      <c r="M313" s="54"/>
      <c r="N313" s="54"/>
      <c r="O313" s="51">
        <f t="shared" si="452"/>
        <v>0</v>
      </c>
      <c r="P313" s="51">
        <f t="shared" si="453"/>
        <v>7231.2199999999993</v>
      </c>
      <c r="Q313" s="51">
        <f t="shared" si="454"/>
        <v>0</v>
      </c>
      <c r="R313" s="52">
        <f t="shared" si="455"/>
        <v>0</v>
      </c>
      <c r="S313" s="52">
        <f t="shared" si="456"/>
        <v>7231.2199999999993</v>
      </c>
      <c r="T313" s="52">
        <f t="shared" si="457"/>
        <v>0</v>
      </c>
      <c r="U313" s="369">
        <f t="shared" si="458"/>
        <v>0</v>
      </c>
      <c r="V313" s="369">
        <f t="shared" si="459"/>
        <v>9.0949470177292824E-13</v>
      </c>
      <c r="W313" s="369">
        <f t="shared" si="460"/>
        <v>0</v>
      </c>
      <c r="X313" s="53">
        <f t="shared" si="406"/>
        <v>0</v>
      </c>
      <c r="Y313" s="53">
        <f t="shared" si="407"/>
        <v>0.99999999999999989</v>
      </c>
      <c r="Z313" s="53">
        <f t="shared" si="408"/>
        <v>0</v>
      </c>
      <c r="AA313" s="54"/>
      <c r="AB313" s="54"/>
      <c r="AC313" s="54"/>
      <c r="AD313" s="54"/>
      <c r="AE313" s="76">
        <v>947.38</v>
      </c>
      <c r="AF313" s="55"/>
      <c r="AG313" s="55"/>
      <c r="AH313" s="55"/>
      <c r="AI313" s="54"/>
      <c r="AJ313" s="54"/>
      <c r="AK313" s="48">
        <v>2742.45</v>
      </c>
      <c r="AL313" s="54"/>
      <c r="AM313" s="54"/>
      <c r="AN313" s="54"/>
      <c r="AO313" s="54"/>
      <c r="AP313" s="54"/>
      <c r="AQ313" s="48">
        <v>1408.23</v>
      </c>
      <c r="AR313" s="54"/>
      <c r="AS313" s="54"/>
      <c r="AT313" s="48">
        <v>846.42</v>
      </c>
      <c r="AU313" s="54"/>
      <c r="AV313" s="54"/>
      <c r="AW313" s="54"/>
      <c r="AX313" s="54"/>
      <c r="AY313" s="54"/>
      <c r="AZ313" s="54">
        <f>1286.74</f>
        <v>1286.74</v>
      </c>
      <c r="BA313" s="54"/>
      <c r="BB313" s="54"/>
      <c r="BC313" s="54"/>
      <c r="BD313" s="54"/>
      <c r="BE313" s="54"/>
      <c r="BF313" s="54"/>
      <c r="BG313" s="54"/>
      <c r="BH313" s="54"/>
      <c r="BI313" s="54"/>
      <c r="BJ313" s="54"/>
      <c r="BK313" s="54"/>
      <c r="BL313" s="54"/>
      <c r="BM313" s="54"/>
      <c r="BN313" s="54">
        <f t="shared" si="471"/>
        <v>0</v>
      </c>
      <c r="BO313" s="58">
        <f t="shared" si="472"/>
        <v>0</v>
      </c>
      <c r="BP313" s="54">
        <f t="shared" si="473"/>
        <v>0</v>
      </c>
      <c r="BQ313" s="54">
        <f t="shared" si="474"/>
        <v>0</v>
      </c>
      <c r="BR313" s="54">
        <f t="shared" si="475"/>
        <v>0</v>
      </c>
      <c r="BS313" s="54">
        <f t="shared" si="476"/>
        <v>0</v>
      </c>
      <c r="BT313" s="54">
        <f t="shared" si="477"/>
        <v>9.0949470177292824E-13</v>
      </c>
      <c r="BU313" s="54">
        <f t="shared" si="478"/>
        <v>0</v>
      </c>
      <c r="BV313" s="54">
        <f t="shared" si="479"/>
        <v>0</v>
      </c>
      <c r="BW313" s="54">
        <f t="shared" si="480"/>
        <v>9.0949470177292824E-13</v>
      </c>
      <c r="BX313" s="1"/>
      <c r="BY313" s="1"/>
      <c r="BZ313" s="1"/>
      <c r="CA313" s="1"/>
      <c r="CB313" s="1"/>
      <c r="CC313" s="1"/>
      <c r="CD313" s="1"/>
      <c r="CE313" s="1"/>
      <c r="CF313" s="1"/>
      <c r="CG313" s="1"/>
    </row>
    <row r="314" spans="1:85" ht="15.75" customHeight="1">
      <c r="A314" s="83"/>
      <c r="B314" s="430" t="s">
        <v>672</v>
      </c>
      <c r="C314" s="394" t="s">
        <v>652</v>
      </c>
      <c r="D314" s="44" t="s">
        <v>673</v>
      </c>
      <c r="E314" s="45"/>
      <c r="F314" s="46"/>
      <c r="G314" s="46">
        <f t="shared" si="451"/>
        <v>0</v>
      </c>
      <c r="H314" s="46"/>
      <c r="I314" s="47">
        <f t="shared" si="447"/>
        <v>0</v>
      </c>
      <c r="J314" s="47">
        <f t="shared" si="448"/>
        <v>0</v>
      </c>
      <c r="K314" s="49"/>
      <c r="L314" s="54">
        <v>2420.64</v>
      </c>
      <c r="M314" s="54"/>
      <c r="N314" s="54"/>
      <c r="O314" s="51">
        <f t="shared" si="452"/>
        <v>0</v>
      </c>
      <c r="P314" s="51">
        <f t="shared" si="453"/>
        <v>2420.64</v>
      </c>
      <c r="Q314" s="51">
        <f t="shared" si="454"/>
        <v>0</v>
      </c>
      <c r="R314" s="52">
        <f t="shared" si="455"/>
        <v>0</v>
      </c>
      <c r="S314" s="52">
        <f t="shared" si="456"/>
        <v>2420.64</v>
      </c>
      <c r="T314" s="52">
        <f t="shared" si="457"/>
        <v>0</v>
      </c>
      <c r="U314" s="369">
        <f t="shared" si="458"/>
        <v>0</v>
      </c>
      <c r="V314" s="369">
        <f t="shared" si="459"/>
        <v>0</v>
      </c>
      <c r="W314" s="369">
        <f t="shared" si="460"/>
        <v>0</v>
      </c>
      <c r="X314" s="53">
        <f t="shared" si="406"/>
        <v>0</v>
      </c>
      <c r="Y314" s="53">
        <f t="shared" si="407"/>
        <v>1</v>
      </c>
      <c r="Z314" s="53">
        <f t="shared" si="408"/>
        <v>0</v>
      </c>
      <c r="AA314" s="54"/>
      <c r="AB314" s="54"/>
      <c r="AC314" s="54"/>
      <c r="AD314" s="54"/>
      <c r="AE314" s="55"/>
      <c r="AF314" s="55"/>
      <c r="AG314" s="55"/>
      <c r="AH314" s="55"/>
      <c r="AI314" s="54"/>
      <c r="AJ314" s="54"/>
      <c r="AK314" s="54"/>
      <c r="AL314" s="54"/>
      <c r="AM314" s="54"/>
      <c r="AN314" s="54"/>
      <c r="AO314" s="54"/>
      <c r="AP314" s="54"/>
      <c r="AQ314" s="54"/>
      <c r="AR314" s="54"/>
      <c r="AS314" s="54"/>
      <c r="AT314" s="54"/>
      <c r="AU314" s="54"/>
      <c r="AV314" s="54"/>
      <c r="AW314" s="48">
        <v>1568.25</v>
      </c>
      <c r="AX314" s="54"/>
      <c r="AY314" s="54"/>
      <c r="AZ314" s="54">
        <f>852.39</f>
        <v>852.39</v>
      </c>
      <c r="BA314" s="54"/>
      <c r="BB314" s="54"/>
      <c r="BC314" s="54"/>
      <c r="BD314" s="54"/>
      <c r="BE314" s="54"/>
      <c r="BF314" s="54"/>
      <c r="BG314" s="54"/>
      <c r="BH314" s="54"/>
      <c r="BI314" s="54"/>
      <c r="BJ314" s="54"/>
      <c r="BK314" s="54"/>
      <c r="BL314" s="54"/>
      <c r="BM314" s="54"/>
      <c r="BN314" s="54">
        <f t="shared" si="471"/>
        <v>0</v>
      </c>
      <c r="BO314" s="58">
        <f t="shared" si="472"/>
        <v>0</v>
      </c>
      <c r="BP314" s="54">
        <f t="shared" si="473"/>
        <v>0</v>
      </c>
      <c r="BQ314" s="54">
        <f t="shared" si="474"/>
        <v>0</v>
      </c>
      <c r="BR314" s="54">
        <f t="shared" si="475"/>
        <v>0</v>
      </c>
      <c r="BS314" s="54">
        <f t="shared" si="476"/>
        <v>0</v>
      </c>
      <c r="BT314" s="54">
        <f t="shared" si="477"/>
        <v>0</v>
      </c>
      <c r="BU314" s="54">
        <f t="shared" si="478"/>
        <v>0</v>
      </c>
      <c r="BV314" s="54">
        <f t="shared" si="479"/>
        <v>0</v>
      </c>
      <c r="BW314" s="54">
        <f t="shared" si="480"/>
        <v>0</v>
      </c>
      <c r="BX314" s="1"/>
      <c r="BY314" s="1"/>
      <c r="BZ314" s="1"/>
      <c r="CA314" s="1"/>
      <c r="CB314" s="1"/>
      <c r="CC314" s="1"/>
      <c r="CD314" s="1"/>
      <c r="CE314" s="1"/>
      <c r="CF314" s="1"/>
      <c r="CG314" s="1"/>
    </row>
    <row r="315" spans="1:85" ht="15.75" customHeight="1">
      <c r="A315" s="83"/>
      <c r="B315" s="430" t="s">
        <v>674</v>
      </c>
      <c r="C315" s="394" t="s">
        <v>652</v>
      </c>
      <c r="D315" s="44" t="s">
        <v>675</v>
      </c>
      <c r="E315" s="45"/>
      <c r="F315" s="46"/>
      <c r="G315" s="46">
        <f t="shared" si="451"/>
        <v>0</v>
      </c>
      <c r="H315" s="46"/>
      <c r="I315" s="47">
        <f t="shared" si="447"/>
        <v>0</v>
      </c>
      <c r="J315" s="47">
        <f t="shared" si="448"/>
        <v>0</v>
      </c>
      <c r="K315" s="49"/>
      <c r="L315" s="54">
        <v>2420.64</v>
      </c>
      <c r="M315" s="54"/>
      <c r="N315" s="54"/>
      <c r="O315" s="51">
        <f t="shared" si="452"/>
        <v>0</v>
      </c>
      <c r="P315" s="51">
        <f t="shared" si="453"/>
        <v>0</v>
      </c>
      <c r="Q315" s="51">
        <f t="shared" si="454"/>
        <v>0</v>
      </c>
      <c r="R315" s="52">
        <f t="shared" si="455"/>
        <v>0</v>
      </c>
      <c r="S315" s="52">
        <f t="shared" si="456"/>
        <v>0</v>
      </c>
      <c r="T315" s="52">
        <f t="shared" si="457"/>
        <v>0</v>
      </c>
      <c r="U315" s="369">
        <f t="shared" si="458"/>
        <v>0</v>
      </c>
      <c r="V315" s="369">
        <f t="shared" si="459"/>
        <v>2420.64</v>
      </c>
      <c r="W315" s="369">
        <f t="shared" si="460"/>
        <v>0</v>
      </c>
      <c r="X315" s="53">
        <f t="shared" si="406"/>
        <v>0</v>
      </c>
      <c r="Y315" s="53">
        <f t="shared" si="407"/>
        <v>0</v>
      </c>
      <c r="Z315" s="53">
        <f t="shared" si="408"/>
        <v>0</v>
      </c>
      <c r="AA315" s="54"/>
      <c r="AB315" s="54"/>
      <c r="AC315" s="54"/>
      <c r="AD315" s="54"/>
      <c r="AE315" s="55"/>
      <c r="AF315" s="55"/>
      <c r="AG315" s="55"/>
      <c r="AH315" s="55"/>
      <c r="AI315" s="54"/>
      <c r="AJ315" s="54"/>
      <c r="AK315" s="54"/>
      <c r="AL315" s="54"/>
      <c r="AM315" s="54"/>
      <c r="AN315" s="54"/>
      <c r="AO315" s="54"/>
      <c r="AP315" s="54"/>
      <c r="AQ315" s="54"/>
      <c r="AR315" s="54"/>
      <c r="AS315" s="54"/>
      <c r="AT315" s="54"/>
      <c r="AU315" s="54"/>
      <c r="AV315" s="54"/>
      <c r="AW315" s="54"/>
      <c r="AX315" s="54"/>
      <c r="AY315" s="54"/>
      <c r="AZ315" s="54"/>
      <c r="BA315" s="54"/>
      <c r="BB315" s="54"/>
      <c r="BC315" s="54"/>
      <c r="BD315" s="54"/>
      <c r="BE315" s="54"/>
      <c r="BF315" s="54"/>
      <c r="BG315" s="54"/>
      <c r="BH315" s="54"/>
      <c r="BI315" s="54"/>
      <c r="BJ315" s="54"/>
      <c r="BK315" s="54"/>
      <c r="BL315" s="54"/>
      <c r="BM315" s="54"/>
      <c r="BN315" s="54">
        <f t="shared" si="471"/>
        <v>0</v>
      </c>
      <c r="BO315" s="58">
        <f t="shared" si="472"/>
        <v>0</v>
      </c>
      <c r="BP315" s="54">
        <f t="shared" si="473"/>
        <v>0</v>
      </c>
      <c r="BQ315" s="54">
        <f t="shared" si="474"/>
        <v>0</v>
      </c>
      <c r="BR315" s="54">
        <f t="shared" si="475"/>
        <v>0</v>
      </c>
      <c r="BS315" s="54">
        <f t="shared" si="476"/>
        <v>0</v>
      </c>
      <c r="BT315" s="54">
        <f t="shared" si="477"/>
        <v>2420.64</v>
      </c>
      <c r="BU315" s="54">
        <f t="shared" si="478"/>
        <v>0</v>
      </c>
      <c r="BV315" s="54">
        <f t="shared" si="479"/>
        <v>0</v>
      </c>
      <c r="BW315" s="54">
        <f t="shared" si="480"/>
        <v>2420.64</v>
      </c>
      <c r="BX315" s="1"/>
      <c r="BY315" s="1"/>
      <c r="BZ315" s="1"/>
      <c r="CA315" s="1"/>
      <c r="CB315" s="1"/>
      <c r="CC315" s="1"/>
      <c r="CD315" s="1"/>
      <c r="CE315" s="1"/>
      <c r="CF315" s="1"/>
      <c r="CG315" s="1"/>
    </row>
    <row r="316" spans="1:85" ht="15.75" customHeight="1">
      <c r="A316" s="83"/>
      <c r="B316" s="430" t="s">
        <v>676</v>
      </c>
      <c r="C316" s="394" t="s">
        <v>652</v>
      </c>
      <c r="D316" s="44" t="s">
        <v>677</v>
      </c>
      <c r="E316" s="45"/>
      <c r="F316" s="46"/>
      <c r="G316" s="46">
        <f t="shared" si="451"/>
        <v>0</v>
      </c>
      <c r="H316" s="46"/>
      <c r="I316" s="47">
        <f t="shared" si="447"/>
        <v>0</v>
      </c>
      <c r="J316" s="47">
        <f t="shared" si="448"/>
        <v>0</v>
      </c>
      <c r="K316" s="49"/>
      <c r="L316" s="54">
        <v>998.01</v>
      </c>
      <c r="M316" s="48">
        <v>0.01</v>
      </c>
      <c r="N316" s="54"/>
      <c r="O316" s="51">
        <f t="shared" si="452"/>
        <v>0</v>
      </c>
      <c r="P316" s="51">
        <f t="shared" si="453"/>
        <v>998</v>
      </c>
      <c r="Q316" s="51">
        <f t="shared" si="454"/>
        <v>0</v>
      </c>
      <c r="R316" s="52">
        <f t="shared" si="455"/>
        <v>0</v>
      </c>
      <c r="S316" s="52">
        <f t="shared" si="456"/>
        <v>998</v>
      </c>
      <c r="T316" s="52">
        <f t="shared" si="457"/>
        <v>0</v>
      </c>
      <c r="U316" s="369">
        <f t="shared" si="458"/>
        <v>0</v>
      </c>
      <c r="V316" s="369">
        <f t="shared" si="459"/>
        <v>-9.0951551845463996E-15</v>
      </c>
      <c r="W316" s="369">
        <f t="shared" si="460"/>
        <v>0</v>
      </c>
      <c r="X316" s="53">
        <f t="shared" si="406"/>
        <v>0</v>
      </c>
      <c r="Y316" s="53">
        <f t="shared" si="407"/>
        <v>0.99998998006032003</v>
      </c>
      <c r="Z316" s="53">
        <f t="shared" si="408"/>
        <v>0</v>
      </c>
      <c r="AA316" s="54"/>
      <c r="AB316" s="54"/>
      <c r="AC316" s="54"/>
      <c r="AD316" s="54"/>
      <c r="AE316" s="55"/>
      <c r="AF316" s="55"/>
      <c r="AG316" s="55"/>
      <c r="AH316" s="55"/>
      <c r="AI316" s="54"/>
      <c r="AJ316" s="54"/>
      <c r="AK316" s="54"/>
      <c r="AL316" s="54"/>
      <c r="AM316" s="54"/>
      <c r="AN316" s="54"/>
      <c r="AO316" s="54"/>
      <c r="AP316" s="54"/>
      <c r="AQ316" s="48">
        <v>998</v>
      </c>
      <c r="AR316" s="54"/>
      <c r="AS316" s="54"/>
      <c r="AT316" s="54"/>
      <c r="AU316" s="54"/>
      <c r="AV316" s="54"/>
      <c r="AW316" s="54"/>
      <c r="AX316" s="54"/>
      <c r="AY316" s="54"/>
      <c r="AZ316" s="54"/>
      <c r="BA316" s="54"/>
      <c r="BB316" s="54"/>
      <c r="BC316" s="54"/>
      <c r="BD316" s="54"/>
      <c r="BE316" s="54"/>
      <c r="BF316" s="54"/>
      <c r="BG316" s="54"/>
      <c r="BH316" s="54"/>
      <c r="BI316" s="54"/>
      <c r="BJ316" s="54"/>
      <c r="BK316" s="54"/>
      <c r="BL316" s="54"/>
      <c r="BM316" s="54"/>
      <c r="BN316" s="54">
        <f t="shared" si="471"/>
        <v>0</v>
      </c>
      <c r="BO316" s="58">
        <f t="shared" si="472"/>
        <v>0</v>
      </c>
      <c r="BP316" s="54">
        <f t="shared" si="473"/>
        <v>0</v>
      </c>
      <c r="BQ316" s="54">
        <f t="shared" si="474"/>
        <v>0</v>
      </c>
      <c r="BR316" s="54">
        <f t="shared" si="475"/>
        <v>0</v>
      </c>
      <c r="BS316" s="54">
        <f t="shared" si="476"/>
        <v>0</v>
      </c>
      <c r="BT316" s="54">
        <f t="shared" si="477"/>
        <v>0</v>
      </c>
      <c r="BU316" s="54">
        <f t="shared" si="478"/>
        <v>0</v>
      </c>
      <c r="BV316" s="54">
        <f t="shared" si="479"/>
        <v>0</v>
      </c>
      <c r="BW316" s="54">
        <f t="shared" si="480"/>
        <v>0</v>
      </c>
      <c r="BX316" s="1"/>
      <c r="BY316" s="1"/>
      <c r="BZ316" s="1"/>
      <c r="CA316" s="1"/>
      <c r="CB316" s="1"/>
      <c r="CC316" s="1"/>
      <c r="CD316" s="1"/>
      <c r="CE316" s="1"/>
      <c r="CF316" s="1"/>
      <c r="CG316" s="1"/>
    </row>
    <row r="317" spans="1:85" ht="15.75" customHeight="1">
      <c r="A317" s="187"/>
      <c r="B317" s="426"/>
      <c r="C317" s="394" t="s">
        <v>652</v>
      </c>
      <c r="D317" s="44" t="s">
        <v>678</v>
      </c>
      <c r="E317" s="45"/>
      <c r="F317" s="46"/>
      <c r="G317" s="46">
        <f t="shared" si="451"/>
        <v>0</v>
      </c>
      <c r="H317" s="46"/>
      <c r="I317" s="47">
        <f t="shared" si="447"/>
        <v>0</v>
      </c>
      <c r="J317" s="47">
        <f t="shared" si="448"/>
        <v>0</v>
      </c>
      <c r="K317" s="49"/>
      <c r="L317" s="54"/>
      <c r="M317" s="54"/>
      <c r="N317" s="54"/>
      <c r="O317" s="51">
        <f t="shared" si="452"/>
        <v>0</v>
      </c>
      <c r="P317" s="51">
        <f t="shared" si="453"/>
        <v>0</v>
      </c>
      <c r="Q317" s="51">
        <f t="shared" si="454"/>
        <v>0</v>
      </c>
      <c r="R317" s="52">
        <f t="shared" si="455"/>
        <v>0</v>
      </c>
      <c r="S317" s="52">
        <f t="shared" si="456"/>
        <v>0</v>
      </c>
      <c r="T317" s="52">
        <f t="shared" si="457"/>
        <v>0</v>
      </c>
      <c r="U317" s="369">
        <f t="shared" si="458"/>
        <v>0</v>
      </c>
      <c r="V317" s="369">
        <f t="shared" si="459"/>
        <v>0</v>
      </c>
      <c r="W317" s="369">
        <f t="shared" si="460"/>
        <v>0</v>
      </c>
      <c r="X317" s="53">
        <f t="shared" si="406"/>
        <v>0</v>
      </c>
      <c r="Y317" s="53">
        <f t="shared" si="407"/>
        <v>0</v>
      </c>
      <c r="Z317" s="53">
        <f t="shared" si="408"/>
        <v>0</v>
      </c>
      <c r="AA317" s="54"/>
      <c r="AB317" s="54"/>
      <c r="AC317" s="54"/>
      <c r="AD317" s="54"/>
      <c r="AE317" s="55"/>
      <c r="AF317" s="55"/>
      <c r="AG317" s="55"/>
      <c r="AH317" s="55"/>
      <c r="AI317" s="54"/>
      <c r="AJ317" s="54"/>
      <c r="AK317" s="54"/>
      <c r="AL317" s="54"/>
      <c r="AM317" s="54"/>
      <c r="AN317" s="54"/>
      <c r="AO317" s="54"/>
      <c r="AP317" s="54"/>
      <c r="AQ317" s="54"/>
      <c r="AR317" s="54"/>
      <c r="AS317" s="54"/>
      <c r="AT317" s="54"/>
      <c r="AU317" s="54"/>
      <c r="AV317" s="54"/>
      <c r="AW317" s="54"/>
      <c r="AX317" s="54"/>
      <c r="AY317" s="54"/>
      <c r="AZ317" s="54"/>
      <c r="BA317" s="54"/>
      <c r="BB317" s="54"/>
      <c r="BC317" s="54"/>
      <c r="BD317" s="54"/>
      <c r="BE317" s="54"/>
      <c r="BF317" s="54"/>
      <c r="BG317" s="54"/>
      <c r="BH317" s="54"/>
      <c r="BI317" s="54"/>
      <c r="BJ317" s="54"/>
      <c r="BK317" s="54"/>
      <c r="BL317" s="54"/>
      <c r="BM317" s="54"/>
      <c r="BN317" s="54">
        <f t="shared" si="471"/>
        <v>0</v>
      </c>
      <c r="BO317" s="58">
        <f t="shared" si="472"/>
        <v>0</v>
      </c>
      <c r="BP317" s="54">
        <f t="shared" si="473"/>
        <v>0</v>
      </c>
      <c r="BQ317" s="54">
        <f t="shared" si="474"/>
        <v>0</v>
      </c>
      <c r="BR317" s="54">
        <f t="shared" si="475"/>
        <v>0</v>
      </c>
      <c r="BS317" s="54">
        <f t="shared" si="476"/>
        <v>0</v>
      </c>
      <c r="BT317" s="54">
        <f t="shared" si="477"/>
        <v>0</v>
      </c>
      <c r="BU317" s="54">
        <f t="shared" si="478"/>
        <v>0</v>
      </c>
      <c r="BV317" s="54">
        <f t="shared" si="479"/>
        <v>0</v>
      </c>
      <c r="BW317" s="54">
        <f t="shared" si="480"/>
        <v>0</v>
      </c>
      <c r="BX317" s="1"/>
      <c r="BY317" s="1"/>
      <c r="BZ317" s="1"/>
      <c r="CA317" s="1"/>
      <c r="CB317" s="1"/>
      <c r="CC317" s="1"/>
      <c r="CD317" s="1"/>
      <c r="CE317" s="1"/>
      <c r="CF317" s="1"/>
      <c r="CG317" s="1"/>
    </row>
    <row r="318" spans="1:85" ht="15.75" customHeight="1">
      <c r="A318" s="81" t="s">
        <v>679</v>
      </c>
      <c r="B318" s="429" t="s">
        <v>680</v>
      </c>
      <c r="C318" s="394" t="s">
        <v>652</v>
      </c>
      <c r="D318" s="73" t="s">
        <v>681</v>
      </c>
      <c r="E318" s="45"/>
      <c r="F318" s="46"/>
      <c r="G318" s="46">
        <f t="shared" si="451"/>
        <v>0</v>
      </c>
      <c r="H318" s="46"/>
      <c r="I318" s="47">
        <f t="shared" si="447"/>
        <v>0</v>
      </c>
      <c r="J318" s="47">
        <f t="shared" si="448"/>
        <v>0</v>
      </c>
      <c r="K318" s="49"/>
      <c r="L318" s="54">
        <v>1097.5999999999999</v>
      </c>
      <c r="M318" s="54"/>
      <c r="N318" s="48">
        <v>20489.5</v>
      </c>
      <c r="O318" s="51">
        <f t="shared" si="452"/>
        <v>0</v>
      </c>
      <c r="P318" s="51">
        <f t="shared" si="453"/>
        <v>1097.5999999999999</v>
      </c>
      <c r="Q318" s="51">
        <f t="shared" si="454"/>
        <v>3235.6</v>
      </c>
      <c r="R318" s="52">
        <f t="shared" si="455"/>
        <v>0</v>
      </c>
      <c r="S318" s="52">
        <f t="shared" si="456"/>
        <v>1097.5999999999999</v>
      </c>
      <c r="T318" s="52">
        <f t="shared" si="457"/>
        <v>3235.6</v>
      </c>
      <c r="U318" s="369">
        <f t="shared" si="458"/>
        <v>0</v>
      </c>
      <c r="V318" s="369">
        <f t="shared" si="459"/>
        <v>0</v>
      </c>
      <c r="W318" s="368">
        <f t="shared" si="460"/>
        <v>17253.900000000001</v>
      </c>
      <c r="X318" s="53">
        <f t="shared" si="406"/>
        <v>0</v>
      </c>
      <c r="Y318" s="53">
        <f t="shared" si="407"/>
        <v>1</v>
      </c>
      <c r="Z318" s="53">
        <f t="shared" si="408"/>
        <v>0.15791502964933257</v>
      </c>
      <c r="AA318" s="54"/>
      <c r="AB318" s="54"/>
      <c r="AC318" s="54"/>
      <c r="AD318" s="54"/>
      <c r="AE318" s="76">
        <v>1097.5999999999999</v>
      </c>
      <c r="AF318" s="55"/>
      <c r="AG318" s="55"/>
      <c r="AH318" s="55"/>
      <c r="AI318" s="54"/>
      <c r="AJ318" s="54"/>
      <c r="AK318" s="54"/>
      <c r="AL318" s="54"/>
      <c r="AM318" s="54"/>
      <c r="AN318" s="54"/>
      <c r="AO318" s="48">
        <v>835.2</v>
      </c>
      <c r="AP318" s="54"/>
      <c r="AQ318" s="54"/>
      <c r="AR318" s="54"/>
      <c r="AS318" s="54"/>
      <c r="AT318" s="54"/>
      <c r="AU318" s="48">
        <v>256.8</v>
      </c>
      <c r="AV318" s="54"/>
      <c r="AW318" s="54"/>
      <c r="AX318" s="54">
        <f>738.6</f>
        <v>738.6</v>
      </c>
      <c r="AY318" s="54"/>
      <c r="AZ318" s="54"/>
      <c r="BA318" s="54">
        <f>1405</f>
        <v>1405</v>
      </c>
      <c r="BB318" s="54"/>
      <c r="BC318" s="54"/>
      <c r="BD318" s="54"/>
      <c r="BE318" s="54"/>
      <c r="BF318" s="54"/>
      <c r="BG318" s="54"/>
      <c r="BH318" s="54"/>
      <c r="BI318" s="54"/>
      <c r="BJ318" s="54"/>
      <c r="BK318" s="54"/>
      <c r="BL318" s="54"/>
      <c r="BM318" s="54"/>
      <c r="BN318" s="54">
        <f t="shared" si="471"/>
        <v>0</v>
      </c>
      <c r="BO318" s="58">
        <f t="shared" si="472"/>
        <v>3235.6</v>
      </c>
      <c r="BP318" s="54">
        <f t="shared" si="473"/>
        <v>3235.6</v>
      </c>
      <c r="BQ318" s="54">
        <f t="shared" si="474"/>
        <v>0</v>
      </c>
      <c r="BR318" s="54">
        <f t="shared" si="475"/>
        <v>17253.900000000001</v>
      </c>
      <c r="BS318" s="54">
        <f t="shared" si="476"/>
        <v>17253.900000000001</v>
      </c>
      <c r="BT318" s="54">
        <f t="shared" si="477"/>
        <v>0</v>
      </c>
      <c r="BU318" s="54">
        <f t="shared" si="478"/>
        <v>3235.6</v>
      </c>
      <c r="BV318" s="54">
        <f t="shared" si="479"/>
        <v>17253.900000000001</v>
      </c>
      <c r="BW318" s="54">
        <f t="shared" si="480"/>
        <v>3235.6</v>
      </c>
      <c r="BX318" s="1"/>
      <c r="BY318" s="1"/>
      <c r="BZ318" s="1"/>
      <c r="CA318" s="1"/>
      <c r="CB318" s="1"/>
      <c r="CC318" s="1"/>
      <c r="CD318" s="1"/>
      <c r="CE318" s="1"/>
      <c r="CF318" s="1"/>
      <c r="CG318" s="1"/>
    </row>
    <row r="319" spans="1:85" ht="15.75" customHeight="1">
      <c r="A319" s="81" t="s">
        <v>682</v>
      </c>
      <c r="B319" s="429" t="s">
        <v>683</v>
      </c>
      <c r="C319" s="394" t="s">
        <v>652</v>
      </c>
      <c r="D319" s="73" t="s">
        <v>684</v>
      </c>
      <c r="E319" s="45"/>
      <c r="F319" s="46"/>
      <c r="G319" s="46">
        <f t="shared" si="451"/>
        <v>0</v>
      </c>
      <c r="H319" s="46"/>
      <c r="I319" s="47">
        <f t="shared" si="447"/>
        <v>0</v>
      </c>
      <c r="J319" s="47">
        <f t="shared" si="448"/>
        <v>0</v>
      </c>
      <c r="K319" s="49"/>
      <c r="L319" s="54">
        <v>37096.75</v>
      </c>
      <c r="M319" s="54"/>
      <c r="N319" s="48">
        <v>112369</v>
      </c>
      <c r="O319" s="51">
        <f t="shared" si="452"/>
        <v>0</v>
      </c>
      <c r="P319" s="51">
        <f t="shared" si="453"/>
        <v>26564.449999999997</v>
      </c>
      <c r="Q319" s="51">
        <f t="shared" si="454"/>
        <v>112369</v>
      </c>
      <c r="R319" s="52">
        <f t="shared" si="455"/>
        <v>0</v>
      </c>
      <c r="S319" s="52">
        <f t="shared" si="456"/>
        <v>26564.449999999997</v>
      </c>
      <c r="T319" s="52">
        <f t="shared" si="457"/>
        <v>112369</v>
      </c>
      <c r="U319" s="369">
        <f t="shared" si="458"/>
        <v>0</v>
      </c>
      <c r="V319" s="369">
        <f t="shared" si="459"/>
        <v>10532.300000000003</v>
      </c>
      <c r="W319" s="368">
        <f t="shared" si="460"/>
        <v>0</v>
      </c>
      <c r="X319" s="53">
        <f t="shared" si="406"/>
        <v>0</v>
      </c>
      <c r="Y319" s="53">
        <f t="shared" si="407"/>
        <v>0.71608564092541793</v>
      </c>
      <c r="Z319" s="53">
        <f t="shared" si="408"/>
        <v>1</v>
      </c>
      <c r="AA319" s="54"/>
      <c r="AB319" s="54"/>
      <c r="AC319" s="54"/>
      <c r="AD319" s="54"/>
      <c r="AE319" s="76">
        <v>3060.4</v>
      </c>
      <c r="AF319" s="55"/>
      <c r="AG319" s="55"/>
      <c r="AH319" s="76">
        <v>3256.6</v>
      </c>
      <c r="AI319" s="48"/>
      <c r="AJ319" s="54"/>
      <c r="AK319" s="54">
        <f>2209.6+4516</f>
        <v>6725.6</v>
      </c>
      <c r="AL319" s="48">
        <v>9540.2999999999993</v>
      </c>
      <c r="AM319" s="54"/>
      <c r="AN319" s="48">
        <v>3256.2</v>
      </c>
      <c r="AO319" s="54">
        <f>4680+10280</f>
        <v>14960</v>
      </c>
      <c r="AP319" s="54"/>
      <c r="AQ319" s="48">
        <v>1338</v>
      </c>
      <c r="AR319" s="54">
        <f>17223.2+19396.4</f>
        <v>36619.600000000006</v>
      </c>
      <c r="AS319" s="54"/>
      <c r="AT319" s="48">
        <v>3132</v>
      </c>
      <c r="AU319" s="48">
        <v>41874.199999999997</v>
      </c>
      <c r="AV319" s="54"/>
      <c r="AW319" s="54">
        <f>1317.6+3140.05</f>
        <v>4457.6499999999996</v>
      </c>
      <c r="AX319" s="54">
        <f>9374.9</f>
        <v>9374.9</v>
      </c>
      <c r="AY319" s="54"/>
      <c r="AZ319" s="54">
        <f>1338</f>
        <v>1338</v>
      </c>
      <c r="BA319" s="54"/>
      <c r="BB319" s="54"/>
      <c r="BC319" s="54"/>
      <c r="BD319" s="54"/>
      <c r="BE319" s="54"/>
      <c r="BF319" s="54"/>
      <c r="BG319" s="54"/>
      <c r="BH319" s="54"/>
      <c r="BI319" s="54"/>
      <c r="BJ319" s="54"/>
      <c r="BK319" s="54"/>
      <c r="BL319" s="54"/>
      <c r="BM319" s="54"/>
      <c r="BN319" s="54">
        <f t="shared" si="471"/>
        <v>0</v>
      </c>
      <c r="BO319" s="58">
        <f t="shared" si="472"/>
        <v>112369</v>
      </c>
      <c r="BP319" s="54">
        <f t="shared" si="473"/>
        <v>112369</v>
      </c>
      <c r="BQ319" s="54">
        <f t="shared" si="474"/>
        <v>0</v>
      </c>
      <c r="BR319" s="54">
        <f t="shared" si="475"/>
        <v>0</v>
      </c>
      <c r="BS319" s="54">
        <f t="shared" si="476"/>
        <v>0</v>
      </c>
      <c r="BT319" s="54">
        <f t="shared" si="477"/>
        <v>10532.300000000003</v>
      </c>
      <c r="BU319" s="54">
        <f t="shared" si="478"/>
        <v>112369</v>
      </c>
      <c r="BV319" s="54">
        <f t="shared" si="479"/>
        <v>0</v>
      </c>
      <c r="BW319" s="54">
        <f t="shared" si="480"/>
        <v>122901.3</v>
      </c>
      <c r="BX319" s="1"/>
      <c r="BY319" s="1"/>
      <c r="BZ319" s="1"/>
      <c r="CA319" s="1"/>
      <c r="CB319" s="1"/>
      <c r="CC319" s="1"/>
      <c r="CD319" s="1"/>
      <c r="CE319" s="1"/>
      <c r="CF319" s="1"/>
      <c r="CG319" s="1"/>
    </row>
    <row r="320" spans="1:85" ht="15.75" customHeight="1">
      <c r="A320" s="83"/>
      <c r="B320" s="429" t="s">
        <v>685</v>
      </c>
      <c r="C320" s="394" t="s">
        <v>652</v>
      </c>
      <c r="D320" s="44" t="s">
        <v>686</v>
      </c>
      <c r="E320" s="45"/>
      <c r="F320" s="46"/>
      <c r="G320" s="46">
        <f t="shared" si="451"/>
        <v>0</v>
      </c>
      <c r="H320" s="46"/>
      <c r="I320" s="47">
        <f t="shared" si="447"/>
        <v>0</v>
      </c>
      <c r="J320" s="47">
        <f t="shared" si="448"/>
        <v>0</v>
      </c>
      <c r="K320" s="49"/>
      <c r="L320" s="54">
        <v>78623.75</v>
      </c>
      <c r="M320" s="54"/>
      <c r="N320" s="54"/>
      <c r="O320" s="51">
        <f t="shared" si="452"/>
        <v>0</v>
      </c>
      <c r="P320" s="51">
        <f t="shared" si="453"/>
        <v>36104.979999999996</v>
      </c>
      <c r="Q320" s="51">
        <f t="shared" si="454"/>
        <v>0</v>
      </c>
      <c r="R320" s="52">
        <f t="shared" si="455"/>
        <v>0</v>
      </c>
      <c r="S320" s="52">
        <f t="shared" si="456"/>
        <v>36104.979999999996</v>
      </c>
      <c r="T320" s="52">
        <f t="shared" si="457"/>
        <v>0</v>
      </c>
      <c r="U320" s="369">
        <f t="shared" si="458"/>
        <v>0</v>
      </c>
      <c r="V320" s="369">
        <f t="shared" si="459"/>
        <v>42518.770000000004</v>
      </c>
      <c r="W320" s="369">
        <f t="shared" si="460"/>
        <v>0</v>
      </c>
      <c r="X320" s="53">
        <f t="shared" si="406"/>
        <v>0</v>
      </c>
      <c r="Y320" s="53">
        <f t="shared" si="407"/>
        <v>0.45921213373821518</v>
      </c>
      <c r="Z320" s="53">
        <f t="shared" si="408"/>
        <v>0</v>
      </c>
      <c r="AA320" s="54"/>
      <c r="AB320" s="54"/>
      <c r="AC320" s="54"/>
      <c r="AD320" s="54"/>
      <c r="AE320" s="76">
        <v>5846.66</v>
      </c>
      <c r="AF320" s="55"/>
      <c r="AG320" s="55"/>
      <c r="AH320" s="48">
        <v>1710</v>
      </c>
      <c r="AI320" s="48"/>
      <c r="AJ320" s="54"/>
      <c r="AK320" s="54">
        <f>867+2263</f>
        <v>3130</v>
      </c>
      <c r="AL320" s="54"/>
      <c r="AM320" s="54"/>
      <c r="AN320" s="48">
        <v>426</v>
      </c>
      <c r="AO320" s="54"/>
      <c r="AP320" s="54"/>
      <c r="AQ320" s="48">
        <v>1156</v>
      </c>
      <c r="AR320" s="54"/>
      <c r="AS320" s="54"/>
      <c r="AT320" s="48">
        <v>1700.6</v>
      </c>
      <c r="AU320" s="54"/>
      <c r="AV320" s="54"/>
      <c r="AW320" s="54">
        <f>699.72+4467+2204</f>
        <v>7370.72</v>
      </c>
      <c r="AX320" s="54"/>
      <c r="AY320" s="54"/>
      <c r="AZ320" s="54">
        <f>11966+2799</f>
        <v>14765</v>
      </c>
      <c r="BA320" s="54"/>
      <c r="BB320" s="54"/>
      <c r="BC320" s="54"/>
      <c r="BD320" s="54"/>
      <c r="BE320" s="54"/>
      <c r="BF320" s="54"/>
      <c r="BG320" s="54"/>
      <c r="BH320" s="54"/>
      <c r="BI320" s="54"/>
      <c r="BJ320" s="54"/>
      <c r="BK320" s="54"/>
      <c r="BL320" s="54"/>
      <c r="BM320" s="54"/>
      <c r="BN320" s="54">
        <f t="shared" si="471"/>
        <v>0</v>
      </c>
      <c r="BO320" s="58">
        <f t="shared" si="472"/>
        <v>0</v>
      </c>
      <c r="BP320" s="54">
        <f t="shared" si="473"/>
        <v>0</v>
      </c>
      <c r="BQ320" s="54">
        <f t="shared" si="474"/>
        <v>0</v>
      </c>
      <c r="BR320" s="54">
        <f t="shared" si="475"/>
        <v>0</v>
      </c>
      <c r="BS320" s="54">
        <f t="shared" si="476"/>
        <v>0</v>
      </c>
      <c r="BT320" s="54">
        <f t="shared" si="477"/>
        <v>42518.770000000004</v>
      </c>
      <c r="BU320" s="54">
        <f t="shared" si="478"/>
        <v>0</v>
      </c>
      <c r="BV320" s="54">
        <f t="shared" si="479"/>
        <v>0</v>
      </c>
      <c r="BW320" s="54">
        <f t="shared" si="480"/>
        <v>42518.770000000004</v>
      </c>
      <c r="BX320" s="1"/>
      <c r="BY320" s="1"/>
      <c r="BZ320" s="1"/>
      <c r="CA320" s="1"/>
      <c r="CB320" s="1"/>
      <c r="CC320" s="1"/>
      <c r="CD320" s="1"/>
      <c r="CE320" s="1"/>
      <c r="CF320" s="1"/>
      <c r="CG320" s="1"/>
    </row>
    <row r="321" spans="1:85" ht="15.75" customHeight="1">
      <c r="A321" s="188"/>
      <c r="B321" s="434"/>
      <c r="C321" s="401"/>
      <c r="D321" s="111" t="s">
        <v>687</v>
      </c>
      <c r="E321" s="112">
        <f>E322+E328+E334</f>
        <v>69432.98000000001</v>
      </c>
      <c r="F321" s="113">
        <f>F322+F328+F334</f>
        <v>7568.18</v>
      </c>
      <c r="G321" s="113">
        <f>G322+G328+G334</f>
        <v>61864.799999999996</v>
      </c>
      <c r="H321" s="113">
        <f>H322+H328+H334</f>
        <v>0</v>
      </c>
      <c r="I321" s="169">
        <f t="shared" si="447"/>
        <v>0</v>
      </c>
      <c r="J321" s="169">
        <f t="shared" si="448"/>
        <v>0</v>
      </c>
      <c r="K321" s="113">
        <f t="shared" ref="K321:BW321" si="481">K322+K328+K334</f>
        <v>0</v>
      </c>
      <c r="L321" s="113">
        <f t="shared" si="481"/>
        <v>0</v>
      </c>
      <c r="M321" s="189">
        <f t="shared" si="481"/>
        <v>0</v>
      </c>
      <c r="N321" s="113">
        <f t="shared" si="481"/>
        <v>0</v>
      </c>
      <c r="O321" s="113">
        <f t="shared" si="481"/>
        <v>0</v>
      </c>
      <c r="P321" s="113">
        <f t="shared" si="481"/>
        <v>0</v>
      </c>
      <c r="Q321" s="113">
        <f t="shared" si="481"/>
        <v>0</v>
      </c>
      <c r="R321" s="113">
        <f t="shared" si="481"/>
        <v>0</v>
      </c>
      <c r="S321" s="113">
        <f t="shared" si="481"/>
        <v>0</v>
      </c>
      <c r="T321" s="113">
        <f t="shared" si="481"/>
        <v>0</v>
      </c>
      <c r="U321" s="372">
        <f t="shared" si="481"/>
        <v>0</v>
      </c>
      <c r="V321" s="372">
        <f t="shared" si="481"/>
        <v>0</v>
      </c>
      <c r="W321" s="372">
        <f t="shared" si="481"/>
        <v>0</v>
      </c>
      <c r="X321" s="113">
        <f t="shared" si="481"/>
        <v>0</v>
      </c>
      <c r="Y321" s="113">
        <f t="shared" si="481"/>
        <v>0</v>
      </c>
      <c r="Z321" s="113">
        <f t="shared" si="481"/>
        <v>0</v>
      </c>
      <c r="AA321" s="113">
        <f t="shared" si="481"/>
        <v>0</v>
      </c>
      <c r="AB321" s="113">
        <f t="shared" si="481"/>
        <v>0</v>
      </c>
      <c r="AC321" s="113">
        <f t="shared" si="481"/>
        <v>0</v>
      </c>
      <c r="AD321" s="113">
        <f t="shared" si="481"/>
        <v>0</v>
      </c>
      <c r="AE321" s="113">
        <f t="shared" si="481"/>
        <v>0</v>
      </c>
      <c r="AF321" s="113">
        <f t="shared" si="481"/>
        <v>0</v>
      </c>
      <c r="AG321" s="113">
        <f t="shared" si="481"/>
        <v>0</v>
      </c>
      <c r="AH321" s="113">
        <f t="shared" si="481"/>
        <v>0</v>
      </c>
      <c r="AI321" s="113">
        <f t="shared" si="481"/>
        <v>0</v>
      </c>
      <c r="AJ321" s="113">
        <f t="shared" si="481"/>
        <v>0</v>
      </c>
      <c r="AK321" s="113">
        <f t="shared" si="481"/>
        <v>0</v>
      </c>
      <c r="AL321" s="113">
        <f t="shared" si="481"/>
        <v>0</v>
      </c>
      <c r="AM321" s="113">
        <f t="shared" si="481"/>
        <v>0</v>
      </c>
      <c r="AN321" s="113">
        <f t="shared" si="481"/>
        <v>0</v>
      </c>
      <c r="AO321" s="113">
        <f t="shared" si="481"/>
        <v>0</v>
      </c>
      <c r="AP321" s="113">
        <f t="shared" si="481"/>
        <v>0</v>
      </c>
      <c r="AQ321" s="113">
        <f t="shared" si="481"/>
        <v>0</v>
      </c>
      <c r="AR321" s="113">
        <f t="shared" si="481"/>
        <v>0</v>
      </c>
      <c r="AS321" s="113">
        <f t="shared" si="481"/>
        <v>0</v>
      </c>
      <c r="AT321" s="113">
        <f t="shared" si="481"/>
        <v>0</v>
      </c>
      <c r="AU321" s="113">
        <f t="shared" si="481"/>
        <v>0</v>
      </c>
      <c r="AV321" s="113">
        <f t="shared" si="481"/>
        <v>0</v>
      </c>
      <c r="AW321" s="113">
        <f t="shared" si="481"/>
        <v>0</v>
      </c>
      <c r="AX321" s="113">
        <f t="shared" si="481"/>
        <v>0</v>
      </c>
      <c r="AY321" s="113">
        <f t="shared" si="481"/>
        <v>0</v>
      </c>
      <c r="AZ321" s="113">
        <f t="shared" si="481"/>
        <v>0</v>
      </c>
      <c r="BA321" s="113">
        <f t="shared" si="481"/>
        <v>0</v>
      </c>
      <c r="BB321" s="113">
        <f t="shared" si="481"/>
        <v>0</v>
      </c>
      <c r="BC321" s="113">
        <f t="shared" si="481"/>
        <v>0</v>
      </c>
      <c r="BD321" s="113">
        <f t="shared" si="481"/>
        <v>0</v>
      </c>
      <c r="BE321" s="113">
        <f t="shared" si="481"/>
        <v>0</v>
      </c>
      <c r="BF321" s="113">
        <f t="shared" si="481"/>
        <v>0</v>
      </c>
      <c r="BG321" s="113">
        <f t="shared" si="481"/>
        <v>0</v>
      </c>
      <c r="BH321" s="113">
        <f t="shared" si="481"/>
        <v>0</v>
      </c>
      <c r="BI321" s="113">
        <f t="shared" si="481"/>
        <v>0</v>
      </c>
      <c r="BJ321" s="113">
        <f t="shared" si="481"/>
        <v>0</v>
      </c>
      <c r="BK321" s="113">
        <f t="shared" si="481"/>
        <v>0</v>
      </c>
      <c r="BL321" s="113">
        <f t="shared" si="481"/>
        <v>0</v>
      </c>
      <c r="BM321" s="113">
        <f t="shared" si="481"/>
        <v>0</v>
      </c>
      <c r="BN321" s="113">
        <f t="shared" si="481"/>
        <v>0</v>
      </c>
      <c r="BO321" s="113">
        <f t="shared" si="481"/>
        <v>0</v>
      </c>
      <c r="BP321" s="113">
        <f>BP322+BP328+BP334</f>
        <v>0</v>
      </c>
      <c r="BQ321" s="113">
        <f t="shared" si="481"/>
        <v>0</v>
      </c>
      <c r="BR321" s="113">
        <f t="shared" si="481"/>
        <v>0</v>
      </c>
      <c r="BS321" s="113">
        <f t="shared" si="481"/>
        <v>0</v>
      </c>
      <c r="BT321" s="113">
        <f t="shared" si="481"/>
        <v>0</v>
      </c>
      <c r="BU321" s="113">
        <f t="shared" si="481"/>
        <v>0</v>
      </c>
      <c r="BV321" s="113">
        <f t="shared" si="481"/>
        <v>0</v>
      </c>
      <c r="BW321" s="113">
        <f t="shared" si="481"/>
        <v>0</v>
      </c>
      <c r="BX321" s="1"/>
      <c r="BY321" s="1"/>
      <c r="BZ321" s="1"/>
      <c r="CA321" s="1"/>
      <c r="CB321" s="1"/>
      <c r="CC321" s="1"/>
      <c r="CD321" s="1"/>
      <c r="CE321" s="1"/>
      <c r="CF321" s="1"/>
      <c r="CG321" s="1"/>
    </row>
    <row r="322" spans="1:85" ht="15.75" customHeight="1">
      <c r="A322" s="190"/>
      <c r="B322" s="448"/>
      <c r="C322" s="406"/>
      <c r="D322" s="191" t="s">
        <v>688</v>
      </c>
      <c r="E322" s="192">
        <f>SUM(E323:E327)</f>
        <v>23144.32</v>
      </c>
      <c r="F322" s="193">
        <f>SUM(F323:F327)</f>
        <v>2522.7199999999998</v>
      </c>
      <c r="G322" s="193">
        <f>SUM(G323:G327)</f>
        <v>20621.599999999999</v>
      </c>
      <c r="H322" s="193">
        <f>SUM(H323:H327)</f>
        <v>0</v>
      </c>
      <c r="I322" s="194">
        <f t="shared" si="447"/>
        <v>0</v>
      </c>
      <c r="J322" s="194">
        <f t="shared" si="448"/>
        <v>0</v>
      </c>
      <c r="K322" s="193">
        <f t="shared" ref="K322:BW322" si="482">SUM(K323:K327)</f>
        <v>0</v>
      </c>
      <c r="L322" s="193">
        <f t="shared" si="482"/>
        <v>0</v>
      </c>
      <c r="M322" s="195">
        <f t="shared" si="482"/>
        <v>0</v>
      </c>
      <c r="N322" s="193">
        <f t="shared" si="482"/>
        <v>0</v>
      </c>
      <c r="O322" s="193">
        <f t="shared" si="482"/>
        <v>0</v>
      </c>
      <c r="P322" s="193">
        <f t="shared" si="482"/>
        <v>0</v>
      </c>
      <c r="Q322" s="193">
        <f t="shared" si="482"/>
        <v>0</v>
      </c>
      <c r="R322" s="193">
        <f t="shared" si="482"/>
        <v>0</v>
      </c>
      <c r="S322" s="193">
        <f t="shared" si="482"/>
        <v>0</v>
      </c>
      <c r="T322" s="193">
        <f t="shared" si="482"/>
        <v>0</v>
      </c>
      <c r="U322" s="377">
        <f t="shared" si="482"/>
        <v>0</v>
      </c>
      <c r="V322" s="377">
        <f t="shared" si="482"/>
        <v>0</v>
      </c>
      <c r="W322" s="377">
        <f t="shared" si="482"/>
        <v>0</v>
      </c>
      <c r="X322" s="193">
        <f t="shared" si="482"/>
        <v>0</v>
      </c>
      <c r="Y322" s="193">
        <f t="shared" si="482"/>
        <v>0</v>
      </c>
      <c r="Z322" s="193">
        <f t="shared" si="482"/>
        <v>0</v>
      </c>
      <c r="AA322" s="193">
        <f t="shared" si="482"/>
        <v>0</v>
      </c>
      <c r="AB322" s="193">
        <f t="shared" si="482"/>
        <v>0</v>
      </c>
      <c r="AC322" s="193">
        <f t="shared" si="482"/>
        <v>0</v>
      </c>
      <c r="AD322" s="193">
        <f t="shared" si="482"/>
        <v>0</v>
      </c>
      <c r="AE322" s="193">
        <f t="shared" si="482"/>
        <v>0</v>
      </c>
      <c r="AF322" s="193">
        <f t="shared" si="482"/>
        <v>0</v>
      </c>
      <c r="AG322" s="193">
        <f t="shared" si="482"/>
        <v>0</v>
      </c>
      <c r="AH322" s="193">
        <f t="shared" si="482"/>
        <v>0</v>
      </c>
      <c r="AI322" s="193">
        <f t="shared" si="482"/>
        <v>0</v>
      </c>
      <c r="AJ322" s="193">
        <f t="shared" si="482"/>
        <v>0</v>
      </c>
      <c r="AK322" s="193">
        <f t="shared" si="482"/>
        <v>0</v>
      </c>
      <c r="AL322" s="193">
        <f t="shared" si="482"/>
        <v>0</v>
      </c>
      <c r="AM322" s="193">
        <f t="shared" si="482"/>
        <v>0</v>
      </c>
      <c r="AN322" s="193">
        <f t="shared" si="482"/>
        <v>0</v>
      </c>
      <c r="AO322" s="193">
        <f t="shared" si="482"/>
        <v>0</v>
      </c>
      <c r="AP322" s="193">
        <f t="shared" si="482"/>
        <v>0</v>
      </c>
      <c r="AQ322" s="193">
        <f t="shared" si="482"/>
        <v>0</v>
      </c>
      <c r="AR322" s="193">
        <f t="shared" si="482"/>
        <v>0</v>
      </c>
      <c r="AS322" s="193">
        <f t="shared" si="482"/>
        <v>0</v>
      </c>
      <c r="AT322" s="193">
        <f t="shared" si="482"/>
        <v>0</v>
      </c>
      <c r="AU322" s="193">
        <f t="shared" si="482"/>
        <v>0</v>
      </c>
      <c r="AV322" s="193">
        <f t="shared" si="482"/>
        <v>0</v>
      </c>
      <c r="AW322" s="193">
        <f t="shared" si="482"/>
        <v>0</v>
      </c>
      <c r="AX322" s="193">
        <f t="shared" si="482"/>
        <v>0</v>
      </c>
      <c r="AY322" s="193">
        <f t="shared" si="482"/>
        <v>0</v>
      </c>
      <c r="AZ322" s="193">
        <f t="shared" si="482"/>
        <v>0</v>
      </c>
      <c r="BA322" s="193">
        <f t="shared" si="482"/>
        <v>0</v>
      </c>
      <c r="BB322" s="193">
        <f t="shared" si="482"/>
        <v>0</v>
      </c>
      <c r="BC322" s="193">
        <f t="shared" si="482"/>
        <v>0</v>
      </c>
      <c r="BD322" s="193">
        <f t="shared" si="482"/>
        <v>0</v>
      </c>
      <c r="BE322" s="193">
        <f t="shared" si="482"/>
        <v>0</v>
      </c>
      <c r="BF322" s="193">
        <f t="shared" si="482"/>
        <v>0</v>
      </c>
      <c r="BG322" s="193">
        <f t="shared" si="482"/>
        <v>0</v>
      </c>
      <c r="BH322" s="193">
        <f t="shared" si="482"/>
        <v>0</v>
      </c>
      <c r="BI322" s="193">
        <f t="shared" si="482"/>
        <v>0</v>
      </c>
      <c r="BJ322" s="193">
        <f t="shared" si="482"/>
        <v>0</v>
      </c>
      <c r="BK322" s="193">
        <f t="shared" si="482"/>
        <v>0</v>
      </c>
      <c r="BL322" s="193">
        <f t="shared" si="482"/>
        <v>0</v>
      </c>
      <c r="BM322" s="193">
        <f t="shared" si="482"/>
        <v>0</v>
      </c>
      <c r="BN322" s="193">
        <f t="shared" si="482"/>
        <v>0</v>
      </c>
      <c r="BO322" s="193">
        <f t="shared" si="482"/>
        <v>0</v>
      </c>
      <c r="BP322" s="193">
        <f>SUM(BP323:BP327)</f>
        <v>0</v>
      </c>
      <c r="BQ322" s="193">
        <f t="shared" si="482"/>
        <v>0</v>
      </c>
      <c r="BR322" s="193">
        <f t="shared" si="482"/>
        <v>0</v>
      </c>
      <c r="BS322" s="193">
        <f t="shared" si="482"/>
        <v>0</v>
      </c>
      <c r="BT322" s="193">
        <f t="shared" si="482"/>
        <v>0</v>
      </c>
      <c r="BU322" s="193">
        <f t="shared" si="482"/>
        <v>0</v>
      </c>
      <c r="BV322" s="193">
        <f t="shared" si="482"/>
        <v>0</v>
      </c>
      <c r="BW322" s="193">
        <f t="shared" si="482"/>
        <v>0</v>
      </c>
      <c r="BX322" s="1"/>
      <c r="BY322" s="1"/>
      <c r="BZ322" s="1"/>
      <c r="CA322" s="1"/>
      <c r="CB322" s="1"/>
      <c r="CC322" s="1"/>
      <c r="CD322" s="1"/>
      <c r="CE322" s="1"/>
      <c r="CF322" s="1"/>
      <c r="CG322" s="1"/>
    </row>
    <row r="323" spans="1:85" ht="15.75" customHeight="1">
      <c r="A323" s="56"/>
      <c r="B323" s="426"/>
      <c r="C323" s="394" t="s">
        <v>117</v>
      </c>
      <c r="D323" s="44" t="s">
        <v>118</v>
      </c>
      <c r="E323" s="45">
        <v>2000</v>
      </c>
      <c r="F323" s="57">
        <v>0</v>
      </c>
      <c r="G323" s="46">
        <f>E323-F323</f>
        <v>2000</v>
      </c>
      <c r="H323" s="46"/>
      <c r="I323" s="47">
        <f t="shared" si="447"/>
        <v>0</v>
      </c>
      <c r="J323" s="47">
        <f t="shared" si="448"/>
        <v>0</v>
      </c>
      <c r="K323" s="142"/>
      <c r="L323" s="49"/>
      <c r="M323" s="54"/>
      <c r="N323" s="49"/>
      <c r="O323" s="51">
        <f t="shared" ref="O323:Q327" si="483">AA323+AD323+AG323+AJ323+AM323+AP323+AS323+AV323+AY323+BB323+BE323+BH323</f>
        <v>0</v>
      </c>
      <c r="P323" s="51">
        <f t="shared" si="483"/>
        <v>0</v>
      </c>
      <c r="Q323" s="51">
        <f t="shared" si="483"/>
        <v>0</v>
      </c>
      <c r="R323" s="52">
        <f t="shared" ref="R323:T327" si="484">IF(BK323=0,SUM(AA323+AD323+AG323+AJ323+AM323+AP323+AS323+AV323+AY323+BB323+BE323+BH323),BK323)</f>
        <v>0</v>
      </c>
      <c r="S323" s="52">
        <f t="shared" si="484"/>
        <v>0</v>
      </c>
      <c r="T323" s="52">
        <f t="shared" si="484"/>
        <v>0</v>
      </c>
      <c r="U323" s="369">
        <f>K323-O323</f>
        <v>0</v>
      </c>
      <c r="V323" s="369">
        <f>L323-P323-M323</f>
        <v>0</v>
      </c>
      <c r="W323" s="369">
        <f>N323-Q323</f>
        <v>0</v>
      </c>
      <c r="X323" s="53">
        <f t="shared" ref="X323:Y327" si="485">IF(O323&gt;0,O323/K323,0)</f>
        <v>0</v>
      </c>
      <c r="Y323" s="53">
        <f t="shared" si="485"/>
        <v>0</v>
      </c>
      <c r="Z323" s="53">
        <f>IF(Q323&gt;0,Q323/N323,0)</f>
        <v>0</v>
      </c>
      <c r="AA323" s="54"/>
      <c r="AB323" s="54"/>
      <c r="AC323" s="54"/>
      <c r="AD323" s="54"/>
      <c r="AE323" s="55"/>
      <c r="AF323" s="55"/>
      <c r="AG323" s="55"/>
      <c r="AH323" s="55"/>
      <c r="AI323" s="54"/>
      <c r="AJ323" s="54"/>
      <c r="AK323" s="54"/>
      <c r="AL323" s="54"/>
      <c r="AM323" s="54"/>
      <c r="AN323" s="54"/>
      <c r="AO323" s="54"/>
      <c r="AP323" s="54"/>
      <c r="AQ323" s="54"/>
      <c r="AR323" s="54"/>
      <c r="AS323" s="54"/>
      <c r="AT323" s="54"/>
      <c r="AU323" s="54"/>
      <c r="AV323" s="54"/>
      <c r="AW323" s="54"/>
      <c r="AX323" s="54"/>
      <c r="AY323" s="54"/>
      <c r="AZ323" s="54"/>
      <c r="BA323" s="54"/>
      <c r="BB323" s="54"/>
      <c r="BC323" s="54"/>
      <c r="BD323" s="54"/>
      <c r="BE323" s="54"/>
      <c r="BF323" s="54"/>
      <c r="BG323" s="54"/>
      <c r="BH323" s="54"/>
      <c r="BI323" s="54"/>
      <c r="BJ323" s="54"/>
      <c r="BK323" s="54"/>
      <c r="BL323" s="54"/>
      <c r="BM323" s="54"/>
      <c r="BN323" s="54">
        <f t="shared" ref="BN323:BN327" si="486">IF(O323-BK323&gt;0,O323-BK323,0)</f>
        <v>0</v>
      </c>
      <c r="BO323" s="58">
        <f t="shared" ref="BO323:BO327" si="487">IF(Q323-BM323&gt;0,Q323-BM323,0)</f>
        <v>0</v>
      </c>
      <c r="BP323" s="54">
        <f t="shared" ref="BP323:BP327" si="488">IF(BN323+BO323&gt;0,BN323+BO323,0)</f>
        <v>0</v>
      </c>
      <c r="BQ323" s="54">
        <f t="shared" ref="BQ323:BQ327" si="489">IF(U323=0,0,U323)</f>
        <v>0</v>
      </c>
      <c r="BR323" s="54">
        <f t="shared" ref="BR323:BR327" si="490">IF(W323=0,0,W323)</f>
        <v>0</v>
      </c>
      <c r="BS323" s="54">
        <f t="shared" ref="BS323:BS327" si="491">IF(BQ323+BR323&gt;0,BQ323+BR323,0)</f>
        <v>0</v>
      </c>
      <c r="BT323" s="54">
        <f t="shared" ref="BT323:BT327" si="492">IF(V323&gt;0,V323,0)</f>
        <v>0</v>
      </c>
      <c r="BU323" s="54">
        <f t="shared" ref="BU323:BU327" si="493">IF(BP323=0,0,BP323)</f>
        <v>0</v>
      </c>
      <c r="BV323" s="54">
        <f t="shared" ref="BV323:BV327" si="494">IF(BS323=0,0,BS323)</f>
        <v>0</v>
      </c>
      <c r="BW323" s="54">
        <f t="shared" ref="BW323:BW327" si="495">IF(BP323+BT323&gt;0,BP323+BT323,0)</f>
        <v>0</v>
      </c>
      <c r="BX323" s="1"/>
      <c r="BY323" s="1"/>
      <c r="BZ323" s="1"/>
      <c r="CA323" s="1"/>
      <c r="CB323" s="1"/>
      <c r="CC323" s="1"/>
      <c r="CD323" s="1"/>
      <c r="CE323" s="1"/>
      <c r="CF323" s="1"/>
      <c r="CG323" s="1"/>
    </row>
    <row r="324" spans="1:85" ht="15.75" customHeight="1">
      <c r="A324" s="56"/>
      <c r="B324" s="426"/>
      <c r="C324" s="394" t="s">
        <v>135</v>
      </c>
      <c r="D324" s="44" t="s">
        <v>136</v>
      </c>
      <c r="E324" s="45">
        <v>3000</v>
      </c>
      <c r="F324" s="46"/>
      <c r="G324" s="46">
        <f>E324-F324</f>
        <v>3000</v>
      </c>
      <c r="H324" s="46"/>
      <c r="I324" s="47">
        <f t="shared" si="447"/>
        <v>0</v>
      </c>
      <c r="J324" s="47">
        <f t="shared" si="448"/>
        <v>0</v>
      </c>
      <c r="K324" s="54"/>
      <c r="L324" s="49"/>
      <c r="M324" s="54"/>
      <c r="N324" s="49"/>
      <c r="O324" s="51">
        <f t="shared" si="483"/>
        <v>0</v>
      </c>
      <c r="P324" s="51">
        <f t="shared" si="483"/>
        <v>0</v>
      </c>
      <c r="Q324" s="51">
        <f t="shared" si="483"/>
        <v>0</v>
      </c>
      <c r="R324" s="52">
        <f t="shared" si="484"/>
        <v>0</v>
      </c>
      <c r="S324" s="52">
        <f t="shared" si="484"/>
        <v>0</v>
      </c>
      <c r="T324" s="52">
        <f t="shared" si="484"/>
        <v>0</v>
      </c>
      <c r="U324" s="369">
        <f>K324-O324</f>
        <v>0</v>
      </c>
      <c r="V324" s="369">
        <f>L324-P324-M324</f>
        <v>0</v>
      </c>
      <c r="W324" s="369">
        <f>N324-Q324</f>
        <v>0</v>
      </c>
      <c r="X324" s="53">
        <f t="shared" si="485"/>
        <v>0</v>
      </c>
      <c r="Y324" s="53">
        <f t="shared" si="485"/>
        <v>0</v>
      </c>
      <c r="Z324" s="53">
        <f>IF(Q324&gt;0,Q324/N324,0)</f>
        <v>0</v>
      </c>
      <c r="AA324" s="54"/>
      <c r="AB324" s="54"/>
      <c r="AC324" s="54"/>
      <c r="AD324" s="54"/>
      <c r="AE324" s="55"/>
      <c r="AF324" s="55"/>
      <c r="AG324" s="55"/>
      <c r="AH324" s="55"/>
      <c r="AI324" s="54"/>
      <c r="AJ324" s="54"/>
      <c r="AK324" s="54"/>
      <c r="AL324" s="54"/>
      <c r="AM324" s="54"/>
      <c r="AN324" s="54"/>
      <c r="AO324" s="54"/>
      <c r="AP324" s="54"/>
      <c r="AQ324" s="54"/>
      <c r="AR324" s="54"/>
      <c r="AS324" s="54"/>
      <c r="AT324" s="54"/>
      <c r="AU324" s="54"/>
      <c r="AV324" s="54"/>
      <c r="AW324" s="54"/>
      <c r="AX324" s="54"/>
      <c r="AY324" s="54"/>
      <c r="AZ324" s="54"/>
      <c r="BA324" s="54"/>
      <c r="BB324" s="54"/>
      <c r="BC324" s="54"/>
      <c r="BD324" s="54"/>
      <c r="BE324" s="54"/>
      <c r="BF324" s="54"/>
      <c r="BG324" s="54"/>
      <c r="BH324" s="54"/>
      <c r="BI324" s="54"/>
      <c r="BJ324" s="54"/>
      <c r="BK324" s="54"/>
      <c r="BL324" s="54"/>
      <c r="BM324" s="54"/>
      <c r="BN324" s="54">
        <f t="shared" si="486"/>
        <v>0</v>
      </c>
      <c r="BO324" s="58">
        <f t="shared" si="487"/>
        <v>0</v>
      </c>
      <c r="BP324" s="54">
        <f t="shared" si="488"/>
        <v>0</v>
      </c>
      <c r="BQ324" s="54">
        <f t="shared" si="489"/>
        <v>0</v>
      </c>
      <c r="BR324" s="54">
        <f t="shared" si="490"/>
        <v>0</v>
      </c>
      <c r="BS324" s="54">
        <f t="shared" si="491"/>
        <v>0</v>
      </c>
      <c r="BT324" s="54">
        <f t="shared" si="492"/>
        <v>0</v>
      </c>
      <c r="BU324" s="54">
        <f t="shared" si="493"/>
        <v>0</v>
      </c>
      <c r="BV324" s="54">
        <f t="shared" si="494"/>
        <v>0</v>
      </c>
      <c r="BW324" s="54">
        <f t="shared" si="495"/>
        <v>0</v>
      </c>
      <c r="BX324" s="1"/>
      <c r="BY324" s="1"/>
      <c r="BZ324" s="1"/>
      <c r="CA324" s="1"/>
      <c r="CB324" s="1"/>
      <c r="CC324" s="1"/>
      <c r="CD324" s="1"/>
      <c r="CE324" s="1"/>
      <c r="CF324" s="1"/>
      <c r="CG324" s="1"/>
    </row>
    <row r="325" spans="1:85" ht="15.75" customHeight="1">
      <c r="A325" s="56"/>
      <c r="B325" s="426"/>
      <c r="C325" s="394" t="s">
        <v>122</v>
      </c>
      <c r="D325" s="44" t="s">
        <v>123</v>
      </c>
      <c r="E325" s="45">
        <v>6000</v>
      </c>
      <c r="F325" s="46"/>
      <c r="G325" s="46">
        <f>E325-F325</f>
        <v>6000</v>
      </c>
      <c r="H325" s="46"/>
      <c r="I325" s="47">
        <f t="shared" si="447"/>
        <v>0</v>
      </c>
      <c r="J325" s="47">
        <f t="shared" si="448"/>
        <v>0</v>
      </c>
      <c r="K325" s="54"/>
      <c r="L325" s="49"/>
      <c r="M325" s="54"/>
      <c r="N325" s="49"/>
      <c r="O325" s="51">
        <f t="shared" si="483"/>
        <v>0</v>
      </c>
      <c r="P325" s="51">
        <f t="shared" si="483"/>
        <v>0</v>
      </c>
      <c r="Q325" s="51">
        <f t="shared" si="483"/>
        <v>0</v>
      </c>
      <c r="R325" s="52">
        <f t="shared" si="484"/>
        <v>0</v>
      </c>
      <c r="S325" s="52">
        <f t="shared" si="484"/>
        <v>0</v>
      </c>
      <c r="T325" s="52">
        <f t="shared" si="484"/>
        <v>0</v>
      </c>
      <c r="U325" s="369">
        <f>K325-O325</f>
        <v>0</v>
      </c>
      <c r="V325" s="369">
        <f>L325-P325-M325</f>
        <v>0</v>
      </c>
      <c r="W325" s="369">
        <f>N325-Q325</f>
        <v>0</v>
      </c>
      <c r="X325" s="53">
        <f t="shared" si="485"/>
        <v>0</v>
      </c>
      <c r="Y325" s="53">
        <f t="shared" si="485"/>
        <v>0</v>
      </c>
      <c r="Z325" s="53">
        <f>IF(Q325&gt;0,Q325/N325,0)</f>
        <v>0</v>
      </c>
      <c r="AA325" s="54"/>
      <c r="AB325" s="54"/>
      <c r="AC325" s="54"/>
      <c r="AD325" s="54"/>
      <c r="AE325" s="55"/>
      <c r="AF325" s="55"/>
      <c r="AG325" s="55"/>
      <c r="AH325" s="55"/>
      <c r="AI325" s="54"/>
      <c r="AJ325" s="54"/>
      <c r="AK325" s="54"/>
      <c r="AL325" s="54"/>
      <c r="AM325" s="54"/>
      <c r="AN325" s="54"/>
      <c r="AO325" s="54"/>
      <c r="AP325" s="54"/>
      <c r="AQ325" s="54"/>
      <c r="AR325" s="54"/>
      <c r="AS325" s="54"/>
      <c r="AT325" s="54"/>
      <c r="AU325" s="54"/>
      <c r="AV325" s="54"/>
      <c r="AW325" s="54"/>
      <c r="AX325" s="54"/>
      <c r="AY325" s="54"/>
      <c r="AZ325" s="54"/>
      <c r="BA325" s="54"/>
      <c r="BB325" s="54"/>
      <c r="BC325" s="54"/>
      <c r="BD325" s="54"/>
      <c r="BE325" s="54"/>
      <c r="BF325" s="54"/>
      <c r="BG325" s="54"/>
      <c r="BH325" s="54"/>
      <c r="BI325" s="54"/>
      <c r="BJ325" s="54"/>
      <c r="BK325" s="54"/>
      <c r="BL325" s="54"/>
      <c r="BM325" s="54"/>
      <c r="BN325" s="54">
        <f t="shared" si="486"/>
        <v>0</v>
      </c>
      <c r="BO325" s="58">
        <f t="shared" si="487"/>
        <v>0</v>
      </c>
      <c r="BP325" s="54">
        <f t="shared" si="488"/>
        <v>0</v>
      </c>
      <c r="BQ325" s="54">
        <f t="shared" si="489"/>
        <v>0</v>
      </c>
      <c r="BR325" s="54">
        <f t="shared" si="490"/>
        <v>0</v>
      </c>
      <c r="BS325" s="54">
        <f t="shared" si="491"/>
        <v>0</v>
      </c>
      <c r="BT325" s="54">
        <f t="shared" si="492"/>
        <v>0</v>
      </c>
      <c r="BU325" s="54">
        <f t="shared" si="493"/>
        <v>0</v>
      </c>
      <c r="BV325" s="54">
        <f t="shared" si="494"/>
        <v>0</v>
      </c>
      <c r="BW325" s="54">
        <f t="shared" si="495"/>
        <v>0</v>
      </c>
      <c r="BX325" s="1"/>
      <c r="BY325" s="1"/>
      <c r="BZ325" s="1"/>
      <c r="CA325" s="1"/>
      <c r="CB325" s="1"/>
      <c r="CC325" s="1"/>
      <c r="CD325" s="1"/>
      <c r="CE325" s="1"/>
      <c r="CF325" s="1"/>
      <c r="CG325" s="1"/>
    </row>
    <row r="326" spans="1:85" ht="15.75" customHeight="1">
      <c r="A326" s="56"/>
      <c r="B326" s="426"/>
      <c r="C326" s="394" t="s">
        <v>409</v>
      </c>
      <c r="D326" s="86" t="s">
        <v>410</v>
      </c>
      <c r="E326" s="45">
        <v>10000</v>
      </c>
      <c r="F326" s="80">
        <v>2522.7199999999998</v>
      </c>
      <c r="G326" s="46">
        <f>E326-F326</f>
        <v>7477.2800000000007</v>
      </c>
      <c r="H326" s="46"/>
      <c r="I326" s="47">
        <f t="shared" si="447"/>
        <v>0</v>
      </c>
      <c r="J326" s="47">
        <f t="shared" si="448"/>
        <v>0</v>
      </c>
      <c r="K326" s="54"/>
      <c r="L326" s="49"/>
      <c r="M326" s="54"/>
      <c r="N326" s="49"/>
      <c r="O326" s="51">
        <f t="shared" si="483"/>
        <v>0</v>
      </c>
      <c r="P326" s="51">
        <f t="shared" si="483"/>
        <v>0</v>
      </c>
      <c r="Q326" s="51">
        <f t="shared" si="483"/>
        <v>0</v>
      </c>
      <c r="R326" s="52">
        <f t="shared" si="484"/>
        <v>0</v>
      </c>
      <c r="S326" s="52">
        <f t="shared" si="484"/>
        <v>0</v>
      </c>
      <c r="T326" s="52">
        <f t="shared" si="484"/>
        <v>0</v>
      </c>
      <c r="U326" s="369">
        <f>K326-O326</f>
        <v>0</v>
      </c>
      <c r="V326" s="369">
        <f>L326-P326-M326</f>
        <v>0</v>
      </c>
      <c r="W326" s="369">
        <f>N326-Q326</f>
        <v>0</v>
      </c>
      <c r="X326" s="53">
        <f t="shared" si="485"/>
        <v>0</v>
      </c>
      <c r="Y326" s="53">
        <f t="shared" si="485"/>
        <v>0</v>
      </c>
      <c r="Z326" s="53">
        <f>IF(Q326&gt;0,Q326/N326,0)</f>
        <v>0</v>
      </c>
      <c r="AA326" s="54"/>
      <c r="AB326" s="54"/>
      <c r="AC326" s="54"/>
      <c r="AD326" s="54"/>
      <c r="AE326" s="55"/>
      <c r="AF326" s="55"/>
      <c r="AG326" s="55"/>
      <c r="AH326" s="55"/>
      <c r="AI326" s="54"/>
      <c r="AJ326" s="54"/>
      <c r="AK326" s="54"/>
      <c r="AL326" s="54"/>
      <c r="AM326" s="54"/>
      <c r="AN326" s="54"/>
      <c r="AO326" s="54"/>
      <c r="AP326" s="54"/>
      <c r="AQ326" s="54"/>
      <c r="AR326" s="54"/>
      <c r="AS326" s="54"/>
      <c r="AT326" s="54"/>
      <c r="AU326" s="54"/>
      <c r="AV326" s="54"/>
      <c r="AW326" s="54"/>
      <c r="AX326" s="54"/>
      <c r="AY326" s="54"/>
      <c r="AZ326" s="54"/>
      <c r="BA326" s="54"/>
      <c r="BB326" s="54"/>
      <c r="BC326" s="54"/>
      <c r="BD326" s="54"/>
      <c r="BE326" s="54"/>
      <c r="BF326" s="54"/>
      <c r="BG326" s="54"/>
      <c r="BH326" s="54"/>
      <c r="BI326" s="54"/>
      <c r="BJ326" s="54"/>
      <c r="BK326" s="54"/>
      <c r="BL326" s="54"/>
      <c r="BM326" s="54"/>
      <c r="BN326" s="54">
        <f t="shared" si="486"/>
        <v>0</v>
      </c>
      <c r="BO326" s="58">
        <f t="shared" si="487"/>
        <v>0</v>
      </c>
      <c r="BP326" s="54">
        <f t="shared" si="488"/>
        <v>0</v>
      </c>
      <c r="BQ326" s="54">
        <f t="shared" si="489"/>
        <v>0</v>
      </c>
      <c r="BR326" s="54">
        <f t="shared" si="490"/>
        <v>0</v>
      </c>
      <c r="BS326" s="54">
        <f t="shared" si="491"/>
        <v>0</v>
      </c>
      <c r="BT326" s="54">
        <f t="shared" si="492"/>
        <v>0</v>
      </c>
      <c r="BU326" s="54">
        <f t="shared" si="493"/>
        <v>0</v>
      </c>
      <c r="BV326" s="54">
        <f t="shared" si="494"/>
        <v>0</v>
      </c>
      <c r="BW326" s="54">
        <f t="shared" si="495"/>
        <v>0</v>
      </c>
      <c r="BX326" s="1"/>
      <c r="BY326" s="1"/>
      <c r="BZ326" s="1"/>
      <c r="CA326" s="1"/>
      <c r="CB326" s="1"/>
      <c r="CC326" s="1"/>
      <c r="CD326" s="1"/>
      <c r="CE326" s="1"/>
      <c r="CF326" s="1"/>
      <c r="CG326" s="1"/>
    </row>
    <row r="327" spans="1:85" ht="15.75" customHeight="1">
      <c r="A327" s="56"/>
      <c r="B327" s="426"/>
      <c r="C327" s="394" t="s">
        <v>323</v>
      </c>
      <c r="D327" s="90" t="s">
        <v>689</v>
      </c>
      <c r="E327" s="91">
        <v>2144.3200000000002</v>
      </c>
      <c r="F327" s="92"/>
      <c r="G327" s="46">
        <f>E327-F327</f>
        <v>2144.3200000000002</v>
      </c>
      <c r="H327" s="46"/>
      <c r="I327" s="47">
        <f t="shared" si="447"/>
        <v>0</v>
      </c>
      <c r="J327" s="47">
        <f t="shared" si="448"/>
        <v>0</v>
      </c>
      <c r="K327" s="54"/>
      <c r="L327" s="49"/>
      <c r="M327" s="54"/>
      <c r="N327" s="49"/>
      <c r="O327" s="51">
        <f t="shared" si="483"/>
        <v>0</v>
      </c>
      <c r="P327" s="51">
        <f t="shared" si="483"/>
        <v>0</v>
      </c>
      <c r="Q327" s="51">
        <f t="shared" si="483"/>
        <v>0</v>
      </c>
      <c r="R327" s="52">
        <f t="shared" si="484"/>
        <v>0</v>
      </c>
      <c r="S327" s="52">
        <f t="shared" si="484"/>
        <v>0</v>
      </c>
      <c r="T327" s="52">
        <f t="shared" si="484"/>
        <v>0</v>
      </c>
      <c r="U327" s="369">
        <f>K327-O327</f>
        <v>0</v>
      </c>
      <c r="V327" s="369">
        <f>L327-P327-M327</f>
        <v>0</v>
      </c>
      <c r="W327" s="369">
        <f>N327-Q327</f>
        <v>0</v>
      </c>
      <c r="X327" s="53">
        <f t="shared" si="485"/>
        <v>0</v>
      </c>
      <c r="Y327" s="53">
        <f t="shared" si="485"/>
        <v>0</v>
      </c>
      <c r="Z327" s="53">
        <f>IF(Q327&gt;0,Q327/N327,0)</f>
        <v>0</v>
      </c>
      <c r="AA327" s="54"/>
      <c r="AB327" s="54"/>
      <c r="AC327" s="54"/>
      <c r="AD327" s="54"/>
      <c r="AE327" s="55"/>
      <c r="AF327" s="55"/>
      <c r="AG327" s="55"/>
      <c r="AH327" s="55"/>
      <c r="AI327" s="54"/>
      <c r="AJ327" s="54"/>
      <c r="AK327" s="54"/>
      <c r="AL327" s="54"/>
      <c r="AM327" s="54"/>
      <c r="AN327" s="54"/>
      <c r="AO327" s="54"/>
      <c r="AP327" s="54"/>
      <c r="AQ327" s="54"/>
      <c r="AR327" s="54"/>
      <c r="AS327" s="54"/>
      <c r="AT327" s="54"/>
      <c r="AU327" s="54"/>
      <c r="AV327" s="54"/>
      <c r="AW327" s="54"/>
      <c r="AX327" s="54"/>
      <c r="AY327" s="54"/>
      <c r="AZ327" s="54"/>
      <c r="BA327" s="54"/>
      <c r="BB327" s="54"/>
      <c r="BC327" s="54"/>
      <c r="BD327" s="54"/>
      <c r="BE327" s="54"/>
      <c r="BF327" s="54"/>
      <c r="BG327" s="54"/>
      <c r="BH327" s="54"/>
      <c r="BI327" s="54"/>
      <c r="BJ327" s="54"/>
      <c r="BK327" s="54"/>
      <c r="BL327" s="54"/>
      <c r="BM327" s="54"/>
      <c r="BN327" s="54">
        <f t="shared" si="486"/>
        <v>0</v>
      </c>
      <c r="BO327" s="58">
        <f t="shared" si="487"/>
        <v>0</v>
      </c>
      <c r="BP327" s="54">
        <f t="shared" si="488"/>
        <v>0</v>
      </c>
      <c r="BQ327" s="54">
        <f t="shared" si="489"/>
        <v>0</v>
      </c>
      <c r="BR327" s="54">
        <f t="shared" si="490"/>
        <v>0</v>
      </c>
      <c r="BS327" s="54">
        <f t="shared" si="491"/>
        <v>0</v>
      </c>
      <c r="BT327" s="54">
        <f t="shared" si="492"/>
        <v>0</v>
      </c>
      <c r="BU327" s="54">
        <f t="shared" si="493"/>
        <v>0</v>
      </c>
      <c r="BV327" s="54">
        <f t="shared" si="494"/>
        <v>0</v>
      </c>
      <c r="BW327" s="54">
        <f t="shared" si="495"/>
        <v>0</v>
      </c>
      <c r="BX327" s="1"/>
      <c r="BY327" s="1"/>
      <c r="BZ327" s="1"/>
      <c r="CA327" s="1"/>
      <c r="CB327" s="1"/>
      <c r="CC327" s="1"/>
      <c r="CD327" s="1"/>
      <c r="CE327" s="1"/>
      <c r="CF327" s="1"/>
      <c r="CG327" s="1"/>
    </row>
    <row r="328" spans="1:85" ht="15.75" customHeight="1">
      <c r="A328" s="190"/>
      <c r="B328" s="448"/>
      <c r="C328" s="406"/>
      <c r="D328" s="191" t="s">
        <v>690</v>
      </c>
      <c r="E328" s="192">
        <f>SUM(E329:E333)</f>
        <v>23144.33</v>
      </c>
      <c r="F328" s="193">
        <f>SUM(F329:F333)</f>
        <v>2522.73</v>
      </c>
      <c r="G328" s="193">
        <f>SUM(G329:G333)</f>
        <v>20621.599999999999</v>
      </c>
      <c r="H328" s="193">
        <f>SUM(H329:H333)</f>
        <v>0</v>
      </c>
      <c r="I328" s="194">
        <f t="shared" si="447"/>
        <v>0</v>
      </c>
      <c r="J328" s="194">
        <f t="shared" si="448"/>
        <v>0</v>
      </c>
      <c r="K328" s="193">
        <f t="shared" ref="K328:BW328" si="496">SUM(K329:K333)</f>
        <v>0</v>
      </c>
      <c r="L328" s="193">
        <f t="shared" si="496"/>
        <v>0</v>
      </c>
      <c r="M328" s="193">
        <f t="shared" si="496"/>
        <v>0</v>
      </c>
      <c r="N328" s="193">
        <f t="shared" si="496"/>
        <v>0</v>
      </c>
      <c r="O328" s="193">
        <f t="shared" si="496"/>
        <v>0</v>
      </c>
      <c r="P328" s="193">
        <f t="shared" si="496"/>
        <v>0</v>
      </c>
      <c r="Q328" s="193">
        <f t="shared" si="496"/>
        <v>0</v>
      </c>
      <c r="R328" s="193">
        <f t="shared" si="496"/>
        <v>0</v>
      </c>
      <c r="S328" s="193">
        <f t="shared" si="496"/>
        <v>0</v>
      </c>
      <c r="T328" s="193">
        <f t="shared" si="496"/>
        <v>0</v>
      </c>
      <c r="U328" s="377">
        <f t="shared" si="496"/>
        <v>0</v>
      </c>
      <c r="V328" s="377">
        <f t="shared" si="496"/>
        <v>0</v>
      </c>
      <c r="W328" s="377">
        <f t="shared" si="496"/>
        <v>0</v>
      </c>
      <c r="X328" s="193">
        <f t="shared" si="496"/>
        <v>0</v>
      </c>
      <c r="Y328" s="193">
        <f t="shared" si="496"/>
        <v>0</v>
      </c>
      <c r="Z328" s="193">
        <f t="shared" si="496"/>
        <v>0</v>
      </c>
      <c r="AA328" s="193">
        <f t="shared" si="496"/>
        <v>0</v>
      </c>
      <c r="AB328" s="193">
        <f t="shared" si="496"/>
        <v>0</v>
      </c>
      <c r="AC328" s="193">
        <f t="shared" si="496"/>
        <v>0</v>
      </c>
      <c r="AD328" s="193">
        <f t="shared" si="496"/>
        <v>0</v>
      </c>
      <c r="AE328" s="193">
        <f t="shared" si="496"/>
        <v>0</v>
      </c>
      <c r="AF328" s="193">
        <f t="shared" si="496"/>
        <v>0</v>
      </c>
      <c r="AG328" s="193">
        <f t="shared" si="496"/>
        <v>0</v>
      </c>
      <c r="AH328" s="193">
        <f t="shared" si="496"/>
        <v>0</v>
      </c>
      <c r="AI328" s="193">
        <f t="shared" si="496"/>
        <v>0</v>
      </c>
      <c r="AJ328" s="193">
        <f t="shared" si="496"/>
        <v>0</v>
      </c>
      <c r="AK328" s="193">
        <f t="shared" si="496"/>
        <v>0</v>
      </c>
      <c r="AL328" s="193">
        <f t="shared" si="496"/>
        <v>0</v>
      </c>
      <c r="AM328" s="193">
        <f t="shared" si="496"/>
        <v>0</v>
      </c>
      <c r="AN328" s="193">
        <f t="shared" si="496"/>
        <v>0</v>
      </c>
      <c r="AO328" s="193">
        <f t="shared" si="496"/>
        <v>0</v>
      </c>
      <c r="AP328" s="193">
        <f t="shared" si="496"/>
        <v>0</v>
      </c>
      <c r="AQ328" s="193">
        <f t="shared" si="496"/>
        <v>0</v>
      </c>
      <c r="AR328" s="193">
        <f t="shared" si="496"/>
        <v>0</v>
      </c>
      <c r="AS328" s="193">
        <f t="shared" si="496"/>
        <v>0</v>
      </c>
      <c r="AT328" s="193">
        <f t="shared" si="496"/>
        <v>0</v>
      </c>
      <c r="AU328" s="193">
        <f t="shared" si="496"/>
        <v>0</v>
      </c>
      <c r="AV328" s="193">
        <f t="shared" si="496"/>
        <v>0</v>
      </c>
      <c r="AW328" s="193">
        <f t="shared" si="496"/>
        <v>0</v>
      </c>
      <c r="AX328" s="193">
        <f t="shared" si="496"/>
        <v>0</v>
      </c>
      <c r="AY328" s="193">
        <f t="shared" si="496"/>
        <v>0</v>
      </c>
      <c r="AZ328" s="193">
        <f t="shared" si="496"/>
        <v>0</v>
      </c>
      <c r="BA328" s="193">
        <f t="shared" si="496"/>
        <v>0</v>
      </c>
      <c r="BB328" s="193">
        <f t="shared" si="496"/>
        <v>0</v>
      </c>
      <c r="BC328" s="193">
        <f t="shared" si="496"/>
        <v>0</v>
      </c>
      <c r="BD328" s="193">
        <f t="shared" si="496"/>
        <v>0</v>
      </c>
      <c r="BE328" s="193">
        <f t="shared" si="496"/>
        <v>0</v>
      </c>
      <c r="BF328" s="193">
        <f t="shared" si="496"/>
        <v>0</v>
      </c>
      <c r="BG328" s="193">
        <f t="shared" si="496"/>
        <v>0</v>
      </c>
      <c r="BH328" s="193">
        <f t="shared" si="496"/>
        <v>0</v>
      </c>
      <c r="BI328" s="193">
        <f t="shared" si="496"/>
        <v>0</v>
      </c>
      <c r="BJ328" s="193">
        <f t="shared" si="496"/>
        <v>0</v>
      </c>
      <c r="BK328" s="193">
        <f t="shared" si="496"/>
        <v>0</v>
      </c>
      <c r="BL328" s="193">
        <f t="shared" si="496"/>
        <v>0</v>
      </c>
      <c r="BM328" s="193">
        <f t="shared" si="496"/>
        <v>0</v>
      </c>
      <c r="BN328" s="193">
        <f t="shared" si="496"/>
        <v>0</v>
      </c>
      <c r="BO328" s="193">
        <f t="shared" si="496"/>
        <v>0</v>
      </c>
      <c r="BP328" s="193">
        <f>SUM(BP329:BP333)</f>
        <v>0</v>
      </c>
      <c r="BQ328" s="193">
        <f t="shared" si="496"/>
        <v>0</v>
      </c>
      <c r="BR328" s="193">
        <f t="shared" si="496"/>
        <v>0</v>
      </c>
      <c r="BS328" s="193">
        <f t="shared" si="496"/>
        <v>0</v>
      </c>
      <c r="BT328" s="193">
        <f t="shared" si="496"/>
        <v>0</v>
      </c>
      <c r="BU328" s="193">
        <f t="shared" si="496"/>
        <v>0</v>
      </c>
      <c r="BV328" s="193">
        <f t="shared" si="496"/>
        <v>0</v>
      </c>
      <c r="BW328" s="193">
        <f t="shared" si="496"/>
        <v>0</v>
      </c>
      <c r="BX328" s="1"/>
      <c r="BY328" s="1"/>
      <c r="BZ328" s="1"/>
      <c r="CA328" s="1"/>
      <c r="CB328" s="1"/>
      <c r="CC328" s="1"/>
      <c r="CD328" s="1"/>
      <c r="CE328" s="1"/>
      <c r="CF328" s="1"/>
      <c r="CG328" s="1"/>
    </row>
    <row r="329" spans="1:85" ht="15.75" customHeight="1">
      <c r="A329" s="56"/>
      <c r="B329" s="426"/>
      <c r="C329" s="394" t="s">
        <v>117</v>
      </c>
      <c r="D329" s="44" t="s">
        <v>118</v>
      </c>
      <c r="E329" s="45">
        <v>2000</v>
      </c>
      <c r="F329" s="57">
        <v>0</v>
      </c>
      <c r="G329" s="46">
        <f>E329-F329</f>
        <v>2000</v>
      </c>
      <c r="H329" s="46"/>
      <c r="I329" s="47">
        <f t="shared" si="447"/>
        <v>0</v>
      </c>
      <c r="J329" s="47">
        <f t="shared" si="448"/>
        <v>0</v>
      </c>
      <c r="K329" s="54"/>
      <c r="L329" s="49"/>
      <c r="M329" s="54"/>
      <c r="N329" s="49"/>
      <c r="O329" s="51">
        <f t="shared" ref="O329:Q333" si="497">AA329+AD329+AG329+AJ329+AM329+AP329+AS329+AV329+AY329+BB329+BE329+BH329</f>
        <v>0</v>
      </c>
      <c r="P329" s="51">
        <f t="shared" si="497"/>
        <v>0</v>
      </c>
      <c r="Q329" s="51">
        <f t="shared" si="497"/>
        <v>0</v>
      </c>
      <c r="R329" s="52">
        <f t="shared" ref="R329:T333" si="498">IF(BK329=0,SUM(AA329+AD329+AG329+AJ329+AM329+AP329+AS329+AV329+AY329+BB329+BE329+BH329),BK329)</f>
        <v>0</v>
      </c>
      <c r="S329" s="52">
        <f t="shared" si="498"/>
        <v>0</v>
      </c>
      <c r="T329" s="52">
        <f t="shared" si="498"/>
        <v>0</v>
      </c>
      <c r="U329" s="369">
        <f>K329-O329</f>
        <v>0</v>
      </c>
      <c r="V329" s="369">
        <f>L329-P329-M329</f>
        <v>0</v>
      </c>
      <c r="W329" s="369">
        <f>N329-Q329</f>
        <v>0</v>
      </c>
      <c r="X329" s="53">
        <f t="shared" ref="X329:Y333" si="499">IF(O329&gt;0,O329/K329,0)</f>
        <v>0</v>
      </c>
      <c r="Y329" s="53">
        <f t="shared" si="499"/>
        <v>0</v>
      </c>
      <c r="Z329" s="53">
        <f>IF(Q329&gt;0,Q329/N329,0)</f>
        <v>0</v>
      </c>
      <c r="AA329" s="54"/>
      <c r="AB329" s="54"/>
      <c r="AC329" s="54"/>
      <c r="AD329" s="54"/>
      <c r="AE329" s="55"/>
      <c r="AF329" s="55"/>
      <c r="AG329" s="55"/>
      <c r="AH329" s="55"/>
      <c r="AI329" s="54"/>
      <c r="AJ329" s="54"/>
      <c r="AK329" s="54"/>
      <c r="AL329" s="54"/>
      <c r="AM329" s="54"/>
      <c r="AN329" s="54"/>
      <c r="AO329" s="54"/>
      <c r="AP329" s="54"/>
      <c r="AQ329" s="54"/>
      <c r="AR329" s="54"/>
      <c r="AS329" s="54"/>
      <c r="AT329" s="54"/>
      <c r="AU329" s="54"/>
      <c r="AV329" s="54"/>
      <c r="AW329" s="54"/>
      <c r="AX329" s="54"/>
      <c r="AY329" s="54"/>
      <c r="AZ329" s="54"/>
      <c r="BA329" s="54"/>
      <c r="BB329" s="54"/>
      <c r="BC329" s="54"/>
      <c r="BD329" s="54"/>
      <c r="BE329" s="54"/>
      <c r="BF329" s="54"/>
      <c r="BG329" s="54"/>
      <c r="BH329" s="54"/>
      <c r="BI329" s="54"/>
      <c r="BJ329" s="54"/>
      <c r="BK329" s="54"/>
      <c r="BL329" s="54"/>
      <c r="BM329" s="54"/>
      <c r="BN329" s="54">
        <f t="shared" ref="BN329:BN333" si="500">IF(O329-BK329&gt;0,O329-BK329,0)</f>
        <v>0</v>
      </c>
      <c r="BO329" s="58">
        <f t="shared" ref="BO329:BO333" si="501">IF(Q329-BM329&gt;0,Q329-BM329,0)</f>
        <v>0</v>
      </c>
      <c r="BP329" s="54">
        <f t="shared" ref="BP329:BP333" si="502">IF(BN329+BO329&gt;0,BN329+BO329,0)</f>
        <v>0</v>
      </c>
      <c r="BQ329" s="54">
        <f t="shared" ref="BQ329:BQ333" si="503">IF(U329=0,0,U329)</f>
        <v>0</v>
      </c>
      <c r="BR329" s="54">
        <f t="shared" ref="BR329:BR333" si="504">IF(W329=0,0,W329)</f>
        <v>0</v>
      </c>
      <c r="BS329" s="54">
        <f t="shared" ref="BS329:BS333" si="505">IF(BQ329+BR329&gt;0,BQ329+BR329,0)</f>
        <v>0</v>
      </c>
      <c r="BT329" s="54">
        <f t="shared" ref="BT329:BT333" si="506">IF(V329&gt;0,V329,0)</f>
        <v>0</v>
      </c>
      <c r="BU329" s="54">
        <f t="shared" ref="BU329:BU333" si="507">IF(BP329=0,0,BP329)</f>
        <v>0</v>
      </c>
      <c r="BV329" s="54">
        <f t="shared" ref="BV329:BV333" si="508">IF(BS329=0,0,BS329)</f>
        <v>0</v>
      </c>
      <c r="BW329" s="54">
        <f t="shared" ref="BW329:BW333" si="509">IF(BP329+BT329&gt;0,BP329+BT329,0)</f>
        <v>0</v>
      </c>
      <c r="BX329" s="1"/>
      <c r="BY329" s="1"/>
      <c r="BZ329" s="1"/>
      <c r="CA329" s="1"/>
      <c r="CB329" s="1"/>
      <c r="CC329" s="1"/>
      <c r="CD329" s="1"/>
      <c r="CE329" s="1"/>
      <c r="CF329" s="1"/>
      <c r="CG329" s="1"/>
    </row>
    <row r="330" spans="1:85" ht="15.75" customHeight="1">
      <c r="A330" s="56"/>
      <c r="B330" s="426"/>
      <c r="C330" s="394" t="s">
        <v>135</v>
      </c>
      <c r="D330" s="44" t="s">
        <v>136</v>
      </c>
      <c r="E330" s="45">
        <v>3000</v>
      </c>
      <c r="F330" s="92"/>
      <c r="G330" s="46">
        <f>E330-F330</f>
        <v>3000</v>
      </c>
      <c r="H330" s="46"/>
      <c r="I330" s="47">
        <f t="shared" si="447"/>
        <v>0</v>
      </c>
      <c r="J330" s="47">
        <f t="shared" si="448"/>
        <v>0</v>
      </c>
      <c r="K330" s="54"/>
      <c r="L330" s="49"/>
      <c r="M330" s="54"/>
      <c r="N330" s="49"/>
      <c r="O330" s="51">
        <f t="shared" si="497"/>
        <v>0</v>
      </c>
      <c r="P330" s="51">
        <f t="shared" si="497"/>
        <v>0</v>
      </c>
      <c r="Q330" s="51">
        <f t="shared" si="497"/>
        <v>0</v>
      </c>
      <c r="R330" s="52">
        <f t="shared" si="498"/>
        <v>0</v>
      </c>
      <c r="S330" s="52">
        <f t="shared" si="498"/>
        <v>0</v>
      </c>
      <c r="T330" s="52">
        <f t="shared" si="498"/>
        <v>0</v>
      </c>
      <c r="U330" s="369">
        <f>K330-O330</f>
        <v>0</v>
      </c>
      <c r="V330" s="369">
        <f>L330-P330-M330</f>
        <v>0</v>
      </c>
      <c r="W330" s="369">
        <f>N330-Q330</f>
        <v>0</v>
      </c>
      <c r="X330" s="53">
        <f t="shared" si="499"/>
        <v>0</v>
      </c>
      <c r="Y330" s="53">
        <f t="shared" si="499"/>
        <v>0</v>
      </c>
      <c r="Z330" s="53">
        <f>IF(Q330&gt;0,Q330/N330,0)</f>
        <v>0</v>
      </c>
      <c r="AA330" s="54"/>
      <c r="AB330" s="54"/>
      <c r="AC330" s="54"/>
      <c r="AD330" s="54"/>
      <c r="AE330" s="55"/>
      <c r="AF330" s="55"/>
      <c r="AG330" s="55"/>
      <c r="AH330" s="55"/>
      <c r="AI330" s="54"/>
      <c r="AJ330" s="54"/>
      <c r="AK330" s="54"/>
      <c r="AL330" s="54"/>
      <c r="AM330" s="54"/>
      <c r="AN330" s="54"/>
      <c r="AO330" s="54"/>
      <c r="AP330" s="54"/>
      <c r="AQ330" s="54"/>
      <c r="AR330" s="54"/>
      <c r="AS330" s="54"/>
      <c r="AT330" s="54"/>
      <c r="AU330" s="54"/>
      <c r="AV330" s="54"/>
      <c r="AW330" s="54"/>
      <c r="AX330" s="54"/>
      <c r="AY330" s="54"/>
      <c r="AZ330" s="54"/>
      <c r="BA330" s="54"/>
      <c r="BB330" s="54"/>
      <c r="BC330" s="54"/>
      <c r="BD330" s="54"/>
      <c r="BE330" s="54"/>
      <c r="BF330" s="54"/>
      <c r="BG330" s="54"/>
      <c r="BH330" s="54"/>
      <c r="BI330" s="54"/>
      <c r="BJ330" s="54"/>
      <c r="BK330" s="54"/>
      <c r="BL330" s="54"/>
      <c r="BM330" s="54"/>
      <c r="BN330" s="54">
        <f t="shared" si="500"/>
        <v>0</v>
      </c>
      <c r="BO330" s="58">
        <f t="shared" si="501"/>
        <v>0</v>
      </c>
      <c r="BP330" s="54">
        <f t="shared" si="502"/>
        <v>0</v>
      </c>
      <c r="BQ330" s="54">
        <f t="shared" si="503"/>
        <v>0</v>
      </c>
      <c r="BR330" s="54">
        <f t="shared" si="504"/>
        <v>0</v>
      </c>
      <c r="BS330" s="54">
        <f t="shared" si="505"/>
        <v>0</v>
      </c>
      <c r="BT330" s="54">
        <f t="shared" si="506"/>
        <v>0</v>
      </c>
      <c r="BU330" s="54">
        <f t="shared" si="507"/>
        <v>0</v>
      </c>
      <c r="BV330" s="54">
        <f t="shared" si="508"/>
        <v>0</v>
      </c>
      <c r="BW330" s="54">
        <f t="shared" si="509"/>
        <v>0</v>
      </c>
      <c r="BX330" s="1"/>
      <c r="BY330" s="1"/>
      <c r="BZ330" s="1"/>
      <c r="CA330" s="1"/>
      <c r="CB330" s="1"/>
      <c r="CC330" s="1"/>
      <c r="CD330" s="1"/>
      <c r="CE330" s="1"/>
      <c r="CF330" s="1"/>
      <c r="CG330" s="1"/>
    </row>
    <row r="331" spans="1:85" ht="15.75" customHeight="1">
      <c r="A331" s="56"/>
      <c r="B331" s="426"/>
      <c r="C331" s="394" t="s">
        <v>122</v>
      </c>
      <c r="D331" s="44" t="s">
        <v>123</v>
      </c>
      <c r="E331" s="45">
        <v>6000</v>
      </c>
      <c r="F331" s="92"/>
      <c r="G331" s="46">
        <f>E331-F331</f>
        <v>6000</v>
      </c>
      <c r="H331" s="46"/>
      <c r="I331" s="47">
        <f t="shared" si="447"/>
        <v>0</v>
      </c>
      <c r="J331" s="47">
        <f t="shared" si="448"/>
        <v>0</v>
      </c>
      <c r="K331" s="54"/>
      <c r="L331" s="49"/>
      <c r="M331" s="54"/>
      <c r="N331" s="49"/>
      <c r="O331" s="51">
        <f t="shared" si="497"/>
        <v>0</v>
      </c>
      <c r="P331" s="51">
        <f t="shared" si="497"/>
        <v>0</v>
      </c>
      <c r="Q331" s="51">
        <f t="shared" si="497"/>
        <v>0</v>
      </c>
      <c r="R331" s="52">
        <f t="shared" si="498"/>
        <v>0</v>
      </c>
      <c r="S331" s="52">
        <f t="shared" si="498"/>
        <v>0</v>
      </c>
      <c r="T331" s="52">
        <f t="shared" si="498"/>
        <v>0</v>
      </c>
      <c r="U331" s="369">
        <f>K331-O331</f>
        <v>0</v>
      </c>
      <c r="V331" s="369">
        <f>L331-P331-M331</f>
        <v>0</v>
      </c>
      <c r="W331" s="369">
        <f>N331-Q331</f>
        <v>0</v>
      </c>
      <c r="X331" s="53">
        <f t="shared" si="499"/>
        <v>0</v>
      </c>
      <c r="Y331" s="53">
        <f t="shared" si="499"/>
        <v>0</v>
      </c>
      <c r="Z331" s="53">
        <f>IF(Q331&gt;0,Q331/N331,0)</f>
        <v>0</v>
      </c>
      <c r="AA331" s="54"/>
      <c r="AB331" s="54"/>
      <c r="AC331" s="54"/>
      <c r="AD331" s="54"/>
      <c r="AE331" s="55"/>
      <c r="AF331" s="55"/>
      <c r="AG331" s="55"/>
      <c r="AH331" s="55"/>
      <c r="AI331" s="54"/>
      <c r="AJ331" s="54"/>
      <c r="AK331" s="54"/>
      <c r="AL331" s="54"/>
      <c r="AM331" s="54"/>
      <c r="AN331" s="54"/>
      <c r="AO331" s="54"/>
      <c r="AP331" s="54"/>
      <c r="AQ331" s="54"/>
      <c r="AR331" s="54"/>
      <c r="AS331" s="54"/>
      <c r="AT331" s="54"/>
      <c r="AU331" s="54"/>
      <c r="AV331" s="54"/>
      <c r="AW331" s="54"/>
      <c r="AX331" s="54"/>
      <c r="AY331" s="54"/>
      <c r="AZ331" s="54"/>
      <c r="BA331" s="54"/>
      <c r="BB331" s="54"/>
      <c r="BC331" s="54"/>
      <c r="BD331" s="54"/>
      <c r="BE331" s="54"/>
      <c r="BF331" s="54"/>
      <c r="BG331" s="54"/>
      <c r="BH331" s="54"/>
      <c r="BI331" s="54"/>
      <c r="BJ331" s="54"/>
      <c r="BK331" s="54"/>
      <c r="BL331" s="54"/>
      <c r="BM331" s="54"/>
      <c r="BN331" s="54">
        <f t="shared" si="500"/>
        <v>0</v>
      </c>
      <c r="BO331" s="58">
        <f t="shared" si="501"/>
        <v>0</v>
      </c>
      <c r="BP331" s="54">
        <f t="shared" si="502"/>
        <v>0</v>
      </c>
      <c r="BQ331" s="54">
        <f t="shared" si="503"/>
        <v>0</v>
      </c>
      <c r="BR331" s="54">
        <f t="shared" si="504"/>
        <v>0</v>
      </c>
      <c r="BS331" s="54">
        <f t="shared" si="505"/>
        <v>0</v>
      </c>
      <c r="BT331" s="54">
        <f t="shared" si="506"/>
        <v>0</v>
      </c>
      <c r="BU331" s="54">
        <f t="shared" si="507"/>
        <v>0</v>
      </c>
      <c r="BV331" s="54">
        <f t="shared" si="508"/>
        <v>0</v>
      </c>
      <c r="BW331" s="54">
        <f t="shared" si="509"/>
        <v>0</v>
      </c>
      <c r="BX331" s="1"/>
      <c r="BY331" s="1"/>
      <c r="BZ331" s="1"/>
      <c r="CA331" s="1"/>
      <c r="CB331" s="1"/>
      <c r="CC331" s="1"/>
      <c r="CD331" s="1"/>
      <c r="CE331" s="1"/>
      <c r="CF331" s="1"/>
      <c r="CG331" s="1"/>
    </row>
    <row r="332" spans="1:85" ht="15.75" customHeight="1">
      <c r="A332" s="56"/>
      <c r="B332" s="426"/>
      <c r="C332" s="394" t="s">
        <v>409</v>
      </c>
      <c r="D332" s="86" t="s">
        <v>410</v>
      </c>
      <c r="E332" s="45">
        <v>10000</v>
      </c>
      <c r="F332" s="196">
        <v>2522.73</v>
      </c>
      <c r="G332" s="46">
        <f>E332-F332</f>
        <v>7477.27</v>
      </c>
      <c r="H332" s="46"/>
      <c r="I332" s="47">
        <f t="shared" si="447"/>
        <v>0</v>
      </c>
      <c r="J332" s="47">
        <f t="shared" si="448"/>
        <v>0</v>
      </c>
      <c r="K332" s="54"/>
      <c r="L332" s="49"/>
      <c r="M332" s="54"/>
      <c r="N332" s="49"/>
      <c r="O332" s="51">
        <f t="shared" si="497"/>
        <v>0</v>
      </c>
      <c r="P332" s="51">
        <f t="shared" si="497"/>
        <v>0</v>
      </c>
      <c r="Q332" s="51">
        <f t="shared" si="497"/>
        <v>0</v>
      </c>
      <c r="R332" s="52">
        <f t="shared" si="498"/>
        <v>0</v>
      </c>
      <c r="S332" s="52">
        <f t="shared" si="498"/>
        <v>0</v>
      </c>
      <c r="T332" s="52">
        <f t="shared" si="498"/>
        <v>0</v>
      </c>
      <c r="U332" s="369">
        <f>K332-O332</f>
        <v>0</v>
      </c>
      <c r="V332" s="369">
        <f>L332-P332-M332</f>
        <v>0</v>
      </c>
      <c r="W332" s="369">
        <f>N332-Q332</f>
        <v>0</v>
      </c>
      <c r="X332" s="53">
        <f t="shared" si="499"/>
        <v>0</v>
      </c>
      <c r="Y332" s="53">
        <f t="shared" si="499"/>
        <v>0</v>
      </c>
      <c r="Z332" s="53">
        <f>IF(Q332&gt;0,Q332/N332,0)</f>
        <v>0</v>
      </c>
      <c r="AA332" s="54"/>
      <c r="AB332" s="54"/>
      <c r="AC332" s="54"/>
      <c r="AD332" s="54"/>
      <c r="AE332" s="55"/>
      <c r="AF332" s="55"/>
      <c r="AG332" s="55"/>
      <c r="AH332" s="55"/>
      <c r="AI332" s="54"/>
      <c r="AJ332" s="54"/>
      <c r="AK332" s="54"/>
      <c r="AL332" s="54"/>
      <c r="AM332" s="54"/>
      <c r="AN332" s="54"/>
      <c r="AO332" s="54"/>
      <c r="AP332" s="54"/>
      <c r="AQ332" s="54"/>
      <c r="AR332" s="54"/>
      <c r="AS332" s="54"/>
      <c r="AT332" s="54"/>
      <c r="AU332" s="54"/>
      <c r="AV332" s="54"/>
      <c r="AW332" s="54"/>
      <c r="AX332" s="54"/>
      <c r="AY332" s="54"/>
      <c r="AZ332" s="54"/>
      <c r="BA332" s="54"/>
      <c r="BB332" s="54"/>
      <c r="BC332" s="54"/>
      <c r="BD332" s="54"/>
      <c r="BE332" s="54"/>
      <c r="BF332" s="54"/>
      <c r="BG332" s="54"/>
      <c r="BH332" s="54"/>
      <c r="BI332" s="54"/>
      <c r="BJ332" s="54"/>
      <c r="BK332" s="54"/>
      <c r="BL332" s="54"/>
      <c r="BM332" s="54"/>
      <c r="BN332" s="54">
        <f t="shared" si="500"/>
        <v>0</v>
      </c>
      <c r="BO332" s="58">
        <f t="shared" si="501"/>
        <v>0</v>
      </c>
      <c r="BP332" s="54">
        <f t="shared" si="502"/>
        <v>0</v>
      </c>
      <c r="BQ332" s="54">
        <f t="shared" si="503"/>
        <v>0</v>
      </c>
      <c r="BR332" s="54">
        <f t="shared" si="504"/>
        <v>0</v>
      </c>
      <c r="BS332" s="54">
        <f t="shared" si="505"/>
        <v>0</v>
      </c>
      <c r="BT332" s="54">
        <f t="shared" si="506"/>
        <v>0</v>
      </c>
      <c r="BU332" s="54">
        <f t="shared" si="507"/>
        <v>0</v>
      </c>
      <c r="BV332" s="54">
        <f t="shared" si="508"/>
        <v>0</v>
      </c>
      <c r="BW332" s="54">
        <f t="shared" si="509"/>
        <v>0</v>
      </c>
      <c r="BX332" s="1"/>
      <c r="BY332" s="1"/>
      <c r="BZ332" s="1"/>
      <c r="CA332" s="1"/>
      <c r="CB332" s="1"/>
      <c r="CC332" s="1"/>
      <c r="CD332" s="1"/>
      <c r="CE332" s="1"/>
      <c r="CF332" s="1"/>
      <c r="CG332" s="1"/>
    </row>
    <row r="333" spans="1:85" ht="15.75" customHeight="1">
      <c r="A333" s="56"/>
      <c r="B333" s="426"/>
      <c r="C333" s="394" t="s">
        <v>323</v>
      </c>
      <c r="D333" s="90" t="s">
        <v>689</v>
      </c>
      <c r="E333" s="91">
        <v>2144.33</v>
      </c>
      <c r="F333" s="92"/>
      <c r="G333" s="46">
        <f>E333-F333</f>
        <v>2144.33</v>
      </c>
      <c r="H333" s="46"/>
      <c r="I333" s="47">
        <f t="shared" si="447"/>
        <v>0</v>
      </c>
      <c r="J333" s="47">
        <f t="shared" si="448"/>
        <v>0</v>
      </c>
      <c r="K333" s="54"/>
      <c r="L333" s="49"/>
      <c r="M333" s="54"/>
      <c r="N333" s="49"/>
      <c r="O333" s="51">
        <f t="shared" si="497"/>
        <v>0</v>
      </c>
      <c r="P333" s="51">
        <f t="shared" si="497"/>
        <v>0</v>
      </c>
      <c r="Q333" s="51">
        <f t="shared" si="497"/>
        <v>0</v>
      </c>
      <c r="R333" s="52">
        <f t="shared" si="498"/>
        <v>0</v>
      </c>
      <c r="S333" s="52">
        <f t="shared" si="498"/>
        <v>0</v>
      </c>
      <c r="T333" s="52">
        <f t="shared" si="498"/>
        <v>0</v>
      </c>
      <c r="U333" s="369">
        <f>K333-O333</f>
        <v>0</v>
      </c>
      <c r="V333" s="369">
        <f>L333-P333-M333</f>
        <v>0</v>
      </c>
      <c r="W333" s="369">
        <f>N333-Q333</f>
        <v>0</v>
      </c>
      <c r="X333" s="53">
        <f t="shared" si="499"/>
        <v>0</v>
      </c>
      <c r="Y333" s="53">
        <f t="shared" si="499"/>
        <v>0</v>
      </c>
      <c r="Z333" s="53">
        <f>IF(Q333&gt;0,Q333/N333,0)</f>
        <v>0</v>
      </c>
      <c r="AA333" s="54"/>
      <c r="AB333" s="54"/>
      <c r="AC333" s="54"/>
      <c r="AD333" s="54"/>
      <c r="AE333" s="55"/>
      <c r="AF333" s="55"/>
      <c r="AG333" s="55"/>
      <c r="AH333" s="55"/>
      <c r="AI333" s="54"/>
      <c r="AJ333" s="54"/>
      <c r="AK333" s="54"/>
      <c r="AL333" s="54"/>
      <c r="AM333" s="54"/>
      <c r="AN333" s="54"/>
      <c r="AO333" s="54"/>
      <c r="AP333" s="54"/>
      <c r="AQ333" s="54"/>
      <c r="AR333" s="54"/>
      <c r="AS333" s="54"/>
      <c r="AT333" s="54"/>
      <c r="AU333" s="54"/>
      <c r="AV333" s="54"/>
      <c r="AW333" s="54"/>
      <c r="AX333" s="54"/>
      <c r="AY333" s="54"/>
      <c r="AZ333" s="54"/>
      <c r="BA333" s="54"/>
      <c r="BB333" s="54"/>
      <c r="BC333" s="54"/>
      <c r="BD333" s="54"/>
      <c r="BE333" s="54"/>
      <c r="BF333" s="54"/>
      <c r="BG333" s="54"/>
      <c r="BH333" s="54"/>
      <c r="BI333" s="54"/>
      <c r="BJ333" s="54"/>
      <c r="BK333" s="54"/>
      <c r="BL333" s="54"/>
      <c r="BM333" s="54"/>
      <c r="BN333" s="54">
        <f t="shared" si="500"/>
        <v>0</v>
      </c>
      <c r="BO333" s="58">
        <f t="shared" si="501"/>
        <v>0</v>
      </c>
      <c r="BP333" s="54">
        <f t="shared" si="502"/>
        <v>0</v>
      </c>
      <c r="BQ333" s="54">
        <f t="shared" si="503"/>
        <v>0</v>
      </c>
      <c r="BR333" s="54">
        <f t="shared" si="504"/>
        <v>0</v>
      </c>
      <c r="BS333" s="54">
        <f t="shared" si="505"/>
        <v>0</v>
      </c>
      <c r="BT333" s="54">
        <f t="shared" si="506"/>
        <v>0</v>
      </c>
      <c r="BU333" s="54">
        <f t="shared" si="507"/>
        <v>0</v>
      </c>
      <c r="BV333" s="54">
        <f t="shared" si="508"/>
        <v>0</v>
      </c>
      <c r="BW333" s="54">
        <f t="shared" si="509"/>
        <v>0</v>
      </c>
      <c r="BX333" s="1"/>
      <c r="BY333" s="1"/>
      <c r="BZ333" s="1"/>
      <c r="CA333" s="1"/>
      <c r="CB333" s="1"/>
      <c r="CC333" s="1"/>
      <c r="CD333" s="1"/>
      <c r="CE333" s="1"/>
      <c r="CF333" s="1"/>
      <c r="CG333" s="1"/>
    </row>
    <row r="334" spans="1:85" ht="15.75" customHeight="1">
      <c r="A334" s="190"/>
      <c r="B334" s="448"/>
      <c r="C334" s="406"/>
      <c r="D334" s="191" t="s">
        <v>691</v>
      </c>
      <c r="E334" s="192">
        <f>SUM(E335:E339)</f>
        <v>23144.33</v>
      </c>
      <c r="F334" s="193">
        <f>SUM(F335:F339)</f>
        <v>2522.73</v>
      </c>
      <c r="G334" s="193">
        <f>SUM(G335:G339)</f>
        <v>20621.599999999999</v>
      </c>
      <c r="H334" s="193">
        <f>SUM(H335:H339)</f>
        <v>0</v>
      </c>
      <c r="I334" s="194">
        <f t="shared" si="447"/>
        <v>0</v>
      </c>
      <c r="J334" s="194">
        <f t="shared" si="448"/>
        <v>0</v>
      </c>
      <c r="K334" s="193">
        <f t="shared" ref="K334:BW334" si="510">SUM(K335:K339)</f>
        <v>0</v>
      </c>
      <c r="L334" s="193">
        <f t="shared" si="510"/>
        <v>0</v>
      </c>
      <c r="M334" s="193">
        <f t="shared" si="510"/>
        <v>0</v>
      </c>
      <c r="N334" s="193">
        <f t="shared" si="510"/>
        <v>0</v>
      </c>
      <c r="O334" s="193">
        <f t="shared" si="510"/>
        <v>0</v>
      </c>
      <c r="P334" s="193">
        <f t="shared" si="510"/>
        <v>0</v>
      </c>
      <c r="Q334" s="193">
        <f t="shared" si="510"/>
        <v>0</v>
      </c>
      <c r="R334" s="193">
        <f t="shared" si="510"/>
        <v>0</v>
      </c>
      <c r="S334" s="193">
        <f t="shared" si="510"/>
        <v>0</v>
      </c>
      <c r="T334" s="193">
        <f t="shared" si="510"/>
        <v>0</v>
      </c>
      <c r="U334" s="377">
        <f t="shared" si="510"/>
        <v>0</v>
      </c>
      <c r="V334" s="377">
        <f t="shared" si="510"/>
        <v>0</v>
      </c>
      <c r="W334" s="377">
        <f t="shared" si="510"/>
        <v>0</v>
      </c>
      <c r="X334" s="193">
        <f t="shared" si="510"/>
        <v>0</v>
      </c>
      <c r="Y334" s="193">
        <f t="shared" si="510"/>
        <v>0</v>
      </c>
      <c r="Z334" s="193">
        <f t="shared" si="510"/>
        <v>0</v>
      </c>
      <c r="AA334" s="193">
        <f t="shared" si="510"/>
        <v>0</v>
      </c>
      <c r="AB334" s="193">
        <f t="shared" si="510"/>
        <v>0</v>
      </c>
      <c r="AC334" s="193">
        <f t="shared" si="510"/>
        <v>0</v>
      </c>
      <c r="AD334" s="193">
        <f t="shared" si="510"/>
        <v>0</v>
      </c>
      <c r="AE334" s="193">
        <f t="shared" si="510"/>
        <v>0</v>
      </c>
      <c r="AF334" s="193">
        <f t="shared" si="510"/>
        <v>0</v>
      </c>
      <c r="AG334" s="193">
        <f t="shared" si="510"/>
        <v>0</v>
      </c>
      <c r="AH334" s="193">
        <f t="shared" si="510"/>
        <v>0</v>
      </c>
      <c r="AI334" s="193">
        <f t="shared" si="510"/>
        <v>0</v>
      </c>
      <c r="AJ334" s="193">
        <f t="shared" si="510"/>
        <v>0</v>
      </c>
      <c r="AK334" s="193">
        <f t="shared" si="510"/>
        <v>0</v>
      </c>
      <c r="AL334" s="193">
        <f t="shared" si="510"/>
        <v>0</v>
      </c>
      <c r="AM334" s="193">
        <f t="shared" si="510"/>
        <v>0</v>
      </c>
      <c r="AN334" s="193">
        <f t="shared" si="510"/>
        <v>0</v>
      </c>
      <c r="AO334" s="193">
        <f t="shared" si="510"/>
        <v>0</v>
      </c>
      <c r="AP334" s="193">
        <f t="shared" si="510"/>
        <v>0</v>
      </c>
      <c r="AQ334" s="193">
        <f t="shared" si="510"/>
        <v>0</v>
      </c>
      <c r="AR334" s="193">
        <f t="shared" si="510"/>
        <v>0</v>
      </c>
      <c r="AS334" s="193">
        <f t="shared" si="510"/>
        <v>0</v>
      </c>
      <c r="AT334" s="193">
        <f t="shared" si="510"/>
        <v>0</v>
      </c>
      <c r="AU334" s="193">
        <f t="shared" si="510"/>
        <v>0</v>
      </c>
      <c r="AV334" s="193">
        <f t="shared" si="510"/>
        <v>0</v>
      </c>
      <c r="AW334" s="193">
        <f t="shared" si="510"/>
        <v>0</v>
      </c>
      <c r="AX334" s="193">
        <f t="shared" si="510"/>
        <v>0</v>
      </c>
      <c r="AY334" s="193">
        <f t="shared" si="510"/>
        <v>0</v>
      </c>
      <c r="AZ334" s="193">
        <f t="shared" si="510"/>
        <v>0</v>
      </c>
      <c r="BA334" s="193">
        <f t="shared" si="510"/>
        <v>0</v>
      </c>
      <c r="BB334" s="193">
        <f t="shared" si="510"/>
        <v>0</v>
      </c>
      <c r="BC334" s="193">
        <f t="shared" si="510"/>
        <v>0</v>
      </c>
      <c r="BD334" s="193">
        <f t="shared" si="510"/>
        <v>0</v>
      </c>
      <c r="BE334" s="193">
        <f t="shared" si="510"/>
        <v>0</v>
      </c>
      <c r="BF334" s="193">
        <f t="shared" si="510"/>
        <v>0</v>
      </c>
      <c r="BG334" s="193">
        <f t="shared" si="510"/>
        <v>0</v>
      </c>
      <c r="BH334" s="193">
        <f t="shared" si="510"/>
        <v>0</v>
      </c>
      <c r="BI334" s="193">
        <f t="shared" si="510"/>
        <v>0</v>
      </c>
      <c r="BJ334" s="193">
        <f t="shared" si="510"/>
        <v>0</v>
      </c>
      <c r="BK334" s="193">
        <f t="shared" si="510"/>
        <v>0</v>
      </c>
      <c r="BL334" s="193">
        <f t="shared" si="510"/>
        <v>0</v>
      </c>
      <c r="BM334" s="193">
        <f t="shared" si="510"/>
        <v>0</v>
      </c>
      <c r="BN334" s="193">
        <f t="shared" si="510"/>
        <v>0</v>
      </c>
      <c r="BO334" s="193">
        <f t="shared" si="510"/>
        <v>0</v>
      </c>
      <c r="BP334" s="193">
        <f>SUM(BP335:BP339)</f>
        <v>0</v>
      </c>
      <c r="BQ334" s="193">
        <f t="shared" si="510"/>
        <v>0</v>
      </c>
      <c r="BR334" s="193">
        <f t="shared" si="510"/>
        <v>0</v>
      </c>
      <c r="BS334" s="193">
        <f t="shared" si="510"/>
        <v>0</v>
      </c>
      <c r="BT334" s="193">
        <f t="shared" si="510"/>
        <v>0</v>
      </c>
      <c r="BU334" s="193">
        <f t="shared" si="510"/>
        <v>0</v>
      </c>
      <c r="BV334" s="193">
        <f t="shared" si="510"/>
        <v>0</v>
      </c>
      <c r="BW334" s="193">
        <f t="shared" si="510"/>
        <v>0</v>
      </c>
      <c r="BX334" s="1"/>
      <c r="BY334" s="1"/>
      <c r="BZ334" s="1"/>
      <c r="CA334" s="1"/>
      <c r="CB334" s="1"/>
      <c r="CC334" s="1"/>
      <c r="CD334" s="1"/>
      <c r="CE334" s="1"/>
      <c r="CF334" s="1"/>
      <c r="CG334" s="1"/>
    </row>
    <row r="335" spans="1:85" ht="15.75" customHeight="1">
      <c r="A335" s="56"/>
      <c r="B335" s="426"/>
      <c r="C335" s="394" t="s">
        <v>117</v>
      </c>
      <c r="D335" s="44" t="s">
        <v>118</v>
      </c>
      <c r="E335" s="45">
        <v>2000</v>
      </c>
      <c r="F335" s="57">
        <v>0</v>
      </c>
      <c r="G335" s="46">
        <f>E335-F335</f>
        <v>2000</v>
      </c>
      <c r="H335" s="46"/>
      <c r="I335" s="47">
        <f t="shared" si="447"/>
        <v>0</v>
      </c>
      <c r="J335" s="47">
        <f t="shared" si="448"/>
        <v>0</v>
      </c>
      <c r="K335" s="54"/>
      <c r="L335" s="49"/>
      <c r="M335" s="54"/>
      <c r="N335" s="49"/>
      <c r="O335" s="51">
        <f t="shared" ref="O335:Q339" si="511">AA335+AD335+AG335+AJ335+AM335+AP335+AS335+AV335+AY335+BB335+BE335+BH335</f>
        <v>0</v>
      </c>
      <c r="P335" s="51">
        <f t="shared" si="511"/>
        <v>0</v>
      </c>
      <c r="Q335" s="51">
        <f t="shared" si="511"/>
        <v>0</v>
      </c>
      <c r="R335" s="52">
        <f t="shared" ref="R335:T339" si="512">IF(BK335=0,SUM(AA335+AD335+AG335+AJ335+AM335+AP335+AS335+AV335+AY335+BB335+BE335+BH335),BK335)</f>
        <v>0</v>
      </c>
      <c r="S335" s="52">
        <f t="shared" si="512"/>
        <v>0</v>
      </c>
      <c r="T335" s="52">
        <f t="shared" si="512"/>
        <v>0</v>
      </c>
      <c r="U335" s="369">
        <f>K335-O335</f>
        <v>0</v>
      </c>
      <c r="V335" s="369">
        <f>L335-P335-M335</f>
        <v>0</v>
      </c>
      <c r="W335" s="369">
        <f>N335-Q335</f>
        <v>0</v>
      </c>
      <c r="X335" s="53">
        <f t="shared" ref="X335:X366" si="513">IF(O335&gt;0,O335/K335,0)</f>
        <v>0</v>
      </c>
      <c r="Y335" s="53">
        <f t="shared" ref="Y335:Y366" si="514">IF(P335&gt;0,P335/L335,0)</f>
        <v>0</v>
      </c>
      <c r="Z335" s="53">
        <f t="shared" ref="Z335:Z480" si="515">IF(Q335&gt;0,Q335/N335,0)</f>
        <v>0</v>
      </c>
      <c r="AA335" s="54"/>
      <c r="AB335" s="54"/>
      <c r="AC335" s="54"/>
      <c r="AD335" s="54"/>
      <c r="AE335" s="55"/>
      <c r="AF335" s="55"/>
      <c r="AG335" s="55"/>
      <c r="AH335" s="55"/>
      <c r="AI335" s="54"/>
      <c r="AJ335" s="54"/>
      <c r="AK335" s="54"/>
      <c r="AL335" s="54"/>
      <c r="AM335" s="54"/>
      <c r="AN335" s="54"/>
      <c r="AO335" s="54"/>
      <c r="AP335" s="54"/>
      <c r="AQ335" s="54"/>
      <c r="AR335" s="54"/>
      <c r="AS335" s="54"/>
      <c r="AT335" s="54"/>
      <c r="AU335" s="54"/>
      <c r="AV335" s="54"/>
      <c r="AW335" s="54"/>
      <c r="AX335" s="54"/>
      <c r="AY335" s="54"/>
      <c r="AZ335" s="54"/>
      <c r="BA335" s="54"/>
      <c r="BB335" s="54"/>
      <c r="BC335" s="54"/>
      <c r="BD335" s="54"/>
      <c r="BE335" s="54"/>
      <c r="BF335" s="54"/>
      <c r="BG335" s="54"/>
      <c r="BH335" s="54"/>
      <c r="BI335" s="54"/>
      <c r="BJ335" s="54"/>
      <c r="BK335" s="54"/>
      <c r="BL335" s="54"/>
      <c r="BM335" s="54"/>
      <c r="BN335" s="54">
        <f t="shared" ref="BN335:BN339" si="516">IF(O335-BK335&gt;0,O335-BK335,0)</f>
        <v>0</v>
      </c>
      <c r="BO335" s="58">
        <f t="shared" ref="BO335:BO339" si="517">IF(Q335-BM335&gt;0,Q335-BM335,0)</f>
        <v>0</v>
      </c>
      <c r="BP335" s="54">
        <f t="shared" ref="BP335:BP339" si="518">IF(BN335+BO335&gt;0,BN335+BO335,0)</f>
        <v>0</v>
      </c>
      <c r="BQ335" s="54">
        <f t="shared" ref="BQ335:BQ339" si="519">IF(U335=0,0,U335)</f>
        <v>0</v>
      </c>
      <c r="BR335" s="54">
        <f t="shared" ref="BR335:BR339" si="520">IF(W335=0,0,W335)</f>
        <v>0</v>
      </c>
      <c r="BS335" s="54">
        <f t="shared" ref="BS335:BS339" si="521">IF(BQ335+BR335&gt;0,BQ335+BR335,0)</f>
        <v>0</v>
      </c>
      <c r="BT335" s="54">
        <f t="shared" ref="BT335:BT339" si="522">IF(V335&gt;0,V335,0)</f>
        <v>0</v>
      </c>
      <c r="BU335" s="54">
        <f t="shared" ref="BU335:BU339" si="523">IF(BP335=0,0,BP335)</f>
        <v>0</v>
      </c>
      <c r="BV335" s="54">
        <f t="shared" ref="BV335:BV339" si="524">IF(BS335=0,0,BS335)</f>
        <v>0</v>
      </c>
      <c r="BW335" s="54">
        <f t="shared" ref="BW335:BW339" si="525">IF(BP335+BT335&gt;0,BP335+BT335,0)</f>
        <v>0</v>
      </c>
      <c r="BX335" s="1"/>
      <c r="BY335" s="1"/>
      <c r="BZ335" s="1"/>
      <c r="CA335" s="1"/>
      <c r="CB335" s="1"/>
      <c r="CC335" s="1"/>
      <c r="CD335" s="1"/>
      <c r="CE335" s="1"/>
      <c r="CF335" s="1"/>
      <c r="CG335" s="1"/>
    </row>
    <row r="336" spans="1:85" ht="15.75" customHeight="1">
      <c r="A336" s="56"/>
      <c r="B336" s="426"/>
      <c r="C336" s="394" t="s">
        <v>135</v>
      </c>
      <c r="D336" s="44" t="s">
        <v>136</v>
      </c>
      <c r="E336" s="45">
        <v>3000</v>
      </c>
      <c r="F336" s="92"/>
      <c r="G336" s="46">
        <f>E336-F336</f>
        <v>3000</v>
      </c>
      <c r="H336" s="46"/>
      <c r="I336" s="47">
        <f t="shared" si="447"/>
        <v>0</v>
      </c>
      <c r="J336" s="47">
        <f t="shared" si="448"/>
        <v>0</v>
      </c>
      <c r="K336" s="54"/>
      <c r="L336" s="49"/>
      <c r="M336" s="54"/>
      <c r="N336" s="49"/>
      <c r="O336" s="51">
        <f t="shared" si="511"/>
        <v>0</v>
      </c>
      <c r="P336" s="51">
        <f t="shared" si="511"/>
        <v>0</v>
      </c>
      <c r="Q336" s="51">
        <f t="shared" si="511"/>
        <v>0</v>
      </c>
      <c r="R336" s="52">
        <f t="shared" si="512"/>
        <v>0</v>
      </c>
      <c r="S336" s="52">
        <f t="shared" si="512"/>
        <v>0</v>
      </c>
      <c r="T336" s="52">
        <f t="shared" si="512"/>
        <v>0</v>
      </c>
      <c r="U336" s="369">
        <f>K336-O336</f>
        <v>0</v>
      </c>
      <c r="V336" s="369">
        <f>L336-P336-M336</f>
        <v>0</v>
      </c>
      <c r="W336" s="369">
        <f>N336-Q336</f>
        <v>0</v>
      </c>
      <c r="X336" s="53">
        <f t="shared" si="513"/>
        <v>0</v>
      </c>
      <c r="Y336" s="53">
        <f t="shared" si="514"/>
        <v>0</v>
      </c>
      <c r="Z336" s="53">
        <f t="shared" si="515"/>
        <v>0</v>
      </c>
      <c r="AA336" s="54"/>
      <c r="AB336" s="54"/>
      <c r="AC336" s="54"/>
      <c r="AD336" s="54"/>
      <c r="AE336" s="55"/>
      <c r="AF336" s="55"/>
      <c r="AG336" s="55"/>
      <c r="AH336" s="55"/>
      <c r="AI336" s="54"/>
      <c r="AJ336" s="54"/>
      <c r="AK336" s="54"/>
      <c r="AL336" s="54"/>
      <c r="AM336" s="54"/>
      <c r="AN336" s="54"/>
      <c r="AO336" s="54"/>
      <c r="AP336" s="54"/>
      <c r="AQ336" s="54"/>
      <c r="AR336" s="54"/>
      <c r="AS336" s="54"/>
      <c r="AT336" s="54"/>
      <c r="AU336" s="54"/>
      <c r="AV336" s="54"/>
      <c r="AW336" s="54"/>
      <c r="AX336" s="54"/>
      <c r="AY336" s="54"/>
      <c r="AZ336" s="54"/>
      <c r="BA336" s="54"/>
      <c r="BB336" s="54"/>
      <c r="BC336" s="54"/>
      <c r="BD336" s="54"/>
      <c r="BE336" s="54"/>
      <c r="BF336" s="54"/>
      <c r="BG336" s="54"/>
      <c r="BH336" s="54"/>
      <c r="BI336" s="54"/>
      <c r="BJ336" s="54"/>
      <c r="BK336" s="54"/>
      <c r="BL336" s="54"/>
      <c r="BM336" s="54"/>
      <c r="BN336" s="54">
        <f t="shared" si="516"/>
        <v>0</v>
      </c>
      <c r="BO336" s="58">
        <f t="shared" si="517"/>
        <v>0</v>
      </c>
      <c r="BP336" s="54">
        <f t="shared" si="518"/>
        <v>0</v>
      </c>
      <c r="BQ336" s="54">
        <f t="shared" si="519"/>
        <v>0</v>
      </c>
      <c r="BR336" s="54">
        <f t="shared" si="520"/>
        <v>0</v>
      </c>
      <c r="BS336" s="54">
        <f t="shared" si="521"/>
        <v>0</v>
      </c>
      <c r="BT336" s="54">
        <f t="shared" si="522"/>
        <v>0</v>
      </c>
      <c r="BU336" s="54">
        <f t="shared" si="523"/>
        <v>0</v>
      </c>
      <c r="BV336" s="54">
        <f t="shared" si="524"/>
        <v>0</v>
      </c>
      <c r="BW336" s="54">
        <f t="shared" si="525"/>
        <v>0</v>
      </c>
      <c r="BX336" s="1"/>
      <c r="BY336" s="1"/>
      <c r="BZ336" s="1"/>
      <c r="CA336" s="1"/>
      <c r="CB336" s="1"/>
      <c r="CC336" s="1"/>
      <c r="CD336" s="1"/>
      <c r="CE336" s="1"/>
      <c r="CF336" s="1"/>
      <c r="CG336" s="1"/>
    </row>
    <row r="337" spans="1:85" ht="15.75" customHeight="1">
      <c r="A337" s="56"/>
      <c r="B337" s="426"/>
      <c r="C337" s="394" t="s">
        <v>122</v>
      </c>
      <c r="D337" s="44" t="s">
        <v>123</v>
      </c>
      <c r="E337" s="45">
        <v>6000</v>
      </c>
      <c r="F337" s="92"/>
      <c r="G337" s="46">
        <f>E337-F337</f>
        <v>6000</v>
      </c>
      <c r="H337" s="46"/>
      <c r="I337" s="47">
        <f t="shared" si="447"/>
        <v>0</v>
      </c>
      <c r="J337" s="47">
        <f t="shared" si="448"/>
        <v>0</v>
      </c>
      <c r="K337" s="54"/>
      <c r="L337" s="49"/>
      <c r="M337" s="54"/>
      <c r="N337" s="49"/>
      <c r="O337" s="51">
        <f t="shared" si="511"/>
        <v>0</v>
      </c>
      <c r="P337" s="51">
        <f t="shared" si="511"/>
        <v>0</v>
      </c>
      <c r="Q337" s="51">
        <f t="shared" si="511"/>
        <v>0</v>
      </c>
      <c r="R337" s="52">
        <f t="shared" si="512"/>
        <v>0</v>
      </c>
      <c r="S337" s="52">
        <f t="shared" si="512"/>
        <v>0</v>
      </c>
      <c r="T337" s="52">
        <f t="shared" si="512"/>
        <v>0</v>
      </c>
      <c r="U337" s="369">
        <f>K337-O337</f>
        <v>0</v>
      </c>
      <c r="V337" s="369">
        <f>L337-P337-M337</f>
        <v>0</v>
      </c>
      <c r="W337" s="369">
        <f>N337-Q337</f>
        <v>0</v>
      </c>
      <c r="X337" s="53">
        <f t="shared" si="513"/>
        <v>0</v>
      </c>
      <c r="Y337" s="53">
        <f t="shared" si="514"/>
        <v>0</v>
      </c>
      <c r="Z337" s="53">
        <f t="shared" si="515"/>
        <v>0</v>
      </c>
      <c r="AA337" s="54"/>
      <c r="AB337" s="54"/>
      <c r="AC337" s="54"/>
      <c r="AD337" s="54"/>
      <c r="AE337" s="55"/>
      <c r="AF337" s="55"/>
      <c r="AG337" s="55"/>
      <c r="AH337" s="55"/>
      <c r="AI337" s="54"/>
      <c r="AJ337" s="54"/>
      <c r="AK337" s="54"/>
      <c r="AL337" s="54"/>
      <c r="AM337" s="54"/>
      <c r="AN337" s="54"/>
      <c r="AO337" s="54"/>
      <c r="AP337" s="54"/>
      <c r="AQ337" s="54"/>
      <c r="AR337" s="54"/>
      <c r="AS337" s="54"/>
      <c r="AT337" s="54"/>
      <c r="AU337" s="54"/>
      <c r="AV337" s="54"/>
      <c r="AW337" s="54"/>
      <c r="AX337" s="54"/>
      <c r="AY337" s="54"/>
      <c r="AZ337" s="54"/>
      <c r="BA337" s="54"/>
      <c r="BB337" s="54"/>
      <c r="BC337" s="54"/>
      <c r="BD337" s="54"/>
      <c r="BE337" s="54"/>
      <c r="BF337" s="54"/>
      <c r="BG337" s="54"/>
      <c r="BH337" s="54"/>
      <c r="BI337" s="54"/>
      <c r="BJ337" s="54"/>
      <c r="BK337" s="54"/>
      <c r="BL337" s="54"/>
      <c r="BM337" s="54"/>
      <c r="BN337" s="54">
        <f t="shared" si="516"/>
        <v>0</v>
      </c>
      <c r="BO337" s="58">
        <f t="shared" si="517"/>
        <v>0</v>
      </c>
      <c r="BP337" s="54">
        <f t="shared" si="518"/>
        <v>0</v>
      </c>
      <c r="BQ337" s="54">
        <f t="shared" si="519"/>
        <v>0</v>
      </c>
      <c r="BR337" s="54">
        <f t="shared" si="520"/>
        <v>0</v>
      </c>
      <c r="BS337" s="54">
        <f t="shared" si="521"/>
        <v>0</v>
      </c>
      <c r="BT337" s="54">
        <f t="shared" si="522"/>
        <v>0</v>
      </c>
      <c r="BU337" s="54">
        <f t="shared" si="523"/>
        <v>0</v>
      </c>
      <c r="BV337" s="54">
        <f t="shared" si="524"/>
        <v>0</v>
      </c>
      <c r="BW337" s="54">
        <f t="shared" si="525"/>
        <v>0</v>
      </c>
      <c r="BX337" s="1"/>
      <c r="BY337" s="1"/>
      <c r="BZ337" s="1"/>
      <c r="CA337" s="1"/>
      <c r="CB337" s="1"/>
      <c r="CC337" s="1"/>
      <c r="CD337" s="1"/>
      <c r="CE337" s="1"/>
      <c r="CF337" s="1"/>
      <c r="CG337" s="1"/>
    </row>
    <row r="338" spans="1:85" ht="15.75" customHeight="1">
      <c r="A338" s="56"/>
      <c r="B338" s="426"/>
      <c r="C338" s="394" t="s">
        <v>409</v>
      </c>
      <c r="D338" s="86" t="s">
        <v>410</v>
      </c>
      <c r="E338" s="45">
        <v>10000</v>
      </c>
      <c r="F338" s="196">
        <v>2522.73</v>
      </c>
      <c r="G338" s="46">
        <f>E338-F338</f>
        <v>7477.27</v>
      </c>
      <c r="H338" s="46"/>
      <c r="I338" s="47">
        <f t="shared" si="447"/>
        <v>0</v>
      </c>
      <c r="J338" s="47">
        <f t="shared" si="448"/>
        <v>0</v>
      </c>
      <c r="K338" s="54"/>
      <c r="L338" s="49"/>
      <c r="M338" s="54"/>
      <c r="N338" s="49"/>
      <c r="O338" s="51">
        <f t="shared" si="511"/>
        <v>0</v>
      </c>
      <c r="P338" s="51">
        <f t="shared" si="511"/>
        <v>0</v>
      </c>
      <c r="Q338" s="51">
        <f t="shared" si="511"/>
        <v>0</v>
      </c>
      <c r="R338" s="52">
        <f t="shared" si="512"/>
        <v>0</v>
      </c>
      <c r="S338" s="52">
        <f t="shared" si="512"/>
        <v>0</v>
      </c>
      <c r="T338" s="52">
        <f t="shared" si="512"/>
        <v>0</v>
      </c>
      <c r="U338" s="369">
        <f>K338-O338</f>
        <v>0</v>
      </c>
      <c r="V338" s="369">
        <f>L338-P338-M338</f>
        <v>0</v>
      </c>
      <c r="W338" s="369">
        <f>N338-Q338</f>
        <v>0</v>
      </c>
      <c r="X338" s="53">
        <f t="shared" si="513"/>
        <v>0</v>
      </c>
      <c r="Y338" s="53">
        <f t="shared" si="514"/>
        <v>0</v>
      </c>
      <c r="Z338" s="53">
        <f t="shared" si="515"/>
        <v>0</v>
      </c>
      <c r="AA338" s="54"/>
      <c r="AB338" s="54"/>
      <c r="AC338" s="54"/>
      <c r="AD338" s="54"/>
      <c r="AE338" s="55"/>
      <c r="AF338" s="55"/>
      <c r="AG338" s="55"/>
      <c r="AH338" s="55"/>
      <c r="AI338" s="54"/>
      <c r="AJ338" s="54"/>
      <c r="AK338" s="54"/>
      <c r="AL338" s="54"/>
      <c r="AM338" s="54"/>
      <c r="AN338" s="54"/>
      <c r="AO338" s="54"/>
      <c r="AP338" s="54"/>
      <c r="AQ338" s="54"/>
      <c r="AR338" s="54"/>
      <c r="AS338" s="54"/>
      <c r="AT338" s="54"/>
      <c r="AU338" s="54"/>
      <c r="AV338" s="54"/>
      <c r="AW338" s="54"/>
      <c r="AX338" s="54"/>
      <c r="AY338" s="54"/>
      <c r="AZ338" s="54"/>
      <c r="BA338" s="54"/>
      <c r="BB338" s="54"/>
      <c r="BC338" s="54"/>
      <c r="BD338" s="54"/>
      <c r="BE338" s="54"/>
      <c r="BF338" s="54"/>
      <c r="BG338" s="54"/>
      <c r="BH338" s="54"/>
      <c r="BI338" s="54"/>
      <c r="BJ338" s="54"/>
      <c r="BK338" s="54"/>
      <c r="BL338" s="54"/>
      <c r="BM338" s="54"/>
      <c r="BN338" s="54">
        <f t="shared" si="516"/>
        <v>0</v>
      </c>
      <c r="BO338" s="58">
        <f t="shared" si="517"/>
        <v>0</v>
      </c>
      <c r="BP338" s="54">
        <f t="shared" si="518"/>
        <v>0</v>
      </c>
      <c r="BQ338" s="54">
        <f t="shared" si="519"/>
        <v>0</v>
      </c>
      <c r="BR338" s="54">
        <f t="shared" si="520"/>
        <v>0</v>
      </c>
      <c r="BS338" s="54">
        <f t="shared" si="521"/>
        <v>0</v>
      </c>
      <c r="BT338" s="54">
        <f t="shared" si="522"/>
        <v>0</v>
      </c>
      <c r="BU338" s="54">
        <f t="shared" si="523"/>
        <v>0</v>
      </c>
      <c r="BV338" s="54">
        <f t="shared" si="524"/>
        <v>0</v>
      </c>
      <c r="BW338" s="54">
        <f t="shared" si="525"/>
        <v>0</v>
      </c>
      <c r="BX338" s="1"/>
      <c r="BY338" s="1"/>
      <c r="BZ338" s="1"/>
      <c r="CA338" s="1"/>
      <c r="CB338" s="1"/>
      <c r="CC338" s="1"/>
      <c r="CD338" s="1"/>
      <c r="CE338" s="1"/>
      <c r="CF338" s="1"/>
      <c r="CG338" s="1"/>
    </row>
    <row r="339" spans="1:85" ht="15.75" customHeight="1">
      <c r="A339" s="56"/>
      <c r="B339" s="426"/>
      <c r="C339" s="394" t="s">
        <v>323</v>
      </c>
      <c r="D339" s="90" t="s">
        <v>689</v>
      </c>
      <c r="E339" s="91">
        <v>2144.33</v>
      </c>
      <c r="F339" s="92"/>
      <c r="G339" s="46">
        <f>E339-F339</f>
        <v>2144.33</v>
      </c>
      <c r="H339" s="46"/>
      <c r="I339" s="47">
        <f t="shared" si="447"/>
        <v>0</v>
      </c>
      <c r="J339" s="47">
        <f t="shared" si="448"/>
        <v>0</v>
      </c>
      <c r="K339" s="54"/>
      <c r="L339" s="49"/>
      <c r="M339" s="54"/>
      <c r="N339" s="49"/>
      <c r="O339" s="51">
        <f t="shared" si="511"/>
        <v>0</v>
      </c>
      <c r="P339" s="51">
        <f t="shared" si="511"/>
        <v>0</v>
      </c>
      <c r="Q339" s="51">
        <f t="shared" si="511"/>
        <v>0</v>
      </c>
      <c r="R339" s="52">
        <f t="shared" si="512"/>
        <v>0</v>
      </c>
      <c r="S339" s="52">
        <f t="shared" si="512"/>
        <v>0</v>
      </c>
      <c r="T339" s="52">
        <f t="shared" si="512"/>
        <v>0</v>
      </c>
      <c r="U339" s="369">
        <f>K339-O339</f>
        <v>0</v>
      </c>
      <c r="V339" s="369">
        <f>L339-P339-M339</f>
        <v>0</v>
      </c>
      <c r="W339" s="369">
        <f>N339-Q339</f>
        <v>0</v>
      </c>
      <c r="X339" s="53">
        <f t="shared" si="513"/>
        <v>0</v>
      </c>
      <c r="Y339" s="53">
        <f t="shared" si="514"/>
        <v>0</v>
      </c>
      <c r="Z339" s="53">
        <f t="shared" si="515"/>
        <v>0</v>
      </c>
      <c r="AA339" s="54"/>
      <c r="AB339" s="54"/>
      <c r="AC339" s="54"/>
      <c r="AD339" s="54"/>
      <c r="AE339" s="55"/>
      <c r="AF339" s="55"/>
      <c r="AG339" s="55"/>
      <c r="AH339" s="55"/>
      <c r="AI339" s="54"/>
      <c r="AJ339" s="54"/>
      <c r="AK339" s="54"/>
      <c r="AL339" s="54"/>
      <c r="AM339" s="54"/>
      <c r="AN339" s="54"/>
      <c r="AO339" s="54"/>
      <c r="AP339" s="54"/>
      <c r="AQ339" s="54"/>
      <c r="AR339" s="54"/>
      <c r="AS339" s="54"/>
      <c r="AT339" s="54"/>
      <c r="AU339" s="54"/>
      <c r="AV339" s="54"/>
      <c r="AW339" s="54"/>
      <c r="AX339" s="54"/>
      <c r="AY339" s="54"/>
      <c r="AZ339" s="54"/>
      <c r="BA339" s="54"/>
      <c r="BB339" s="54"/>
      <c r="BC339" s="54"/>
      <c r="BD339" s="54"/>
      <c r="BE339" s="54"/>
      <c r="BF339" s="54"/>
      <c r="BG339" s="54"/>
      <c r="BH339" s="54"/>
      <c r="BI339" s="54"/>
      <c r="BJ339" s="54"/>
      <c r="BK339" s="54"/>
      <c r="BL339" s="54"/>
      <c r="BM339" s="54"/>
      <c r="BN339" s="54">
        <f t="shared" si="516"/>
        <v>0</v>
      </c>
      <c r="BO339" s="58">
        <f t="shared" si="517"/>
        <v>0</v>
      </c>
      <c r="BP339" s="54">
        <f t="shared" si="518"/>
        <v>0</v>
      </c>
      <c r="BQ339" s="54">
        <f t="shared" si="519"/>
        <v>0</v>
      </c>
      <c r="BR339" s="54">
        <f t="shared" si="520"/>
        <v>0</v>
      </c>
      <c r="BS339" s="54">
        <f t="shared" si="521"/>
        <v>0</v>
      </c>
      <c r="BT339" s="54">
        <f t="shared" si="522"/>
        <v>0</v>
      </c>
      <c r="BU339" s="54">
        <f t="shared" si="523"/>
        <v>0</v>
      </c>
      <c r="BV339" s="54">
        <f t="shared" si="524"/>
        <v>0</v>
      </c>
      <c r="BW339" s="54">
        <f t="shared" si="525"/>
        <v>0</v>
      </c>
      <c r="BX339" s="1"/>
      <c r="BY339" s="1"/>
      <c r="BZ339" s="1"/>
      <c r="CA339" s="1"/>
      <c r="CB339" s="1"/>
      <c r="CC339" s="1"/>
      <c r="CD339" s="1"/>
      <c r="CE339" s="1"/>
      <c r="CF339" s="1"/>
      <c r="CG339" s="1"/>
    </row>
    <row r="340" spans="1:85" ht="15.75" customHeight="1">
      <c r="A340" s="165"/>
      <c r="B340" s="434"/>
      <c r="C340" s="401"/>
      <c r="D340" s="111" t="s">
        <v>692</v>
      </c>
      <c r="E340" s="184">
        <f>SUM(E341:E342)</f>
        <v>0</v>
      </c>
      <c r="F340" s="185">
        <f>SUM(F341:F342)</f>
        <v>0</v>
      </c>
      <c r="G340" s="185">
        <f>SUM(G341:G342)</f>
        <v>0</v>
      </c>
      <c r="H340" s="185">
        <f>SUM(H341:H342)</f>
        <v>100000</v>
      </c>
      <c r="I340" s="114">
        <f t="shared" si="447"/>
        <v>0</v>
      </c>
      <c r="J340" s="114">
        <f t="shared" si="448"/>
        <v>0</v>
      </c>
      <c r="K340" s="185">
        <f t="shared" ref="K340:W340" si="526">SUM(K341:K342)</f>
        <v>0</v>
      </c>
      <c r="L340" s="185">
        <f t="shared" si="526"/>
        <v>0</v>
      </c>
      <c r="M340" s="185">
        <f t="shared" si="526"/>
        <v>0</v>
      </c>
      <c r="N340" s="185">
        <f t="shared" si="526"/>
        <v>0</v>
      </c>
      <c r="O340" s="113">
        <f t="shared" si="526"/>
        <v>0</v>
      </c>
      <c r="P340" s="113">
        <f t="shared" si="526"/>
        <v>0</v>
      </c>
      <c r="Q340" s="113">
        <f t="shared" si="526"/>
        <v>0</v>
      </c>
      <c r="R340" s="113">
        <f t="shared" si="526"/>
        <v>0</v>
      </c>
      <c r="S340" s="113">
        <f t="shared" si="526"/>
        <v>0</v>
      </c>
      <c r="T340" s="113">
        <f t="shared" si="526"/>
        <v>0</v>
      </c>
      <c r="U340" s="372">
        <f t="shared" si="526"/>
        <v>0</v>
      </c>
      <c r="V340" s="372">
        <f t="shared" si="526"/>
        <v>0</v>
      </c>
      <c r="W340" s="372">
        <f t="shared" si="526"/>
        <v>0</v>
      </c>
      <c r="X340" s="115">
        <f t="shared" si="513"/>
        <v>0</v>
      </c>
      <c r="Y340" s="115">
        <f t="shared" si="514"/>
        <v>0</v>
      </c>
      <c r="Z340" s="115">
        <f t="shared" si="515"/>
        <v>0</v>
      </c>
      <c r="AA340" s="113">
        <f t="shared" ref="AA340:BW340" si="527">SUM(AA341:AA342)</f>
        <v>0</v>
      </c>
      <c r="AB340" s="113">
        <f t="shared" si="527"/>
        <v>0</v>
      </c>
      <c r="AC340" s="113">
        <f t="shared" si="527"/>
        <v>0</v>
      </c>
      <c r="AD340" s="185">
        <f t="shared" si="527"/>
        <v>0</v>
      </c>
      <c r="AE340" s="185">
        <f t="shared" si="527"/>
        <v>0</v>
      </c>
      <c r="AF340" s="185">
        <f t="shared" si="527"/>
        <v>0</v>
      </c>
      <c r="AG340" s="185">
        <f t="shared" si="527"/>
        <v>0</v>
      </c>
      <c r="AH340" s="185">
        <f t="shared" si="527"/>
        <v>0</v>
      </c>
      <c r="AI340" s="113">
        <f t="shared" si="527"/>
        <v>0</v>
      </c>
      <c r="AJ340" s="113">
        <f t="shared" si="527"/>
        <v>0</v>
      </c>
      <c r="AK340" s="113">
        <f t="shared" si="527"/>
        <v>0</v>
      </c>
      <c r="AL340" s="113">
        <f t="shared" si="527"/>
        <v>0</v>
      </c>
      <c r="AM340" s="113">
        <f t="shared" si="527"/>
        <v>0</v>
      </c>
      <c r="AN340" s="113">
        <f t="shared" si="527"/>
        <v>0</v>
      </c>
      <c r="AO340" s="113">
        <f t="shared" si="527"/>
        <v>0</v>
      </c>
      <c r="AP340" s="113">
        <f t="shared" si="527"/>
        <v>0</v>
      </c>
      <c r="AQ340" s="113">
        <f t="shared" si="527"/>
        <v>0</v>
      </c>
      <c r="AR340" s="113">
        <f t="shared" si="527"/>
        <v>0</v>
      </c>
      <c r="AS340" s="113">
        <f t="shared" si="527"/>
        <v>0</v>
      </c>
      <c r="AT340" s="113">
        <f t="shared" si="527"/>
        <v>0</v>
      </c>
      <c r="AU340" s="113">
        <f t="shared" si="527"/>
        <v>0</v>
      </c>
      <c r="AV340" s="113">
        <f t="shared" si="527"/>
        <v>0</v>
      </c>
      <c r="AW340" s="113">
        <f t="shared" si="527"/>
        <v>0</v>
      </c>
      <c r="AX340" s="113">
        <f t="shared" si="527"/>
        <v>0</v>
      </c>
      <c r="AY340" s="113">
        <f t="shared" si="527"/>
        <v>0</v>
      </c>
      <c r="AZ340" s="113">
        <f t="shared" si="527"/>
        <v>0</v>
      </c>
      <c r="BA340" s="113">
        <f t="shared" si="527"/>
        <v>0</v>
      </c>
      <c r="BB340" s="113">
        <f t="shared" si="527"/>
        <v>0</v>
      </c>
      <c r="BC340" s="113">
        <f t="shared" si="527"/>
        <v>0</v>
      </c>
      <c r="BD340" s="113">
        <f t="shared" si="527"/>
        <v>0</v>
      </c>
      <c r="BE340" s="113">
        <f t="shared" si="527"/>
        <v>0</v>
      </c>
      <c r="BF340" s="113">
        <f t="shared" si="527"/>
        <v>0</v>
      </c>
      <c r="BG340" s="113">
        <f t="shared" si="527"/>
        <v>0</v>
      </c>
      <c r="BH340" s="113">
        <f t="shared" si="527"/>
        <v>0</v>
      </c>
      <c r="BI340" s="113">
        <f t="shared" si="527"/>
        <v>0</v>
      </c>
      <c r="BJ340" s="113">
        <f t="shared" si="527"/>
        <v>0</v>
      </c>
      <c r="BK340" s="113">
        <f t="shared" si="527"/>
        <v>0</v>
      </c>
      <c r="BL340" s="113">
        <f t="shared" si="527"/>
        <v>0</v>
      </c>
      <c r="BM340" s="113">
        <f t="shared" si="527"/>
        <v>0</v>
      </c>
      <c r="BN340" s="113">
        <f t="shared" si="527"/>
        <v>0</v>
      </c>
      <c r="BO340" s="113">
        <f t="shared" si="527"/>
        <v>0</v>
      </c>
      <c r="BP340" s="113">
        <f>SUM(BP341:BP342)</f>
        <v>0</v>
      </c>
      <c r="BQ340" s="113">
        <f t="shared" si="527"/>
        <v>0</v>
      </c>
      <c r="BR340" s="113">
        <f t="shared" si="527"/>
        <v>0</v>
      </c>
      <c r="BS340" s="113">
        <f t="shared" si="527"/>
        <v>0</v>
      </c>
      <c r="BT340" s="113">
        <f t="shared" si="527"/>
        <v>0</v>
      </c>
      <c r="BU340" s="113">
        <f t="shared" si="527"/>
        <v>0</v>
      </c>
      <c r="BV340" s="113">
        <f t="shared" si="527"/>
        <v>0</v>
      </c>
      <c r="BW340" s="113">
        <f t="shared" si="527"/>
        <v>0</v>
      </c>
      <c r="BX340" s="1"/>
      <c r="BY340" s="1"/>
      <c r="BZ340" s="1"/>
      <c r="CA340" s="1"/>
      <c r="CB340" s="1"/>
      <c r="CC340" s="1"/>
      <c r="CD340" s="1"/>
      <c r="CE340" s="1"/>
      <c r="CF340" s="1"/>
      <c r="CG340" s="1"/>
    </row>
    <row r="341" spans="1:85" ht="15.75" customHeight="1">
      <c r="A341" s="56"/>
      <c r="B341" s="426"/>
      <c r="C341" s="394" t="s">
        <v>543</v>
      </c>
      <c r="D341" s="44" t="s">
        <v>693</v>
      </c>
      <c r="E341" s="45"/>
      <c r="F341" s="46"/>
      <c r="G341" s="46">
        <f>E341-F341</f>
        <v>0</v>
      </c>
      <c r="H341" s="46">
        <v>100000</v>
      </c>
      <c r="I341" s="47">
        <f t="shared" si="447"/>
        <v>0</v>
      </c>
      <c r="J341" s="47">
        <f t="shared" si="448"/>
        <v>0</v>
      </c>
      <c r="K341" s="142"/>
      <c r="L341" s="49"/>
      <c r="M341" s="54"/>
      <c r="N341" s="49"/>
      <c r="O341" s="51">
        <f t="shared" ref="O341:Q342" si="528">AA341+AD341+AG341+AJ341+AM341+AP341+AS341+AV341+AY341+BB341+BE341+BH341</f>
        <v>0</v>
      </c>
      <c r="P341" s="51">
        <f t="shared" si="528"/>
        <v>0</v>
      </c>
      <c r="Q341" s="51">
        <f t="shared" si="528"/>
        <v>0</v>
      </c>
      <c r="R341" s="52">
        <f t="shared" ref="R341:R366" si="529">IF(BK341=0,SUM(AA341+AD341+AG341+AJ341+AM341+AP341+AS341+AV341+AY341+BB341+BE341+BH341),BK341)</f>
        <v>0</v>
      </c>
      <c r="S341" s="52">
        <f t="shared" ref="S341:S366" si="530">IF(BL341=0,SUM(AB341+AE341+AH341+AK341+AN341+AQ341+AT341+AW341+AZ341+BC341+BF341+BI341),BL341)</f>
        <v>0</v>
      </c>
      <c r="T341" s="52">
        <f t="shared" ref="T341:T366" si="531">IF(BM341=0,SUM(AC341+AF341+AI341+AL341+AO341+AR341+AU341+AX341+BA341+BD341+BG341+BJ341),BM341)</f>
        <v>0</v>
      </c>
      <c r="U341" s="369">
        <f>K341-O341</f>
        <v>0</v>
      </c>
      <c r="V341" s="369">
        <f>L341-P341-M341</f>
        <v>0</v>
      </c>
      <c r="W341" s="369">
        <f>N341-Q341</f>
        <v>0</v>
      </c>
      <c r="X341" s="53">
        <f t="shared" si="513"/>
        <v>0</v>
      </c>
      <c r="Y341" s="53">
        <f t="shared" si="514"/>
        <v>0</v>
      </c>
      <c r="Z341" s="53">
        <f t="shared" si="515"/>
        <v>0</v>
      </c>
      <c r="AA341" s="54"/>
      <c r="AB341" s="54"/>
      <c r="AC341" s="54"/>
      <c r="AD341" s="54"/>
      <c r="AE341" s="55"/>
      <c r="AF341" s="55"/>
      <c r="AG341" s="55"/>
      <c r="AH341" s="55"/>
      <c r="AI341" s="54"/>
      <c r="AJ341" s="54"/>
      <c r="AK341" s="54"/>
      <c r="AL341" s="54"/>
      <c r="AM341" s="54"/>
      <c r="AN341" s="54"/>
      <c r="AO341" s="54"/>
      <c r="AP341" s="54"/>
      <c r="AQ341" s="54"/>
      <c r="AR341" s="54"/>
      <c r="AS341" s="54"/>
      <c r="AT341" s="54"/>
      <c r="AU341" s="54"/>
      <c r="AV341" s="54"/>
      <c r="AW341" s="54"/>
      <c r="AX341" s="54"/>
      <c r="AY341" s="54"/>
      <c r="AZ341" s="54"/>
      <c r="BA341" s="54"/>
      <c r="BB341" s="54"/>
      <c r="BC341" s="54"/>
      <c r="BD341" s="54"/>
      <c r="BE341" s="54"/>
      <c r="BF341" s="54"/>
      <c r="BG341" s="54"/>
      <c r="BH341" s="54"/>
      <c r="BI341" s="54"/>
      <c r="BJ341" s="54"/>
      <c r="BK341" s="54"/>
      <c r="BL341" s="54"/>
      <c r="BM341" s="54"/>
      <c r="BN341" s="54">
        <f t="shared" ref="BN341:BN342" si="532">IF(O341-BK341&gt;0,O341-BK341,0)</f>
        <v>0</v>
      </c>
      <c r="BO341" s="58">
        <f t="shared" ref="BO341:BO342" si="533">IF(Q341-BM341&gt;0,Q341-BM341,0)</f>
        <v>0</v>
      </c>
      <c r="BP341" s="54">
        <f t="shared" ref="BP341:BP342" si="534">IF(BN341+BO341&gt;0,BN341+BO341,0)</f>
        <v>0</v>
      </c>
      <c r="BQ341" s="54">
        <f t="shared" ref="BQ341:BQ342" si="535">IF(U341=0,0,U341)</f>
        <v>0</v>
      </c>
      <c r="BR341" s="54">
        <f t="shared" ref="BR341:BR342" si="536">IF(W341=0,0,W341)</f>
        <v>0</v>
      </c>
      <c r="BS341" s="54">
        <f t="shared" ref="BS341:BS342" si="537">IF(BQ341+BR341&gt;0,BQ341+BR341,0)</f>
        <v>0</v>
      </c>
      <c r="BT341" s="54">
        <f t="shared" ref="BT341:BT342" si="538">IF(V341&gt;0,V341,0)</f>
        <v>0</v>
      </c>
      <c r="BU341" s="54">
        <f t="shared" ref="BU341:BU342" si="539">IF(BP341=0,0,BP341)</f>
        <v>0</v>
      </c>
      <c r="BV341" s="54">
        <f t="shared" ref="BV341:BV342" si="540">IF(BS341=0,0,BS341)</f>
        <v>0</v>
      </c>
      <c r="BW341" s="54">
        <f t="shared" ref="BW341:BW342" si="541">IF(BP341+BT341&gt;0,BP341+BT341,0)</f>
        <v>0</v>
      </c>
      <c r="BX341" s="1"/>
      <c r="BY341" s="1"/>
      <c r="BZ341" s="1"/>
      <c r="CA341" s="1"/>
      <c r="CB341" s="1"/>
      <c r="CC341" s="1"/>
      <c r="CD341" s="1"/>
      <c r="CE341" s="1"/>
      <c r="CF341" s="1"/>
      <c r="CG341" s="1"/>
    </row>
    <row r="342" spans="1:85" ht="15.75" customHeight="1">
      <c r="A342" s="56"/>
      <c r="B342" s="426"/>
      <c r="C342" s="394" t="s">
        <v>694</v>
      </c>
      <c r="D342" s="44" t="s">
        <v>695</v>
      </c>
      <c r="E342" s="45"/>
      <c r="F342" s="46"/>
      <c r="G342" s="46">
        <f>E342-F342</f>
        <v>0</v>
      </c>
      <c r="H342" s="46"/>
      <c r="I342" s="47">
        <f t="shared" si="447"/>
        <v>0</v>
      </c>
      <c r="J342" s="47">
        <f t="shared" si="448"/>
        <v>0</v>
      </c>
      <c r="K342" s="49"/>
      <c r="L342" s="49"/>
      <c r="M342" s="54"/>
      <c r="N342" s="54"/>
      <c r="O342" s="51">
        <f t="shared" si="528"/>
        <v>0</v>
      </c>
      <c r="P342" s="51">
        <f t="shared" si="528"/>
        <v>0</v>
      </c>
      <c r="Q342" s="51">
        <f t="shared" si="528"/>
        <v>0</v>
      </c>
      <c r="R342" s="52">
        <f t="shared" si="529"/>
        <v>0</v>
      </c>
      <c r="S342" s="52">
        <f t="shared" si="530"/>
        <v>0</v>
      </c>
      <c r="T342" s="52">
        <f t="shared" si="531"/>
        <v>0</v>
      </c>
      <c r="U342" s="369">
        <f>K342-O342</f>
        <v>0</v>
      </c>
      <c r="V342" s="369">
        <f>L342-P342-M342</f>
        <v>0</v>
      </c>
      <c r="W342" s="369">
        <f>N342-Q342</f>
        <v>0</v>
      </c>
      <c r="X342" s="53">
        <f t="shared" si="513"/>
        <v>0</v>
      </c>
      <c r="Y342" s="53">
        <f t="shared" si="514"/>
        <v>0</v>
      </c>
      <c r="Z342" s="53">
        <f t="shared" si="515"/>
        <v>0</v>
      </c>
      <c r="AA342" s="54"/>
      <c r="AB342" s="54"/>
      <c r="AC342" s="54"/>
      <c r="AD342" s="54"/>
      <c r="AE342" s="55"/>
      <c r="AF342" s="55"/>
      <c r="AG342" s="55"/>
      <c r="AH342" s="55"/>
      <c r="AI342" s="54"/>
      <c r="AJ342" s="54"/>
      <c r="AK342" s="54"/>
      <c r="AL342" s="54"/>
      <c r="AM342" s="54"/>
      <c r="AN342" s="54"/>
      <c r="AO342" s="54"/>
      <c r="AP342" s="54"/>
      <c r="AQ342" s="54"/>
      <c r="AR342" s="54"/>
      <c r="AS342" s="54"/>
      <c r="AT342" s="54"/>
      <c r="AU342" s="54"/>
      <c r="AV342" s="54"/>
      <c r="AW342" s="54"/>
      <c r="AX342" s="54"/>
      <c r="AY342" s="54"/>
      <c r="AZ342" s="54"/>
      <c r="BA342" s="54"/>
      <c r="BB342" s="54"/>
      <c r="BC342" s="54"/>
      <c r="BD342" s="54"/>
      <c r="BE342" s="54"/>
      <c r="BF342" s="54"/>
      <c r="BG342" s="54"/>
      <c r="BH342" s="54"/>
      <c r="BI342" s="54"/>
      <c r="BJ342" s="54"/>
      <c r="BK342" s="54"/>
      <c r="BL342" s="54"/>
      <c r="BM342" s="54"/>
      <c r="BN342" s="54">
        <f t="shared" si="532"/>
        <v>0</v>
      </c>
      <c r="BO342" s="58">
        <f t="shared" si="533"/>
        <v>0</v>
      </c>
      <c r="BP342" s="54">
        <f t="shared" si="534"/>
        <v>0</v>
      </c>
      <c r="BQ342" s="54">
        <f t="shared" si="535"/>
        <v>0</v>
      </c>
      <c r="BR342" s="54">
        <f t="shared" si="536"/>
        <v>0</v>
      </c>
      <c r="BS342" s="54">
        <f t="shared" si="537"/>
        <v>0</v>
      </c>
      <c r="BT342" s="54">
        <f t="shared" si="538"/>
        <v>0</v>
      </c>
      <c r="BU342" s="54">
        <f t="shared" si="539"/>
        <v>0</v>
      </c>
      <c r="BV342" s="54">
        <f t="shared" si="540"/>
        <v>0</v>
      </c>
      <c r="BW342" s="54">
        <f t="shared" si="541"/>
        <v>0</v>
      </c>
      <c r="BX342" s="1"/>
      <c r="BY342" s="1"/>
      <c r="BZ342" s="1"/>
      <c r="CA342" s="1"/>
      <c r="CB342" s="1"/>
      <c r="CC342" s="1"/>
      <c r="CD342" s="1"/>
      <c r="CE342" s="1"/>
      <c r="CF342" s="1"/>
      <c r="CG342" s="1"/>
    </row>
    <row r="343" spans="1:85" ht="15.75" customHeight="1">
      <c r="A343" s="165"/>
      <c r="B343" s="434"/>
      <c r="C343" s="401"/>
      <c r="D343" s="111" t="s">
        <v>696</v>
      </c>
      <c r="E343" s="184">
        <f>SUM(E344:E346)</f>
        <v>0</v>
      </c>
      <c r="F343" s="185">
        <f>SUM(F344:F346)</f>
        <v>0</v>
      </c>
      <c r="G343" s="185">
        <f>SUM(G344:G346)</f>
        <v>0</v>
      </c>
      <c r="H343" s="185">
        <f>SUM(H344:H346)</f>
        <v>0</v>
      </c>
      <c r="I343" s="114">
        <f t="shared" si="447"/>
        <v>0</v>
      </c>
      <c r="J343" s="114">
        <f t="shared" si="448"/>
        <v>0</v>
      </c>
      <c r="K343" s="185">
        <f t="shared" ref="K343:Q343" si="542">SUM(K344:K346)</f>
        <v>0</v>
      </c>
      <c r="L343" s="185">
        <f t="shared" si="542"/>
        <v>0</v>
      </c>
      <c r="M343" s="185">
        <f t="shared" si="542"/>
        <v>0</v>
      </c>
      <c r="N343" s="113">
        <f t="shared" si="542"/>
        <v>0</v>
      </c>
      <c r="O343" s="113">
        <f t="shared" si="542"/>
        <v>0</v>
      </c>
      <c r="P343" s="113">
        <f t="shared" si="542"/>
        <v>0</v>
      </c>
      <c r="Q343" s="113">
        <f t="shared" si="542"/>
        <v>0</v>
      </c>
      <c r="R343" s="150">
        <f t="shared" si="529"/>
        <v>0</v>
      </c>
      <c r="S343" s="150">
        <f t="shared" si="530"/>
        <v>0</v>
      </c>
      <c r="T343" s="150">
        <f t="shared" si="531"/>
        <v>0</v>
      </c>
      <c r="U343" s="372">
        <f>SUM(U344:U346)</f>
        <v>0</v>
      </c>
      <c r="V343" s="372">
        <f>SUM(V344:V346)</f>
        <v>0</v>
      </c>
      <c r="W343" s="372">
        <f>SUM(W344:W346)</f>
        <v>0</v>
      </c>
      <c r="X343" s="115">
        <f t="shared" si="513"/>
        <v>0</v>
      </c>
      <c r="Y343" s="115">
        <f t="shared" si="514"/>
        <v>0</v>
      </c>
      <c r="Z343" s="115">
        <f t="shared" si="515"/>
        <v>0</v>
      </c>
      <c r="AA343" s="113">
        <f t="shared" ref="AA343:BW343" si="543">SUM(AA344:AA346)</f>
        <v>0</v>
      </c>
      <c r="AB343" s="113">
        <f t="shared" si="543"/>
        <v>0</v>
      </c>
      <c r="AC343" s="113">
        <f t="shared" si="543"/>
        <v>0</v>
      </c>
      <c r="AD343" s="185">
        <f t="shared" si="543"/>
        <v>0</v>
      </c>
      <c r="AE343" s="185">
        <f t="shared" si="543"/>
        <v>0</v>
      </c>
      <c r="AF343" s="185">
        <f t="shared" si="543"/>
        <v>0</v>
      </c>
      <c r="AG343" s="185">
        <f t="shared" si="543"/>
        <v>0</v>
      </c>
      <c r="AH343" s="185">
        <f t="shared" si="543"/>
        <v>0</v>
      </c>
      <c r="AI343" s="113">
        <f t="shared" si="543"/>
        <v>0</v>
      </c>
      <c r="AJ343" s="113">
        <f t="shared" si="543"/>
        <v>0</v>
      </c>
      <c r="AK343" s="113">
        <f t="shared" si="543"/>
        <v>0</v>
      </c>
      <c r="AL343" s="113">
        <f t="shared" si="543"/>
        <v>0</v>
      </c>
      <c r="AM343" s="113">
        <f t="shared" si="543"/>
        <v>0</v>
      </c>
      <c r="AN343" s="113">
        <f t="shared" si="543"/>
        <v>0</v>
      </c>
      <c r="AO343" s="113">
        <f t="shared" si="543"/>
        <v>0</v>
      </c>
      <c r="AP343" s="113">
        <f t="shared" si="543"/>
        <v>0</v>
      </c>
      <c r="AQ343" s="113">
        <f t="shared" si="543"/>
        <v>0</v>
      </c>
      <c r="AR343" s="113">
        <f t="shared" si="543"/>
        <v>0</v>
      </c>
      <c r="AS343" s="113">
        <f t="shared" si="543"/>
        <v>0</v>
      </c>
      <c r="AT343" s="113">
        <f t="shared" si="543"/>
        <v>0</v>
      </c>
      <c r="AU343" s="113">
        <f t="shared" si="543"/>
        <v>0</v>
      </c>
      <c r="AV343" s="113">
        <f t="shared" si="543"/>
        <v>0</v>
      </c>
      <c r="AW343" s="113">
        <f t="shared" si="543"/>
        <v>0</v>
      </c>
      <c r="AX343" s="113">
        <f t="shared" si="543"/>
        <v>0</v>
      </c>
      <c r="AY343" s="113">
        <f t="shared" si="543"/>
        <v>0</v>
      </c>
      <c r="AZ343" s="113">
        <f t="shared" si="543"/>
        <v>0</v>
      </c>
      <c r="BA343" s="113">
        <f t="shared" si="543"/>
        <v>0</v>
      </c>
      <c r="BB343" s="113">
        <f t="shared" si="543"/>
        <v>0</v>
      </c>
      <c r="BC343" s="113">
        <f t="shared" si="543"/>
        <v>0</v>
      </c>
      <c r="BD343" s="113">
        <f t="shared" si="543"/>
        <v>0</v>
      </c>
      <c r="BE343" s="113">
        <f t="shared" si="543"/>
        <v>0</v>
      </c>
      <c r="BF343" s="113">
        <f t="shared" si="543"/>
        <v>0</v>
      </c>
      <c r="BG343" s="113">
        <f t="shared" si="543"/>
        <v>0</v>
      </c>
      <c r="BH343" s="113">
        <f t="shared" si="543"/>
        <v>0</v>
      </c>
      <c r="BI343" s="113">
        <f t="shared" si="543"/>
        <v>0</v>
      </c>
      <c r="BJ343" s="113">
        <f t="shared" si="543"/>
        <v>0</v>
      </c>
      <c r="BK343" s="113">
        <f t="shared" si="543"/>
        <v>0</v>
      </c>
      <c r="BL343" s="113">
        <f t="shared" si="543"/>
        <v>0</v>
      </c>
      <c r="BM343" s="113">
        <f t="shared" si="543"/>
        <v>0</v>
      </c>
      <c r="BN343" s="113">
        <f t="shared" si="543"/>
        <v>0</v>
      </c>
      <c r="BO343" s="113">
        <f t="shared" si="543"/>
        <v>0</v>
      </c>
      <c r="BP343" s="113">
        <f>SUM(BP344:BP346)</f>
        <v>0</v>
      </c>
      <c r="BQ343" s="113">
        <f t="shared" si="543"/>
        <v>0</v>
      </c>
      <c r="BR343" s="113">
        <f t="shared" si="543"/>
        <v>0</v>
      </c>
      <c r="BS343" s="113">
        <f t="shared" si="543"/>
        <v>0</v>
      </c>
      <c r="BT343" s="113">
        <f t="shared" si="543"/>
        <v>0</v>
      </c>
      <c r="BU343" s="113">
        <f t="shared" si="543"/>
        <v>0</v>
      </c>
      <c r="BV343" s="113">
        <f t="shared" si="543"/>
        <v>0</v>
      </c>
      <c r="BW343" s="113">
        <f t="shared" si="543"/>
        <v>0</v>
      </c>
      <c r="BX343" s="1"/>
      <c r="BY343" s="1"/>
      <c r="BZ343" s="1"/>
      <c r="CA343" s="1"/>
      <c r="CB343" s="1"/>
      <c r="CC343" s="1"/>
      <c r="CD343" s="1"/>
      <c r="CE343" s="1"/>
      <c r="CF343" s="1"/>
      <c r="CG343" s="1"/>
    </row>
    <row r="344" spans="1:85" ht="15.75" customHeight="1">
      <c r="A344" s="56"/>
      <c r="B344" s="426"/>
      <c r="C344" s="394"/>
      <c r="D344" s="44"/>
      <c r="E344" s="45"/>
      <c r="F344" s="46"/>
      <c r="G344" s="46">
        <f>E344-F344</f>
        <v>0</v>
      </c>
      <c r="H344" s="46"/>
      <c r="I344" s="47">
        <f t="shared" si="447"/>
        <v>0</v>
      </c>
      <c r="J344" s="47">
        <f t="shared" si="448"/>
        <v>0</v>
      </c>
      <c r="K344" s="54"/>
      <c r="L344" s="49"/>
      <c r="M344" s="50"/>
      <c r="N344" s="50"/>
      <c r="O344" s="51">
        <f t="shared" ref="O344:Q346" si="544">AA344+AD344+AG344+AJ344+AM344+AP344+AS344+AV344+AY344+BB344+BE344+BH344</f>
        <v>0</v>
      </c>
      <c r="P344" s="51">
        <f t="shared" si="544"/>
        <v>0</v>
      </c>
      <c r="Q344" s="51">
        <f t="shared" si="544"/>
        <v>0</v>
      </c>
      <c r="R344" s="52">
        <f t="shared" si="529"/>
        <v>0</v>
      </c>
      <c r="S344" s="52">
        <f t="shared" si="530"/>
        <v>0</v>
      </c>
      <c r="T344" s="52">
        <f t="shared" si="531"/>
        <v>0</v>
      </c>
      <c r="U344" s="369">
        <f>K344-O344</f>
        <v>0</v>
      </c>
      <c r="V344" s="369">
        <f>L344-P344-M344</f>
        <v>0</v>
      </c>
      <c r="W344" s="369">
        <f>N344-Q344</f>
        <v>0</v>
      </c>
      <c r="X344" s="53">
        <f t="shared" si="513"/>
        <v>0</v>
      </c>
      <c r="Y344" s="53">
        <f t="shared" si="514"/>
        <v>0</v>
      </c>
      <c r="Z344" s="53">
        <f t="shared" si="515"/>
        <v>0</v>
      </c>
      <c r="AA344" s="54"/>
      <c r="AB344" s="54"/>
      <c r="AC344" s="54"/>
      <c r="AD344" s="54"/>
      <c r="AE344" s="55"/>
      <c r="AF344" s="55"/>
      <c r="AG344" s="55"/>
      <c r="AH344" s="55"/>
      <c r="AI344" s="54"/>
      <c r="AJ344" s="54"/>
      <c r="AK344" s="54"/>
      <c r="AL344" s="54"/>
      <c r="AM344" s="54"/>
      <c r="AN344" s="54"/>
      <c r="AO344" s="54"/>
      <c r="AP344" s="54"/>
      <c r="AQ344" s="54"/>
      <c r="AR344" s="54"/>
      <c r="AS344" s="54"/>
      <c r="AT344" s="54"/>
      <c r="AU344" s="54"/>
      <c r="AV344" s="54"/>
      <c r="AW344" s="54"/>
      <c r="AX344" s="54"/>
      <c r="AY344" s="54"/>
      <c r="AZ344" s="54"/>
      <c r="BA344" s="54"/>
      <c r="BB344" s="54"/>
      <c r="BC344" s="54"/>
      <c r="BD344" s="54"/>
      <c r="BE344" s="54"/>
      <c r="BF344" s="54"/>
      <c r="BG344" s="54"/>
      <c r="BH344" s="50"/>
      <c r="BI344" s="54"/>
      <c r="BJ344" s="54"/>
      <c r="BK344" s="50"/>
      <c r="BL344" s="54"/>
      <c r="BM344" s="54"/>
      <c r="BN344" s="54">
        <f t="shared" ref="BN344:BN346" si="545">IF(O344-BK344&gt;0,O344-BK344,0)</f>
        <v>0</v>
      </c>
      <c r="BO344" s="58">
        <f t="shared" ref="BO344:BO346" si="546">IF(Q344-BM344&gt;0,Q344-BM344,0)</f>
        <v>0</v>
      </c>
      <c r="BP344" s="54">
        <f t="shared" ref="BP344:BP346" si="547">IF(BN344+BO344&gt;0,BN344+BO344,0)</f>
        <v>0</v>
      </c>
      <c r="BQ344" s="54">
        <f t="shared" ref="BQ344:BQ346" si="548">IF(U344=0,0,U344)</f>
        <v>0</v>
      </c>
      <c r="BR344" s="54">
        <f t="shared" ref="BR344:BR346" si="549">IF(W344=0,0,W344)</f>
        <v>0</v>
      </c>
      <c r="BS344" s="54">
        <f t="shared" ref="BS344:BS346" si="550">IF(BQ344+BR344&gt;0,BQ344+BR344,0)</f>
        <v>0</v>
      </c>
      <c r="BT344" s="54">
        <f t="shared" ref="BT344:BT346" si="551">IF(V344&gt;0,V344,0)</f>
        <v>0</v>
      </c>
      <c r="BU344" s="54">
        <f t="shared" ref="BU344:BU346" si="552">IF(BP344=0,0,BP344)</f>
        <v>0</v>
      </c>
      <c r="BV344" s="54">
        <f t="shared" ref="BV344:BV346" si="553">IF(BS344=0,0,BS344)</f>
        <v>0</v>
      </c>
      <c r="BW344" s="54">
        <f t="shared" ref="BW344:BW346" si="554">IF(BP344+BT344&gt;0,BP344+BT344,0)</f>
        <v>0</v>
      </c>
      <c r="BX344" s="1"/>
      <c r="BY344" s="1"/>
      <c r="BZ344" s="1"/>
      <c r="CA344" s="1"/>
      <c r="CB344" s="1"/>
      <c r="CC344" s="1"/>
      <c r="CD344" s="1"/>
      <c r="CE344" s="1"/>
      <c r="CF344" s="1"/>
      <c r="CG344" s="1"/>
    </row>
    <row r="345" spans="1:85" ht="15.75" customHeight="1">
      <c r="A345" s="56"/>
      <c r="B345" s="426"/>
      <c r="C345" s="394"/>
      <c r="D345" s="44"/>
      <c r="E345" s="45"/>
      <c r="F345" s="46"/>
      <c r="G345" s="46">
        <f>E345-F345</f>
        <v>0</v>
      </c>
      <c r="H345" s="46"/>
      <c r="I345" s="47">
        <f t="shared" si="447"/>
        <v>0</v>
      </c>
      <c r="J345" s="47">
        <f t="shared" si="448"/>
        <v>0</v>
      </c>
      <c r="K345" s="54"/>
      <c r="L345" s="49"/>
      <c r="M345" s="50"/>
      <c r="N345" s="50"/>
      <c r="O345" s="51">
        <f t="shared" si="544"/>
        <v>0</v>
      </c>
      <c r="P345" s="51">
        <f t="shared" si="544"/>
        <v>0</v>
      </c>
      <c r="Q345" s="51">
        <f t="shared" si="544"/>
        <v>0</v>
      </c>
      <c r="R345" s="52">
        <f t="shared" si="529"/>
        <v>0</v>
      </c>
      <c r="S345" s="52">
        <f t="shared" si="530"/>
        <v>0</v>
      </c>
      <c r="T345" s="52">
        <f t="shared" si="531"/>
        <v>0</v>
      </c>
      <c r="U345" s="369">
        <f>K345-O345</f>
        <v>0</v>
      </c>
      <c r="V345" s="369">
        <f>L345-P345-M345</f>
        <v>0</v>
      </c>
      <c r="W345" s="369">
        <f>N345-Q345</f>
        <v>0</v>
      </c>
      <c r="X345" s="53">
        <f t="shared" si="513"/>
        <v>0</v>
      </c>
      <c r="Y345" s="53">
        <f t="shared" si="514"/>
        <v>0</v>
      </c>
      <c r="Z345" s="53">
        <f t="shared" si="515"/>
        <v>0</v>
      </c>
      <c r="AA345" s="54"/>
      <c r="AB345" s="54"/>
      <c r="AC345" s="54"/>
      <c r="AD345" s="54"/>
      <c r="AE345" s="55"/>
      <c r="AF345" s="55"/>
      <c r="AG345" s="55"/>
      <c r="AH345" s="55"/>
      <c r="AI345" s="54"/>
      <c r="AJ345" s="54"/>
      <c r="AK345" s="54"/>
      <c r="AL345" s="54"/>
      <c r="AM345" s="54"/>
      <c r="AN345" s="54"/>
      <c r="AO345" s="54"/>
      <c r="AP345" s="54"/>
      <c r="AQ345" s="54"/>
      <c r="AR345" s="54"/>
      <c r="AS345" s="54"/>
      <c r="AT345" s="54"/>
      <c r="AU345" s="49"/>
      <c r="AV345" s="54"/>
      <c r="AW345" s="54"/>
      <c r="AX345" s="54"/>
      <c r="AY345" s="54"/>
      <c r="AZ345" s="54"/>
      <c r="BA345" s="54"/>
      <c r="BB345" s="54"/>
      <c r="BC345" s="54"/>
      <c r="BD345" s="54"/>
      <c r="BE345" s="54"/>
      <c r="BF345" s="54"/>
      <c r="BG345" s="54"/>
      <c r="BH345" s="54"/>
      <c r="BI345" s="54"/>
      <c r="BJ345" s="54"/>
      <c r="BK345" s="54"/>
      <c r="BL345" s="54"/>
      <c r="BM345" s="54"/>
      <c r="BN345" s="54">
        <f t="shared" si="545"/>
        <v>0</v>
      </c>
      <c r="BO345" s="58">
        <f t="shared" si="546"/>
        <v>0</v>
      </c>
      <c r="BP345" s="54">
        <f t="shared" si="547"/>
        <v>0</v>
      </c>
      <c r="BQ345" s="54">
        <f t="shared" si="548"/>
        <v>0</v>
      </c>
      <c r="BR345" s="54">
        <f t="shared" si="549"/>
        <v>0</v>
      </c>
      <c r="BS345" s="54">
        <f t="shared" si="550"/>
        <v>0</v>
      </c>
      <c r="BT345" s="54">
        <f t="shared" si="551"/>
        <v>0</v>
      </c>
      <c r="BU345" s="54">
        <f t="shared" si="552"/>
        <v>0</v>
      </c>
      <c r="BV345" s="54">
        <f t="shared" si="553"/>
        <v>0</v>
      </c>
      <c r="BW345" s="54">
        <f t="shared" si="554"/>
        <v>0</v>
      </c>
      <c r="BX345" s="1"/>
      <c r="BY345" s="1"/>
      <c r="BZ345" s="1"/>
      <c r="CA345" s="1"/>
      <c r="CB345" s="1"/>
      <c r="CC345" s="1"/>
      <c r="CD345" s="1"/>
      <c r="CE345" s="1"/>
      <c r="CF345" s="1"/>
      <c r="CG345" s="1"/>
    </row>
    <row r="346" spans="1:85" ht="15.75" customHeight="1">
      <c r="A346" s="56"/>
      <c r="B346" s="426"/>
      <c r="C346" s="394"/>
      <c r="D346" s="44"/>
      <c r="E346" s="45"/>
      <c r="F346" s="46"/>
      <c r="G346" s="46">
        <f>E346-F346</f>
        <v>0</v>
      </c>
      <c r="H346" s="46"/>
      <c r="I346" s="47">
        <f t="shared" si="447"/>
        <v>0</v>
      </c>
      <c r="J346" s="47">
        <f t="shared" si="448"/>
        <v>0</v>
      </c>
      <c r="K346" s="49"/>
      <c r="L346" s="49"/>
      <c r="M346" s="54"/>
      <c r="N346" s="49"/>
      <c r="O346" s="51">
        <f t="shared" si="544"/>
        <v>0</v>
      </c>
      <c r="P346" s="51">
        <f t="shared" si="544"/>
        <v>0</v>
      </c>
      <c r="Q346" s="51">
        <f t="shared" si="544"/>
        <v>0</v>
      </c>
      <c r="R346" s="52">
        <f t="shared" si="529"/>
        <v>0</v>
      </c>
      <c r="S346" s="52">
        <f t="shared" si="530"/>
        <v>0</v>
      </c>
      <c r="T346" s="52">
        <f t="shared" si="531"/>
        <v>0</v>
      </c>
      <c r="U346" s="369">
        <f>K346-O346</f>
        <v>0</v>
      </c>
      <c r="V346" s="369">
        <f>L346-P346-M346</f>
        <v>0</v>
      </c>
      <c r="W346" s="369">
        <f>N346-Q346</f>
        <v>0</v>
      </c>
      <c r="X346" s="53">
        <f t="shared" si="513"/>
        <v>0</v>
      </c>
      <c r="Y346" s="53">
        <f t="shared" si="514"/>
        <v>0</v>
      </c>
      <c r="Z346" s="53">
        <f t="shared" si="515"/>
        <v>0</v>
      </c>
      <c r="AA346" s="54"/>
      <c r="AB346" s="54"/>
      <c r="AC346" s="54"/>
      <c r="AD346" s="54"/>
      <c r="AE346" s="55"/>
      <c r="AF346" s="55"/>
      <c r="AG346" s="55"/>
      <c r="AH346" s="55"/>
      <c r="AI346" s="54"/>
      <c r="AJ346" s="54"/>
      <c r="AK346" s="54"/>
      <c r="AL346" s="54"/>
      <c r="AM346" s="54"/>
      <c r="AN346" s="54"/>
      <c r="AO346" s="54"/>
      <c r="AP346" s="54"/>
      <c r="AQ346" s="54"/>
      <c r="AR346" s="54"/>
      <c r="AS346" s="54"/>
      <c r="AT346" s="54"/>
      <c r="AU346" s="54"/>
      <c r="AV346" s="54"/>
      <c r="AW346" s="54"/>
      <c r="AX346" s="54"/>
      <c r="AY346" s="54"/>
      <c r="AZ346" s="54"/>
      <c r="BA346" s="54"/>
      <c r="BB346" s="54"/>
      <c r="BC346" s="54"/>
      <c r="BD346" s="54"/>
      <c r="BE346" s="54"/>
      <c r="BF346" s="54"/>
      <c r="BG346" s="54"/>
      <c r="BH346" s="54"/>
      <c r="BI346" s="54"/>
      <c r="BJ346" s="54"/>
      <c r="BK346" s="54"/>
      <c r="BL346" s="54"/>
      <c r="BM346" s="54"/>
      <c r="BN346" s="54">
        <f t="shared" si="545"/>
        <v>0</v>
      </c>
      <c r="BO346" s="58">
        <f t="shared" si="546"/>
        <v>0</v>
      </c>
      <c r="BP346" s="54">
        <f t="shared" si="547"/>
        <v>0</v>
      </c>
      <c r="BQ346" s="54">
        <f t="shared" si="548"/>
        <v>0</v>
      </c>
      <c r="BR346" s="54">
        <f t="shared" si="549"/>
        <v>0</v>
      </c>
      <c r="BS346" s="54">
        <f t="shared" si="550"/>
        <v>0</v>
      </c>
      <c r="BT346" s="54">
        <f t="shared" si="551"/>
        <v>0</v>
      </c>
      <c r="BU346" s="54">
        <f t="shared" si="552"/>
        <v>0</v>
      </c>
      <c r="BV346" s="54">
        <f t="shared" si="553"/>
        <v>0</v>
      </c>
      <c r="BW346" s="54">
        <f t="shared" si="554"/>
        <v>0</v>
      </c>
      <c r="BX346" s="1"/>
      <c r="BY346" s="1"/>
      <c r="BZ346" s="1"/>
      <c r="CA346" s="1"/>
      <c r="CB346" s="1"/>
      <c r="CC346" s="1"/>
      <c r="CD346" s="1"/>
      <c r="CE346" s="1"/>
      <c r="CF346" s="1"/>
      <c r="CG346" s="1"/>
    </row>
    <row r="347" spans="1:85" ht="15.75" customHeight="1">
      <c r="A347" s="37"/>
      <c r="B347" s="425" t="s">
        <v>697</v>
      </c>
      <c r="C347" s="393"/>
      <c r="D347" s="38"/>
      <c r="E347" s="39">
        <f>E348+E367+E397</f>
        <v>1358465.96</v>
      </c>
      <c r="F347" s="40">
        <f>F348+F367+F397</f>
        <v>135136.38199999998</v>
      </c>
      <c r="G347" s="40">
        <f>G348+G367+G397</f>
        <v>1223329.578</v>
      </c>
      <c r="H347" s="40">
        <f>H348+H367+H397</f>
        <v>570000</v>
      </c>
      <c r="I347" s="62">
        <f t="shared" si="447"/>
        <v>0.98920760338225056</v>
      </c>
      <c r="J347" s="62">
        <f t="shared" si="448"/>
        <v>0.64615236500069329</v>
      </c>
      <c r="K347" s="40">
        <f t="shared" ref="K347:Q347" si="555">K348+K367+K397</f>
        <v>1210126.92</v>
      </c>
      <c r="L347" s="40">
        <f t="shared" si="555"/>
        <v>186328.27999999997</v>
      </c>
      <c r="M347" s="40">
        <f t="shared" si="555"/>
        <v>2584.6400000000003</v>
      </c>
      <c r="N347" s="40">
        <f t="shared" si="555"/>
        <v>0</v>
      </c>
      <c r="O347" s="40">
        <f t="shared" si="555"/>
        <v>790457.3</v>
      </c>
      <c r="P347" s="40">
        <f t="shared" si="555"/>
        <v>167986.24</v>
      </c>
      <c r="Q347" s="40">
        <f t="shared" si="555"/>
        <v>0</v>
      </c>
      <c r="R347" s="42">
        <f t="shared" si="529"/>
        <v>790457.3</v>
      </c>
      <c r="S347" s="42">
        <f t="shared" si="530"/>
        <v>167986.24</v>
      </c>
      <c r="T347" s="42">
        <f t="shared" si="531"/>
        <v>0</v>
      </c>
      <c r="U347" s="367">
        <f>U348+U367+U397</f>
        <v>419669.62</v>
      </c>
      <c r="V347" s="367">
        <f>V348+V367+V397</f>
        <v>15757.4</v>
      </c>
      <c r="W347" s="367">
        <f>W348+W367+W397</f>
        <v>0</v>
      </c>
      <c r="X347" s="41">
        <f t="shared" si="513"/>
        <v>0.65320197983861072</v>
      </c>
      <c r="Y347" s="41">
        <f t="shared" si="514"/>
        <v>0.90156062193028352</v>
      </c>
      <c r="Z347" s="41">
        <f t="shared" si="515"/>
        <v>0</v>
      </c>
      <c r="AA347" s="40">
        <f t="shared" ref="AA347:BW347" si="556">AA348+AA367+AA397</f>
        <v>3800</v>
      </c>
      <c r="AB347" s="40">
        <f t="shared" si="556"/>
        <v>96787.5</v>
      </c>
      <c r="AC347" s="40">
        <f t="shared" si="556"/>
        <v>0</v>
      </c>
      <c r="AD347" s="40">
        <f t="shared" si="556"/>
        <v>15079.15</v>
      </c>
      <c r="AE347" s="40">
        <f t="shared" si="556"/>
        <v>10703.24</v>
      </c>
      <c r="AF347" s="40">
        <f t="shared" si="556"/>
        <v>0</v>
      </c>
      <c r="AG347" s="40">
        <f t="shared" si="556"/>
        <v>130712.52999999998</v>
      </c>
      <c r="AH347" s="40">
        <f t="shared" si="556"/>
        <v>39224</v>
      </c>
      <c r="AI347" s="40">
        <f t="shared" si="556"/>
        <v>0</v>
      </c>
      <c r="AJ347" s="40">
        <f t="shared" si="556"/>
        <v>59274.000000000007</v>
      </c>
      <c r="AK347" s="40">
        <f t="shared" si="556"/>
        <v>0</v>
      </c>
      <c r="AL347" s="40">
        <f t="shared" si="556"/>
        <v>0</v>
      </c>
      <c r="AM347" s="40">
        <f t="shared" si="556"/>
        <v>104539.84999999999</v>
      </c>
      <c r="AN347" s="40">
        <f t="shared" si="556"/>
        <v>115</v>
      </c>
      <c r="AO347" s="40">
        <f t="shared" si="556"/>
        <v>0</v>
      </c>
      <c r="AP347" s="40">
        <f t="shared" si="556"/>
        <v>144466.41999999998</v>
      </c>
      <c r="AQ347" s="40">
        <f t="shared" si="556"/>
        <v>1431.5</v>
      </c>
      <c r="AR347" s="40">
        <f t="shared" si="556"/>
        <v>0</v>
      </c>
      <c r="AS347" s="40">
        <f t="shared" si="556"/>
        <v>82137.06</v>
      </c>
      <c r="AT347" s="40">
        <f t="shared" si="556"/>
        <v>14952.5</v>
      </c>
      <c r="AU347" s="40">
        <f t="shared" si="556"/>
        <v>0</v>
      </c>
      <c r="AV347" s="40">
        <f t="shared" si="556"/>
        <v>158910.17000000001</v>
      </c>
      <c r="AW347" s="40">
        <f t="shared" si="556"/>
        <v>4772.5</v>
      </c>
      <c r="AX347" s="40">
        <f t="shared" si="556"/>
        <v>0</v>
      </c>
      <c r="AY347" s="40">
        <f t="shared" si="556"/>
        <v>91538.12</v>
      </c>
      <c r="AZ347" s="40">
        <f t="shared" si="556"/>
        <v>0</v>
      </c>
      <c r="BA347" s="40">
        <f t="shared" si="556"/>
        <v>0</v>
      </c>
      <c r="BB347" s="40">
        <f t="shared" si="556"/>
        <v>0</v>
      </c>
      <c r="BC347" s="40">
        <f t="shared" si="556"/>
        <v>0</v>
      </c>
      <c r="BD347" s="40">
        <f t="shared" si="556"/>
        <v>0</v>
      </c>
      <c r="BE347" s="40">
        <f t="shared" si="556"/>
        <v>0</v>
      </c>
      <c r="BF347" s="40">
        <f t="shared" si="556"/>
        <v>0</v>
      </c>
      <c r="BG347" s="40">
        <f t="shared" si="556"/>
        <v>0</v>
      </c>
      <c r="BH347" s="40">
        <f t="shared" si="556"/>
        <v>0</v>
      </c>
      <c r="BI347" s="40">
        <f t="shared" si="556"/>
        <v>0</v>
      </c>
      <c r="BJ347" s="40">
        <f t="shared" si="556"/>
        <v>0</v>
      </c>
      <c r="BK347" s="40">
        <f t="shared" si="556"/>
        <v>0</v>
      </c>
      <c r="BL347" s="40">
        <f t="shared" si="556"/>
        <v>0</v>
      </c>
      <c r="BM347" s="40">
        <f t="shared" si="556"/>
        <v>0</v>
      </c>
      <c r="BN347" s="40">
        <f t="shared" si="556"/>
        <v>790457.3</v>
      </c>
      <c r="BO347" s="40">
        <f t="shared" si="556"/>
        <v>0</v>
      </c>
      <c r="BP347" s="40">
        <f>BP348+BP367+BP397</f>
        <v>790457.3</v>
      </c>
      <c r="BQ347" s="40">
        <f t="shared" si="556"/>
        <v>419669.62</v>
      </c>
      <c r="BR347" s="40">
        <f t="shared" si="556"/>
        <v>0</v>
      </c>
      <c r="BS347" s="40">
        <f t="shared" si="556"/>
        <v>419669.62</v>
      </c>
      <c r="BT347" s="40">
        <f t="shared" si="556"/>
        <v>15757.4</v>
      </c>
      <c r="BU347" s="40">
        <f t="shared" si="556"/>
        <v>790457.3</v>
      </c>
      <c r="BV347" s="40">
        <f t="shared" si="556"/>
        <v>419669.62</v>
      </c>
      <c r="BW347" s="40">
        <f t="shared" si="556"/>
        <v>806214.70000000007</v>
      </c>
      <c r="BX347" s="1"/>
      <c r="BY347" s="1"/>
      <c r="BZ347" s="1"/>
      <c r="CA347" s="1"/>
      <c r="CB347" s="1"/>
      <c r="CC347" s="1"/>
      <c r="CD347" s="1"/>
      <c r="CE347" s="1"/>
      <c r="CF347" s="1"/>
      <c r="CG347" s="1"/>
    </row>
    <row r="348" spans="1:85" ht="15.75" customHeight="1">
      <c r="A348" s="182"/>
      <c r="B348" s="446"/>
      <c r="C348" s="404"/>
      <c r="D348" s="183" t="s">
        <v>698</v>
      </c>
      <c r="E348" s="184">
        <f>E349+E357</f>
        <v>150932.97999999998</v>
      </c>
      <c r="F348" s="185">
        <f>F349+F357</f>
        <v>7568.1919999999955</v>
      </c>
      <c r="G348" s="185">
        <f>G349+G357</f>
        <v>143364.788</v>
      </c>
      <c r="H348" s="185">
        <f>H349+H357</f>
        <v>0</v>
      </c>
      <c r="I348" s="114">
        <f t="shared" si="447"/>
        <v>0.26296554771873254</v>
      </c>
      <c r="J348" s="114">
        <f t="shared" si="448"/>
        <v>0.22857837309395668</v>
      </c>
      <c r="K348" s="185">
        <f t="shared" ref="K348:Q348" si="557">K349+K357</f>
        <v>37699.999999999971</v>
      </c>
      <c r="L348" s="185">
        <f t="shared" si="557"/>
        <v>0</v>
      </c>
      <c r="M348" s="185">
        <f t="shared" si="557"/>
        <v>0</v>
      </c>
      <c r="N348" s="185">
        <f t="shared" si="557"/>
        <v>0</v>
      </c>
      <c r="O348" s="185">
        <f t="shared" si="557"/>
        <v>32770.090000000004</v>
      </c>
      <c r="P348" s="185">
        <f t="shared" si="557"/>
        <v>0</v>
      </c>
      <c r="Q348" s="185">
        <f t="shared" si="557"/>
        <v>0</v>
      </c>
      <c r="R348" s="150">
        <f t="shared" si="529"/>
        <v>32770.090000000004</v>
      </c>
      <c r="S348" s="150">
        <f t="shared" si="530"/>
        <v>0</v>
      </c>
      <c r="T348" s="150">
        <f t="shared" si="531"/>
        <v>0</v>
      </c>
      <c r="U348" s="376">
        <f>U349+U357</f>
        <v>4929.9099999999708</v>
      </c>
      <c r="V348" s="376">
        <f>V349+V357</f>
        <v>0</v>
      </c>
      <c r="W348" s="376">
        <f>W349+W357</f>
        <v>0</v>
      </c>
      <c r="X348" s="115">
        <f t="shared" si="513"/>
        <v>0.8692331564986745</v>
      </c>
      <c r="Y348" s="115">
        <f t="shared" si="514"/>
        <v>0</v>
      </c>
      <c r="Z348" s="115">
        <f t="shared" si="515"/>
        <v>0</v>
      </c>
      <c r="AA348" s="185">
        <f t="shared" ref="AA348:BW348" si="558">AA349+AA357</f>
        <v>3800</v>
      </c>
      <c r="AB348" s="185">
        <f t="shared" si="558"/>
        <v>0</v>
      </c>
      <c r="AC348" s="185">
        <f t="shared" si="558"/>
        <v>0</v>
      </c>
      <c r="AD348" s="185">
        <f t="shared" si="558"/>
        <v>3800</v>
      </c>
      <c r="AE348" s="185">
        <f t="shared" si="558"/>
        <v>0</v>
      </c>
      <c r="AF348" s="185">
        <f t="shared" si="558"/>
        <v>0</v>
      </c>
      <c r="AG348" s="185">
        <f t="shared" si="558"/>
        <v>3979.51</v>
      </c>
      <c r="AH348" s="185">
        <f t="shared" si="558"/>
        <v>0</v>
      </c>
      <c r="AI348" s="185">
        <f t="shared" si="558"/>
        <v>0</v>
      </c>
      <c r="AJ348" s="185">
        <f t="shared" si="558"/>
        <v>3600</v>
      </c>
      <c r="AK348" s="185">
        <f t="shared" si="558"/>
        <v>0</v>
      </c>
      <c r="AL348" s="185">
        <f t="shared" si="558"/>
        <v>0</v>
      </c>
      <c r="AM348" s="185">
        <f t="shared" si="558"/>
        <v>3820.29</v>
      </c>
      <c r="AN348" s="185">
        <f t="shared" si="558"/>
        <v>0</v>
      </c>
      <c r="AO348" s="185">
        <f t="shared" si="558"/>
        <v>0</v>
      </c>
      <c r="AP348" s="185">
        <f t="shared" si="558"/>
        <v>4136.22</v>
      </c>
      <c r="AQ348" s="185">
        <f t="shared" si="558"/>
        <v>0</v>
      </c>
      <c r="AR348" s="185">
        <f t="shared" si="558"/>
        <v>0</v>
      </c>
      <c r="AS348" s="185">
        <f t="shared" si="558"/>
        <v>5306.03</v>
      </c>
      <c r="AT348" s="185">
        <f t="shared" si="558"/>
        <v>0</v>
      </c>
      <c r="AU348" s="185">
        <f t="shared" si="558"/>
        <v>0</v>
      </c>
      <c r="AV348" s="185">
        <f t="shared" si="558"/>
        <v>2977.74</v>
      </c>
      <c r="AW348" s="185">
        <f t="shared" si="558"/>
        <v>0</v>
      </c>
      <c r="AX348" s="185">
        <f t="shared" si="558"/>
        <v>0</v>
      </c>
      <c r="AY348" s="185">
        <f t="shared" si="558"/>
        <v>1350.3</v>
      </c>
      <c r="AZ348" s="185">
        <f t="shared" si="558"/>
        <v>0</v>
      </c>
      <c r="BA348" s="185">
        <f t="shared" si="558"/>
        <v>0</v>
      </c>
      <c r="BB348" s="185">
        <f t="shared" si="558"/>
        <v>0</v>
      </c>
      <c r="BC348" s="185">
        <f t="shared" si="558"/>
        <v>0</v>
      </c>
      <c r="BD348" s="185">
        <f t="shared" si="558"/>
        <v>0</v>
      </c>
      <c r="BE348" s="185">
        <f t="shared" si="558"/>
        <v>0</v>
      </c>
      <c r="BF348" s="185">
        <f t="shared" si="558"/>
        <v>0</v>
      </c>
      <c r="BG348" s="185">
        <f t="shared" si="558"/>
        <v>0</v>
      </c>
      <c r="BH348" s="185">
        <f t="shared" si="558"/>
        <v>0</v>
      </c>
      <c r="BI348" s="185">
        <f t="shared" si="558"/>
        <v>0</v>
      </c>
      <c r="BJ348" s="185">
        <f t="shared" si="558"/>
        <v>0</v>
      </c>
      <c r="BK348" s="185">
        <f t="shared" si="558"/>
        <v>0</v>
      </c>
      <c r="BL348" s="185">
        <f t="shared" si="558"/>
        <v>0</v>
      </c>
      <c r="BM348" s="185">
        <f t="shared" si="558"/>
        <v>0</v>
      </c>
      <c r="BN348" s="185">
        <f t="shared" si="558"/>
        <v>32770.090000000004</v>
      </c>
      <c r="BO348" s="185">
        <f t="shared" si="558"/>
        <v>0</v>
      </c>
      <c r="BP348" s="185">
        <f>BP349+BP357</f>
        <v>32770.090000000004</v>
      </c>
      <c r="BQ348" s="185">
        <f t="shared" si="558"/>
        <v>4929.9099999999708</v>
      </c>
      <c r="BR348" s="185">
        <f t="shared" si="558"/>
        <v>0</v>
      </c>
      <c r="BS348" s="185">
        <f t="shared" si="558"/>
        <v>4929.91</v>
      </c>
      <c r="BT348" s="185">
        <f t="shared" si="558"/>
        <v>0</v>
      </c>
      <c r="BU348" s="185">
        <f t="shared" si="558"/>
        <v>32770.090000000004</v>
      </c>
      <c r="BV348" s="185">
        <f t="shared" si="558"/>
        <v>4929.91</v>
      </c>
      <c r="BW348" s="185">
        <f t="shared" si="558"/>
        <v>32770.090000000004</v>
      </c>
      <c r="BX348" s="1"/>
      <c r="BY348" s="1"/>
      <c r="BZ348" s="1"/>
      <c r="CA348" s="1"/>
      <c r="CB348" s="1"/>
      <c r="CC348" s="1"/>
      <c r="CD348" s="1"/>
      <c r="CE348" s="1"/>
      <c r="CF348" s="1"/>
      <c r="CG348" s="1"/>
    </row>
    <row r="349" spans="1:85" ht="15.75" customHeight="1">
      <c r="A349" s="175"/>
      <c r="B349" s="443"/>
      <c r="C349" s="392"/>
      <c r="D349" s="197" t="s">
        <v>699</v>
      </c>
      <c r="E349" s="162">
        <f>SUM(E350:E356)</f>
        <v>69432.98</v>
      </c>
      <c r="F349" s="127">
        <f>SUM(F350:F356)</f>
        <v>7568.1919999999955</v>
      </c>
      <c r="G349" s="127">
        <f>SUM(G350:G356)</f>
        <v>61864.788000000008</v>
      </c>
      <c r="H349" s="127">
        <f>SUM(H350:H356)</f>
        <v>0</v>
      </c>
      <c r="I349" s="169">
        <f t="shared" si="447"/>
        <v>0.56090065321164551</v>
      </c>
      <c r="J349" s="169">
        <f t="shared" si="448"/>
        <v>0.49860479599477492</v>
      </c>
      <c r="K349" s="127">
        <f t="shared" ref="K349:Q349" si="559">SUM(K350:K356)</f>
        <v>34699.999999999971</v>
      </c>
      <c r="L349" s="127">
        <f t="shared" si="559"/>
        <v>0</v>
      </c>
      <c r="M349" s="127">
        <f t="shared" si="559"/>
        <v>0</v>
      </c>
      <c r="N349" s="170">
        <f t="shared" si="559"/>
        <v>0</v>
      </c>
      <c r="O349" s="127">
        <f t="shared" si="559"/>
        <v>30846.080000000002</v>
      </c>
      <c r="P349" s="127">
        <f t="shared" si="559"/>
        <v>0</v>
      </c>
      <c r="Q349" s="127">
        <f t="shared" si="559"/>
        <v>0</v>
      </c>
      <c r="R349" s="52">
        <f t="shared" si="529"/>
        <v>30846.080000000002</v>
      </c>
      <c r="S349" s="52">
        <f t="shared" si="530"/>
        <v>0</v>
      </c>
      <c r="T349" s="52">
        <f t="shared" si="531"/>
        <v>0</v>
      </c>
      <c r="U349" s="375">
        <f>SUM(U350:U356)</f>
        <v>3853.919999999971</v>
      </c>
      <c r="V349" s="375">
        <f>SUM(V350:V356)</f>
        <v>0</v>
      </c>
      <c r="W349" s="375">
        <f>SUM(W350:W356)</f>
        <v>0</v>
      </c>
      <c r="X349" s="36">
        <f t="shared" si="513"/>
        <v>0.88893602305475583</v>
      </c>
      <c r="Y349" s="36">
        <f t="shared" si="514"/>
        <v>0</v>
      </c>
      <c r="Z349" s="36">
        <f t="shared" si="515"/>
        <v>0</v>
      </c>
      <c r="AA349" s="170">
        <f t="shared" ref="AA349:BW349" si="560">SUM(AA350:AA356)</f>
        <v>3800</v>
      </c>
      <c r="AB349" s="170">
        <f t="shared" si="560"/>
        <v>0</v>
      </c>
      <c r="AC349" s="170">
        <f t="shared" si="560"/>
        <v>0</v>
      </c>
      <c r="AD349" s="170">
        <f t="shared" si="560"/>
        <v>3800</v>
      </c>
      <c r="AE349" s="170">
        <f t="shared" si="560"/>
        <v>0</v>
      </c>
      <c r="AF349" s="170">
        <f t="shared" si="560"/>
        <v>0</v>
      </c>
      <c r="AG349" s="170">
        <f t="shared" si="560"/>
        <v>3979.51</v>
      </c>
      <c r="AH349" s="170">
        <f t="shared" si="560"/>
        <v>0</v>
      </c>
      <c r="AI349" s="170">
        <f t="shared" si="560"/>
        <v>0</v>
      </c>
      <c r="AJ349" s="170">
        <f t="shared" si="560"/>
        <v>3600</v>
      </c>
      <c r="AK349" s="170">
        <f t="shared" si="560"/>
        <v>0</v>
      </c>
      <c r="AL349" s="170">
        <f t="shared" si="560"/>
        <v>0</v>
      </c>
      <c r="AM349" s="170">
        <f t="shared" si="560"/>
        <v>3752.61</v>
      </c>
      <c r="AN349" s="170">
        <f t="shared" si="560"/>
        <v>0</v>
      </c>
      <c r="AO349" s="170">
        <f t="shared" si="560"/>
        <v>0</v>
      </c>
      <c r="AP349" s="170">
        <f t="shared" si="560"/>
        <v>4136.22</v>
      </c>
      <c r="AQ349" s="170">
        <f t="shared" si="560"/>
        <v>0</v>
      </c>
      <c r="AR349" s="170">
        <f t="shared" si="560"/>
        <v>0</v>
      </c>
      <c r="AS349" s="170">
        <f t="shared" si="560"/>
        <v>3600</v>
      </c>
      <c r="AT349" s="170">
        <f t="shared" si="560"/>
        <v>0</v>
      </c>
      <c r="AU349" s="170">
        <f t="shared" si="560"/>
        <v>0</v>
      </c>
      <c r="AV349" s="170">
        <f t="shared" si="560"/>
        <v>2977.74</v>
      </c>
      <c r="AW349" s="170">
        <f t="shared" si="560"/>
        <v>0</v>
      </c>
      <c r="AX349" s="170">
        <f t="shared" si="560"/>
        <v>0</v>
      </c>
      <c r="AY349" s="170">
        <f t="shared" si="560"/>
        <v>1200</v>
      </c>
      <c r="AZ349" s="170">
        <f t="shared" si="560"/>
        <v>0</v>
      </c>
      <c r="BA349" s="170">
        <f t="shared" si="560"/>
        <v>0</v>
      </c>
      <c r="BB349" s="170">
        <f t="shared" si="560"/>
        <v>0</v>
      </c>
      <c r="BC349" s="170">
        <f t="shared" si="560"/>
        <v>0</v>
      </c>
      <c r="BD349" s="170">
        <f t="shared" si="560"/>
        <v>0</v>
      </c>
      <c r="BE349" s="170">
        <f t="shared" si="560"/>
        <v>0</v>
      </c>
      <c r="BF349" s="170">
        <f t="shared" si="560"/>
        <v>0</v>
      </c>
      <c r="BG349" s="170">
        <f t="shared" si="560"/>
        <v>0</v>
      </c>
      <c r="BH349" s="170">
        <f t="shared" si="560"/>
        <v>0</v>
      </c>
      <c r="BI349" s="170">
        <f t="shared" si="560"/>
        <v>0</v>
      </c>
      <c r="BJ349" s="170">
        <f t="shared" si="560"/>
        <v>0</v>
      </c>
      <c r="BK349" s="170">
        <f t="shared" si="560"/>
        <v>0</v>
      </c>
      <c r="BL349" s="170">
        <f t="shared" si="560"/>
        <v>0</v>
      </c>
      <c r="BM349" s="170">
        <f t="shared" si="560"/>
        <v>0</v>
      </c>
      <c r="BN349" s="170">
        <f t="shared" si="560"/>
        <v>30846.080000000002</v>
      </c>
      <c r="BO349" s="170">
        <f t="shared" si="560"/>
        <v>0</v>
      </c>
      <c r="BP349" s="170">
        <f>SUM(BP350:BP356)</f>
        <v>30846.080000000002</v>
      </c>
      <c r="BQ349" s="170">
        <f t="shared" si="560"/>
        <v>3853.919999999971</v>
      </c>
      <c r="BR349" s="170">
        <f t="shared" si="560"/>
        <v>0</v>
      </c>
      <c r="BS349" s="170">
        <f t="shared" si="560"/>
        <v>3853.92</v>
      </c>
      <c r="BT349" s="170">
        <f t="shared" si="560"/>
        <v>0</v>
      </c>
      <c r="BU349" s="170">
        <f t="shared" si="560"/>
        <v>30846.080000000002</v>
      </c>
      <c r="BV349" s="170">
        <f t="shared" si="560"/>
        <v>3853.92</v>
      </c>
      <c r="BW349" s="170">
        <f t="shared" si="560"/>
        <v>30846.080000000002</v>
      </c>
      <c r="BX349" s="1"/>
      <c r="BY349" s="1"/>
      <c r="BZ349" s="1"/>
      <c r="CA349" s="1"/>
      <c r="CB349" s="1"/>
      <c r="CC349" s="1"/>
      <c r="CD349" s="1"/>
      <c r="CE349" s="1"/>
      <c r="CF349" s="1"/>
      <c r="CG349" s="1"/>
    </row>
    <row r="350" spans="1:85" ht="15.75" customHeight="1">
      <c r="A350" s="198" t="s">
        <v>700</v>
      </c>
      <c r="B350" s="449"/>
      <c r="C350" s="394" t="s">
        <v>550</v>
      </c>
      <c r="D350" s="199" t="s">
        <v>701</v>
      </c>
      <c r="E350" s="45">
        <v>61900</v>
      </c>
      <c r="F350" s="139">
        <f>E349-(4124319.2*1.5%)</f>
        <v>7568.1919999999955</v>
      </c>
      <c r="G350" s="46">
        <f>E350-F350</f>
        <v>54331.808000000005</v>
      </c>
      <c r="H350" s="46"/>
      <c r="I350" s="47">
        <f t="shared" si="447"/>
        <v>0.4674977869317356</v>
      </c>
      <c r="J350" s="47">
        <f t="shared" si="448"/>
        <v>0.46749778693173616</v>
      </c>
      <c r="K350" s="200">
        <f>26600+240409.22-240409.22-1200</f>
        <v>25399.999999999971</v>
      </c>
      <c r="L350" s="147"/>
      <c r="M350" s="148"/>
      <c r="N350" s="148"/>
      <c r="O350" s="51">
        <f t="shared" ref="O350:Q356" si="561">AA350+AD350+AG350+AJ350+AM350+AP350+AS350+AV350+AY350+BB350+BE350+BH350</f>
        <v>25400</v>
      </c>
      <c r="P350" s="51">
        <f t="shared" si="561"/>
        <v>0</v>
      </c>
      <c r="Q350" s="51">
        <f t="shared" si="561"/>
        <v>0</v>
      </c>
      <c r="R350" s="52">
        <f t="shared" si="529"/>
        <v>25400</v>
      </c>
      <c r="S350" s="52">
        <f t="shared" si="530"/>
        <v>0</v>
      </c>
      <c r="T350" s="52">
        <f t="shared" si="531"/>
        <v>0</v>
      </c>
      <c r="U350" s="378">
        <f t="shared" ref="U350:U356" si="562">K350-O350</f>
        <v>-2.9103830456733704E-11</v>
      </c>
      <c r="V350" s="369">
        <f t="shared" ref="V350:V356" si="563">L350-P350-M350</f>
        <v>0</v>
      </c>
      <c r="W350" s="369">
        <f t="shared" ref="W350:W356" si="564">N350-Q350</f>
        <v>0</v>
      </c>
      <c r="X350" s="53">
        <f t="shared" si="513"/>
        <v>1.0000000000000011</v>
      </c>
      <c r="Y350" s="53">
        <f t="shared" si="514"/>
        <v>0</v>
      </c>
      <c r="Z350" s="53">
        <f t="shared" si="515"/>
        <v>0</v>
      </c>
      <c r="AA350" s="152">
        <v>3800</v>
      </c>
      <c r="AB350" s="148"/>
      <c r="AC350" s="148"/>
      <c r="AD350" s="152">
        <v>3800</v>
      </c>
      <c r="AE350" s="132"/>
      <c r="AF350" s="132"/>
      <c r="AG350" s="134">
        <v>3400</v>
      </c>
      <c r="AH350" s="132"/>
      <c r="AI350" s="148"/>
      <c r="AJ350" s="152">
        <v>3600</v>
      </c>
      <c r="AK350" s="148"/>
      <c r="AL350" s="148"/>
      <c r="AM350" s="152">
        <v>3600</v>
      </c>
      <c r="AN350" s="148"/>
      <c r="AO350" s="148"/>
      <c r="AP350" s="152">
        <v>3600</v>
      </c>
      <c r="AQ350" s="148"/>
      <c r="AR350" s="148"/>
      <c r="AS350" s="152">
        <v>3600</v>
      </c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8"/>
      <c r="BG350" s="148"/>
      <c r="BH350" s="148"/>
      <c r="BI350" s="148"/>
      <c r="BJ350" s="148"/>
      <c r="BK350" s="148"/>
      <c r="BL350" s="148"/>
      <c r="BM350" s="148"/>
      <c r="BN350" s="54">
        <f t="shared" ref="BN350" si="565">IF(O350-BK350&gt;0,O350-BK350,0)</f>
        <v>25400</v>
      </c>
      <c r="BO350" s="58">
        <f t="shared" ref="BO350" si="566">IF(Q350-BM350&gt;0,Q350-BM350,0)</f>
        <v>0</v>
      </c>
      <c r="BP350" s="54">
        <f t="shared" ref="BP350" si="567">IF(BN350+BO350&gt;0,BN350+BO350,0)</f>
        <v>25400</v>
      </c>
      <c r="BQ350" s="54">
        <f t="shared" ref="BQ350" si="568">IF(U350=0,0,U350)</f>
        <v>-2.9103830456733704E-11</v>
      </c>
      <c r="BR350" s="54">
        <f t="shared" ref="BR350" si="569">IF(W350=0,0,W350)</f>
        <v>0</v>
      </c>
      <c r="BS350" s="54">
        <f t="shared" ref="BS350" si="570">IF(BQ350+BR350&gt;0,BQ350+BR350,0)</f>
        <v>0</v>
      </c>
      <c r="BT350" s="54">
        <f t="shared" ref="BT350" si="571">IF(V350&gt;0,V350,0)</f>
        <v>0</v>
      </c>
      <c r="BU350" s="54">
        <f t="shared" ref="BU350" si="572">IF(BP350=0,0,BP350)</f>
        <v>25400</v>
      </c>
      <c r="BV350" s="54">
        <f t="shared" ref="BV350" si="573">IF(BS350=0,0,BS350)</f>
        <v>0</v>
      </c>
      <c r="BW350" s="54">
        <f t="shared" ref="BW350" si="574">IF(BP350+BT350&gt;0,BP350+BT350,0)</f>
        <v>25400</v>
      </c>
      <c r="BX350" s="1"/>
      <c r="BY350" s="1"/>
      <c r="BZ350" s="1"/>
      <c r="CA350" s="1"/>
      <c r="CB350" s="1"/>
      <c r="CC350" s="1"/>
      <c r="CD350" s="1"/>
      <c r="CE350" s="1"/>
      <c r="CF350" s="1"/>
      <c r="CG350" s="1"/>
    </row>
    <row r="351" spans="1:85" ht="15.75" customHeight="1">
      <c r="A351" s="198" t="s">
        <v>702</v>
      </c>
      <c r="B351" s="449"/>
      <c r="C351" s="394" t="s">
        <v>550</v>
      </c>
      <c r="D351" s="201" t="s">
        <v>703</v>
      </c>
      <c r="E351" s="45"/>
      <c r="F351" s="46"/>
      <c r="G351" s="46"/>
      <c r="H351" s="46"/>
      <c r="I351" s="47"/>
      <c r="J351" s="47"/>
      <c r="K351" s="202">
        <v>4800</v>
      </c>
      <c r="L351" s="147"/>
      <c r="M351" s="203"/>
      <c r="N351" s="204"/>
      <c r="O351" s="51">
        <f t="shared" si="561"/>
        <v>1200</v>
      </c>
      <c r="P351" s="51">
        <f t="shared" si="561"/>
        <v>0</v>
      </c>
      <c r="Q351" s="51">
        <f t="shared" si="561"/>
        <v>0</v>
      </c>
      <c r="R351" s="52">
        <f t="shared" si="529"/>
        <v>1200</v>
      </c>
      <c r="S351" s="52">
        <f t="shared" si="530"/>
        <v>0</v>
      </c>
      <c r="T351" s="52">
        <f t="shared" si="531"/>
        <v>0</v>
      </c>
      <c r="U351" s="378">
        <f t="shared" si="562"/>
        <v>3600</v>
      </c>
      <c r="V351" s="369">
        <f t="shared" si="563"/>
        <v>0</v>
      </c>
      <c r="W351" s="369">
        <f t="shared" si="564"/>
        <v>0</v>
      </c>
      <c r="X351" s="53">
        <f t="shared" si="513"/>
        <v>0.25</v>
      </c>
      <c r="Y351" s="53">
        <f t="shared" si="514"/>
        <v>0</v>
      </c>
      <c r="Z351" s="53">
        <f t="shared" si="515"/>
        <v>0</v>
      </c>
      <c r="AA351" s="148"/>
      <c r="AB351" s="148"/>
      <c r="AC351" s="148"/>
      <c r="AD351" s="148"/>
      <c r="AE351" s="132"/>
      <c r="AF351" s="132"/>
      <c r="AG351" s="132"/>
      <c r="AH351" s="132"/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52">
        <v>1200</v>
      </c>
      <c r="AZ351" s="148"/>
      <c r="BA351" s="148"/>
      <c r="BB351" s="148"/>
      <c r="BC351" s="148"/>
      <c r="BD351" s="148"/>
      <c r="BE351" s="148"/>
      <c r="BF351" s="148"/>
      <c r="BG351" s="148"/>
      <c r="BH351" s="148"/>
      <c r="BI351" s="148"/>
      <c r="BJ351" s="148"/>
      <c r="BK351" s="148"/>
      <c r="BL351" s="148"/>
      <c r="BM351" s="148"/>
      <c r="BN351" s="54">
        <f t="shared" ref="BN351:BN356" si="575">IF(O351-BK351&gt;0,O351-BK351,0)</f>
        <v>1200</v>
      </c>
      <c r="BO351" s="58">
        <f t="shared" ref="BO351:BO356" si="576">IF(Q351-BM351&gt;0,Q351-BM351,0)</f>
        <v>0</v>
      </c>
      <c r="BP351" s="54">
        <f t="shared" ref="BP351:BP356" si="577">IF(BN351+BO351&gt;0,BN351+BO351,0)</f>
        <v>1200</v>
      </c>
      <c r="BQ351" s="54">
        <f t="shared" ref="BQ351:BQ356" si="578">IF(U351=0,0,U351)</f>
        <v>3600</v>
      </c>
      <c r="BR351" s="54">
        <f t="shared" ref="BR351:BR356" si="579">IF(W351=0,0,W351)</f>
        <v>0</v>
      </c>
      <c r="BS351" s="54">
        <f t="shared" ref="BS351:BS356" si="580">IF(BQ351+BR351&gt;0,BQ351+BR351,0)</f>
        <v>3600</v>
      </c>
      <c r="BT351" s="54">
        <f t="shared" ref="BT351:BT356" si="581">IF(V351&gt;0,V351,0)</f>
        <v>0</v>
      </c>
      <c r="BU351" s="54">
        <f t="shared" ref="BU351:BU356" si="582">IF(BP351=0,0,BP351)</f>
        <v>1200</v>
      </c>
      <c r="BV351" s="54">
        <f t="shared" ref="BV351:BV356" si="583">IF(BS351=0,0,BS351)</f>
        <v>3600</v>
      </c>
      <c r="BW351" s="54">
        <f t="shared" ref="BW351:BW356" si="584">IF(BP351+BT351&gt;0,BP351+BT351,0)</f>
        <v>1200</v>
      </c>
      <c r="BX351" s="1"/>
      <c r="BY351" s="1"/>
      <c r="BZ351" s="1"/>
      <c r="CA351" s="1"/>
      <c r="CB351" s="1"/>
      <c r="CC351" s="1"/>
      <c r="CD351" s="1"/>
      <c r="CE351" s="1"/>
      <c r="CF351" s="1"/>
      <c r="CG351" s="1"/>
    </row>
    <row r="352" spans="1:85" ht="15.75" customHeight="1">
      <c r="A352" s="56"/>
      <c r="B352" s="416"/>
      <c r="C352" s="394" t="s">
        <v>704</v>
      </c>
      <c r="D352" s="77" t="s">
        <v>705</v>
      </c>
      <c r="E352" s="45"/>
      <c r="F352" s="46"/>
      <c r="G352" s="46">
        <f>E352-F352</f>
        <v>0</v>
      </c>
      <c r="H352" s="46"/>
      <c r="I352" s="47">
        <f t="shared" ref="I352:I376" si="585">IF(G352&gt;0,K352/G352,0)</f>
        <v>0</v>
      </c>
      <c r="J352" s="47">
        <f t="shared" ref="J352:J376" si="586">IF(G352&gt;0,O352/G352,0)</f>
        <v>0</v>
      </c>
      <c r="K352" s="146"/>
      <c r="L352" s="147"/>
      <c r="M352" s="203"/>
      <c r="N352" s="204"/>
      <c r="O352" s="51">
        <f t="shared" si="561"/>
        <v>0</v>
      </c>
      <c r="P352" s="51">
        <f t="shared" si="561"/>
        <v>0</v>
      </c>
      <c r="Q352" s="51">
        <f t="shared" si="561"/>
        <v>0</v>
      </c>
      <c r="R352" s="52">
        <f t="shared" si="529"/>
        <v>0</v>
      </c>
      <c r="S352" s="52">
        <f t="shared" si="530"/>
        <v>0</v>
      </c>
      <c r="T352" s="52">
        <f t="shared" si="531"/>
        <v>0</v>
      </c>
      <c r="U352" s="369">
        <f t="shared" si="562"/>
        <v>0</v>
      </c>
      <c r="V352" s="369">
        <f t="shared" si="563"/>
        <v>0</v>
      </c>
      <c r="W352" s="369">
        <f t="shared" si="564"/>
        <v>0</v>
      </c>
      <c r="X352" s="53">
        <f t="shared" si="513"/>
        <v>0</v>
      </c>
      <c r="Y352" s="53">
        <f t="shared" si="514"/>
        <v>0</v>
      </c>
      <c r="Z352" s="53">
        <f t="shared" si="515"/>
        <v>0</v>
      </c>
      <c r="AA352" s="148"/>
      <c r="AB352" s="148"/>
      <c r="AC352" s="148"/>
      <c r="AD352" s="148"/>
      <c r="AE352" s="132"/>
      <c r="AF352" s="132"/>
      <c r="AG352" s="132"/>
      <c r="AH352" s="132"/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8"/>
      <c r="BG352" s="148"/>
      <c r="BH352" s="148"/>
      <c r="BI352" s="148"/>
      <c r="BJ352" s="148"/>
      <c r="BK352" s="148"/>
      <c r="BL352" s="148"/>
      <c r="BM352" s="148"/>
      <c r="BN352" s="54">
        <f t="shared" si="575"/>
        <v>0</v>
      </c>
      <c r="BO352" s="58">
        <f t="shared" si="576"/>
        <v>0</v>
      </c>
      <c r="BP352" s="54">
        <f t="shared" si="577"/>
        <v>0</v>
      </c>
      <c r="BQ352" s="54">
        <f t="shared" si="578"/>
        <v>0</v>
      </c>
      <c r="BR352" s="54">
        <f t="shared" si="579"/>
        <v>0</v>
      </c>
      <c r="BS352" s="54">
        <f t="shared" si="580"/>
        <v>0</v>
      </c>
      <c r="BT352" s="54">
        <f t="shared" si="581"/>
        <v>0</v>
      </c>
      <c r="BU352" s="54">
        <f t="shared" si="582"/>
        <v>0</v>
      </c>
      <c r="BV352" s="54">
        <f t="shared" si="583"/>
        <v>0</v>
      </c>
      <c r="BW352" s="54">
        <f t="shared" si="584"/>
        <v>0</v>
      </c>
      <c r="BX352" s="1"/>
      <c r="BY352" s="1"/>
      <c r="BZ352" s="1"/>
      <c r="CA352" s="1"/>
      <c r="CB352" s="1"/>
      <c r="CC352" s="1"/>
      <c r="CD352" s="1"/>
      <c r="CE352" s="1"/>
      <c r="CF352" s="1"/>
      <c r="CG352" s="1"/>
    </row>
    <row r="353" spans="1:85" ht="15.75" customHeight="1">
      <c r="A353" s="43" t="s">
        <v>706</v>
      </c>
      <c r="B353" s="416"/>
      <c r="C353" s="394" t="s">
        <v>117</v>
      </c>
      <c r="D353" s="73" t="s">
        <v>707</v>
      </c>
      <c r="E353" s="45"/>
      <c r="F353" s="46"/>
      <c r="G353" s="46">
        <f>E353-F353</f>
        <v>0</v>
      </c>
      <c r="H353" s="46"/>
      <c r="I353" s="47">
        <f t="shared" si="585"/>
        <v>0</v>
      </c>
      <c r="J353" s="47">
        <f t="shared" si="586"/>
        <v>0</v>
      </c>
      <c r="K353" s="202">
        <f>1000+2000+1500</f>
        <v>4500</v>
      </c>
      <c r="L353" s="147"/>
      <c r="M353" s="203"/>
      <c r="N353" s="204"/>
      <c r="O353" s="51">
        <f t="shared" si="561"/>
        <v>4246.08</v>
      </c>
      <c r="P353" s="51">
        <f t="shared" si="561"/>
        <v>0</v>
      </c>
      <c r="Q353" s="51">
        <f t="shared" si="561"/>
        <v>0</v>
      </c>
      <c r="R353" s="52">
        <f t="shared" si="529"/>
        <v>4246.08</v>
      </c>
      <c r="S353" s="52">
        <f t="shared" si="530"/>
        <v>0</v>
      </c>
      <c r="T353" s="52">
        <f t="shared" si="531"/>
        <v>0</v>
      </c>
      <c r="U353" s="368">
        <f t="shared" si="562"/>
        <v>253.92000000000007</v>
      </c>
      <c r="V353" s="369">
        <f t="shared" si="563"/>
        <v>0</v>
      </c>
      <c r="W353" s="369">
        <f t="shared" si="564"/>
        <v>0</v>
      </c>
      <c r="X353" s="53">
        <f t="shared" si="513"/>
        <v>0.94357333333333326</v>
      </c>
      <c r="Y353" s="53">
        <f t="shared" si="514"/>
        <v>0</v>
      </c>
      <c r="Z353" s="53">
        <f t="shared" si="515"/>
        <v>0</v>
      </c>
      <c r="AA353" s="148"/>
      <c r="AB353" s="148"/>
      <c r="AC353" s="148"/>
      <c r="AD353" s="148"/>
      <c r="AE353" s="132"/>
      <c r="AF353" s="132"/>
      <c r="AG353" s="132">
        <f>67.68+223.86+67.68+84.93+67.68+67.68</f>
        <v>579.51</v>
      </c>
      <c r="AH353" s="132"/>
      <c r="AI353" s="148"/>
      <c r="AJ353" s="148"/>
      <c r="AK353" s="148"/>
      <c r="AL353" s="148"/>
      <c r="AM353" s="148">
        <f>67.68+84.93</f>
        <v>152.61000000000001</v>
      </c>
      <c r="AN353" s="148"/>
      <c r="AO353" s="148"/>
      <c r="AP353" s="148">
        <f>400.86+67.68+67.68</f>
        <v>536.22</v>
      </c>
      <c r="AQ353" s="148"/>
      <c r="AR353" s="148"/>
      <c r="AS353" s="148"/>
      <c r="AT353" s="148"/>
      <c r="AU353" s="148"/>
      <c r="AV353" s="148">
        <f>1114.53+430.53+314.31+298.95+129.63+689.79</f>
        <v>2977.74</v>
      </c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8"/>
      <c r="BG353" s="148"/>
      <c r="BH353" s="148"/>
      <c r="BI353" s="148"/>
      <c r="BJ353" s="148"/>
      <c r="BK353" s="148"/>
      <c r="BL353" s="148"/>
      <c r="BM353" s="148"/>
      <c r="BN353" s="54">
        <f t="shared" si="575"/>
        <v>4246.08</v>
      </c>
      <c r="BO353" s="58">
        <f t="shared" si="576"/>
        <v>0</v>
      </c>
      <c r="BP353" s="54">
        <f t="shared" si="577"/>
        <v>4246.08</v>
      </c>
      <c r="BQ353" s="54">
        <f t="shared" si="578"/>
        <v>253.92000000000007</v>
      </c>
      <c r="BR353" s="54">
        <f t="shared" si="579"/>
        <v>0</v>
      </c>
      <c r="BS353" s="54">
        <f t="shared" si="580"/>
        <v>253.92000000000007</v>
      </c>
      <c r="BT353" s="54">
        <f t="shared" si="581"/>
        <v>0</v>
      </c>
      <c r="BU353" s="54">
        <f t="shared" si="582"/>
        <v>4246.08</v>
      </c>
      <c r="BV353" s="54">
        <f t="shared" si="583"/>
        <v>253.92000000000007</v>
      </c>
      <c r="BW353" s="54">
        <f t="shared" si="584"/>
        <v>4246.08</v>
      </c>
      <c r="BX353" s="1"/>
      <c r="BY353" s="1"/>
      <c r="BZ353" s="1"/>
      <c r="CA353" s="1"/>
      <c r="CB353" s="1"/>
      <c r="CC353" s="1"/>
      <c r="CD353" s="1"/>
      <c r="CE353" s="1"/>
      <c r="CF353" s="1"/>
      <c r="CG353" s="1"/>
    </row>
    <row r="354" spans="1:85" ht="15.75" customHeight="1">
      <c r="A354" s="56"/>
      <c r="B354" s="416"/>
      <c r="C354" s="394" t="s">
        <v>122</v>
      </c>
      <c r="D354" s="44" t="s">
        <v>123</v>
      </c>
      <c r="E354" s="45">
        <v>0</v>
      </c>
      <c r="F354" s="46">
        <v>0</v>
      </c>
      <c r="G354" s="46">
        <f>E354-F354</f>
        <v>0</v>
      </c>
      <c r="H354" s="46"/>
      <c r="I354" s="47">
        <f t="shared" si="585"/>
        <v>0</v>
      </c>
      <c r="J354" s="47">
        <f t="shared" si="586"/>
        <v>0</v>
      </c>
      <c r="K354" s="146"/>
      <c r="L354" s="147"/>
      <c r="M354" s="203"/>
      <c r="N354" s="204"/>
      <c r="O354" s="51">
        <f t="shared" si="561"/>
        <v>0</v>
      </c>
      <c r="P354" s="51">
        <f t="shared" si="561"/>
        <v>0</v>
      </c>
      <c r="Q354" s="51">
        <f t="shared" si="561"/>
        <v>0</v>
      </c>
      <c r="R354" s="52">
        <f t="shared" si="529"/>
        <v>0</v>
      </c>
      <c r="S354" s="52">
        <f t="shared" si="530"/>
        <v>0</v>
      </c>
      <c r="T354" s="52">
        <f t="shared" si="531"/>
        <v>0</v>
      </c>
      <c r="U354" s="369">
        <f t="shared" si="562"/>
        <v>0</v>
      </c>
      <c r="V354" s="369">
        <f t="shared" si="563"/>
        <v>0</v>
      </c>
      <c r="W354" s="369">
        <f t="shared" si="564"/>
        <v>0</v>
      </c>
      <c r="X354" s="53">
        <f t="shared" si="513"/>
        <v>0</v>
      </c>
      <c r="Y354" s="53">
        <f t="shared" si="514"/>
        <v>0</v>
      </c>
      <c r="Z354" s="53">
        <f t="shared" si="515"/>
        <v>0</v>
      </c>
      <c r="AA354" s="148"/>
      <c r="AB354" s="148"/>
      <c r="AC354" s="148"/>
      <c r="AD354" s="148"/>
      <c r="AE354" s="132"/>
      <c r="AF354" s="132"/>
      <c r="AG354" s="132"/>
      <c r="AH354" s="132"/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48"/>
      <c r="BD354" s="148"/>
      <c r="BE354" s="148"/>
      <c r="BF354" s="148"/>
      <c r="BG354" s="148"/>
      <c r="BH354" s="148"/>
      <c r="BI354" s="148"/>
      <c r="BJ354" s="148"/>
      <c r="BK354" s="148"/>
      <c r="BL354" s="148"/>
      <c r="BM354" s="148"/>
      <c r="BN354" s="54">
        <f t="shared" si="575"/>
        <v>0</v>
      </c>
      <c r="BO354" s="58">
        <f t="shared" si="576"/>
        <v>0</v>
      </c>
      <c r="BP354" s="54">
        <f t="shared" si="577"/>
        <v>0</v>
      </c>
      <c r="BQ354" s="54">
        <f t="shared" si="578"/>
        <v>0</v>
      </c>
      <c r="BR354" s="54">
        <f t="shared" si="579"/>
        <v>0</v>
      </c>
      <c r="BS354" s="54">
        <f t="shared" si="580"/>
        <v>0</v>
      </c>
      <c r="BT354" s="54">
        <f t="shared" si="581"/>
        <v>0</v>
      </c>
      <c r="BU354" s="54">
        <f t="shared" si="582"/>
        <v>0</v>
      </c>
      <c r="BV354" s="54">
        <f t="shared" si="583"/>
        <v>0</v>
      </c>
      <c r="BW354" s="54">
        <f t="shared" si="584"/>
        <v>0</v>
      </c>
      <c r="BX354" s="1"/>
      <c r="BY354" s="1"/>
      <c r="BZ354" s="1"/>
      <c r="CA354" s="1"/>
      <c r="CB354" s="1"/>
      <c r="CC354" s="1"/>
      <c r="CD354" s="1"/>
      <c r="CE354" s="1"/>
      <c r="CF354" s="1"/>
      <c r="CG354" s="1"/>
    </row>
    <row r="355" spans="1:85" ht="15.75" customHeight="1">
      <c r="A355" s="56"/>
      <c r="B355" s="416"/>
      <c r="C355" s="394" t="s">
        <v>409</v>
      </c>
      <c r="D355" s="44" t="s">
        <v>401</v>
      </c>
      <c r="E355" s="45">
        <v>6000</v>
      </c>
      <c r="F355" s="46">
        <v>0</v>
      </c>
      <c r="G355" s="46">
        <f>E355-F355</f>
        <v>6000</v>
      </c>
      <c r="H355" s="46"/>
      <c r="I355" s="47">
        <f t="shared" si="585"/>
        <v>0</v>
      </c>
      <c r="J355" s="47">
        <f t="shared" si="586"/>
        <v>0</v>
      </c>
      <c r="K355" s="146"/>
      <c r="L355" s="147"/>
      <c r="M355" s="203"/>
      <c r="N355" s="204"/>
      <c r="O355" s="51">
        <f t="shared" si="561"/>
        <v>0</v>
      </c>
      <c r="P355" s="51">
        <f t="shared" si="561"/>
        <v>0</v>
      </c>
      <c r="Q355" s="51">
        <f t="shared" si="561"/>
        <v>0</v>
      </c>
      <c r="R355" s="52">
        <f t="shared" si="529"/>
        <v>0</v>
      </c>
      <c r="S355" s="52">
        <f t="shared" si="530"/>
        <v>0</v>
      </c>
      <c r="T355" s="52">
        <f t="shared" si="531"/>
        <v>0</v>
      </c>
      <c r="U355" s="369">
        <f t="shared" si="562"/>
        <v>0</v>
      </c>
      <c r="V355" s="369">
        <f t="shared" si="563"/>
        <v>0</v>
      </c>
      <c r="W355" s="369">
        <f t="shared" si="564"/>
        <v>0</v>
      </c>
      <c r="X355" s="53">
        <f t="shared" si="513"/>
        <v>0</v>
      </c>
      <c r="Y355" s="53">
        <f t="shared" si="514"/>
        <v>0</v>
      </c>
      <c r="Z355" s="53">
        <f t="shared" si="515"/>
        <v>0</v>
      </c>
      <c r="AA355" s="148"/>
      <c r="AB355" s="148"/>
      <c r="AC355" s="148"/>
      <c r="AD355" s="148"/>
      <c r="AE355" s="132"/>
      <c r="AF355" s="132"/>
      <c r="AG355" s="132"/>
      <c r="AH355" s="132"/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48"/>
      <c r="BD355" s="148"/>
      <c r="BE355" s="148"/>
      <c r="BF355" s="148"/>
      <c r="BG355" s="148"/>
      <c r="BH355" s="148"/>
      <c r="BI355" s="148"/>
      <c r="BJ355" s="148"/>
      <c r="BK355" s="148"/>
      <c r="BL355" s="148"/>
      <c r="BM355" s="148"/>
      <c r="BN355" s="54">
        <f t="shared" si="575"/>
        <v>0</v>
      </c>
      <c r="BO355" s="58">
        <f t="shared" si="576"/>
        <v>0</v>
      </c>
      <c r="BP355" s="54">
        <f t="shared" si="577"/>
        <v>0</v>
      </c>
      <c r="BQ355" s="54">
        <f t="shared" si="578"/>
        <v>0</v>
      </c>
      <c r="BR355" s="54">
        <f t="shared" si="579"/>
        <v>0</v>
      </c>
      <c r="BS355" s="54">
        <f t="shared" si="580"/>
        <v>0</v>
      </c>
      <c r="BT355" s="54">
        <f t="shared" si="581"/>
        <v>0</v>
      </c>
      <c r="BU355" s="54">
        <f t="shared" si="582"/>
        <v>0</v>
      </c>
      <c r="BV355" s="54">
        <f t="shared" si="583"/>
        <v>0</v>
      </c>
      <c r="BW355" s="54">
        <f t="shared" si="584"/>
        <v>0</v>
      </c>
      <c r="BX355" s="1"/>
      <c r="BY355" s="1"/>
      <c r="BZ355" s="1"/>
      <c r="CA355" s="1"/>
      <c r="CB355" s="1"/>
      <c r="CC355" s="1"/>
      <c r="CD355" s="1"/>
      <c r="CE355" s="1"/>
      <c r="CF355" s="1"/>
      <c r="CG355" s="1"/>
    </row>
    <row r="356" spans="1:85" ht="15.75" customHeight="1">
      <c r="A356" s="56"/>
      <c r="B356" s="426"/>
      <c r="C356" s="394" t="s">
        <v>323</v>
      </c>
      <c r="D356" s="44" t="s">
        <v>411</v>
      </c>
      <c r="E356" s="45">
        <v>1532.98</v>
      </c>
      <c r="F356" s="46">
        <v>0</v>
      </c>
      <c r="G356" s="46">
        <f>E356-F356</f>
        <v>1532.98</v>
      </c>
      <c r="H356" s="46"/>
      <c r="I356" s="47">
        <f t="shared" si="585"/>
        <v>0</v>
      </c>
      <c r="J356" s="47">
        <f t="shared" si="586"/>
        <v>0</v>
      </c>
      <c r="K356" s="146"/>
      <c r="L356" s="147"/>
      <c r="M356" s="146"/>
      <c r="N356" s="146"/>
      <c r="O356" s="51">
        <f t="shared" si="561"/>
        <v>0</v>
      </c>
      <c r="P356" s="51">
        <f t="shared" si="561"/>
        <v>0</v>
      </c>
      <c r="Q356" s="51">
        <f t="shared" si="561"/>
        <v>0</v>
      </c>
      <c r="R356" s="52">
        <f t="shared" si="529"/>
        <v>0</v>
      </c>
      <c r="S356" s="52">
        <f t="shared" si="530"/>
        <v>0</v>
      </c>
      <c r="T356" s="52">
        <f t="shared" si="531"/>
        <v>0</v>
      </c>
      <c r="U356" s="369">
        <f t="shared" si="562"/>
        <v>0</v>
      </c>
      <c r="V356" s="369">
        <f t="shared" si="563"/>
        <v>0</v>
      </c>
      <c r="W356" s="369">
        <f t="shared" si="564"/>
        <v>0</v>
      </c>
      <c r="X356" s="53">
        <f t="shared" si="513"/>
        <v>0</v>
      </c>
      <c r="Y356" s="53">
        <f t="shared" si="514"/>
        <v>0</v>
      </c>
      <c r="Z356" s="53">
        <f t="shared" si="515"/>
        <v>0</v>
      </c>
      <c r="AA356" s="148"/>
      <c r="AB356" s="148"/>
      <c r="AC356" s="148"/>
      <c r="AD356" s="148"/>
      <c r="AE356" s="132"/>
      <c r="AF356" s="132"/>
      <c r="AG356" s="132"/>
      <c r="AH356" s="132"/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8"/>
      <c r="BG356" s="148"/>
      <c r="BH356" s="148"/>
      <c r="BI356" s="148"/>
      <c r="BJ356" s="148"/>
      <c r="BK356" s="148"/>
      <c r="BL356" s="148"/>
      <c r="BM356" s="148"/>
      <c r="BN356" s="54">
        <f t="shared" si="575"/>
        <v>0</v>
      </c>
      <c r="BO356" s="58">
        <f t="shared" si="576"/>
        <v>0</v>
      </c>
      <c r="BP356" s="54">
        <f t="shared" si="577"/>
        <v>0</v>
      </c>
      <c r="BQ356" s="54">
        <f t="shared" si="578"/>
        <v>0</v>
      </c>
      <c r="BR356" s="54">
        <f t="shared" si="579"/>
        <v>0</v>
      </c>
      <c r="BS356" s="54">
        <f t="shared" si="580"/>
        <v>0</v>
      </c>
      <c r="BT356" s="54">
        <f t="shared" si="581"/>
        <v>0</v>
      </c>
      <c r="BU356" s="54">
        <f t="shared" si="582"/>
        <v>0</v>
      </c>
      <c r="BV356" s="54">
        <f t="shared" si="583"/>
        <v>0</v>
      </c>
      <c r="BW356" s="54">
        <f t="shared" si="584"/>
        <v>0</v>
      </c>
      <c r="BX356" s="1"/>
      <c r="BY356" s="1"/>
      <c r="BZ356" s="1"/>
      <c r="CA356" s="1"/>
      <c r="CB356" s="1"/>
      <c r="CC356" s="1"/>
      <c r="CD356" s="1"/>
      <c r="CE356" s="1"/>
      <c r="CF356" s="1"/>
      <c r="CG356" s="1"/>
    </row>
    <row r="357" spans="1:85" ht="15.75" customHeight="1">
      <c r="A357" s="205"/>
      <c r="B357" s="443"/>
      <c r="C357" s="392"/>
      <c r="D357" s="197" t="s">
        <v>708</v>
      </c>
      <c r="E357" s="162">
        <f>SUM(E358:E366)</f>
        <v>81500</v>
      </c>
      <c r="F357" s="127">
        <f>SUM(F358:F366)</f>
        <v>0</v>
      </c>
      <c r="G357" s="127">
        <f>SUM(G358:G366)</f>
        <v>81500</v>
      </c>
      <c r="H357" s="127">
        <f>SUM(H358:H366)</f>
        <v>0</v>
      </c>
      <c r="I357" s="169">
        <f t="shared" si="585"/>
        <v>3.6809815950920248E-2</v>
      </c>
      <c r="J357" s="169">
        <f t="shared" si="586"/>
        <v>2.3607484662576686E-2</v>
      </c>
      <c r="K357" s="127">
        <f t="shared" ref="K357:Q357" si="587">SUM(K358:K366)</f>
        <v>3000</v>
      </c>
      <c r="L357" s="127">
        <f t="shared" si="587"/>
        <v>0</v>
      </c>
      <c r="M357" s="127">
        <f t="shared" si="587"/>
        <v>0</v>
      </c>
      <c r="N357" s="170">
        <f t="shared" si="587"/>
        <v>0</v>
      </c>
      <c r="O357" s="127">
        <f t="shared" si="587"/>
        <v>1924.01</v>
      </c>
      <c r="P357" s="127">
        <f t="shared" si="587"/>
        <v>0</v>
      </c>
      <c r="Q357" s="127">
        <f t="shared" si="587"/>
        <v>0</v>
      </c>
      <c r="R357" s="52">
        <f t="shared" si="529"/>
        <v>1924.01</v>
      </c>
      <c r="S357" s="52">
        <f t="shared" si="530"/>
        <v>0</v>
      </c>
      <c r="T357" s="52">
        <f t="shared" si="531"/>
        <v>0</v>
      </c>
      <c r="U357" s="375">
        <f>SUM(U358:U366)</f>
        <v>1075.99</v>
      </c>
      <c r="V357" s="375">
        <f>SUM(V358:V366)</f>
        <v>0</v>
      </c>
      <c r="W357" s="375">
        <f>SUM(W358:W366)</f>
        <v>0</v>
      </c>
      <c r="X357" s="36">
        <f t="shared" si="513"/>
        <v>0.64133666666666667</v>
      </c>
      <c r="Y357" s="36">
        <f t="shared" si="514"/>
        <v>0</v>
      </c>
      <c r="Z357" s="36">
        <f t="shared" si="515"/>
        <v>0</v>
      </c>
      <c r="AA357" s="170">
        <f t="shared" ref="AA357:BW357" si="588">SUM(AA358:AA366)</f>
        <v>0</v>
      </c>
      <c r="AB357" s="170">
        <f t="shared" si="588"/>
        <v>0</v>
      </c>
      <c r="AC357" s="170">
        <f t="shared" si="588"/>
        <v>0</v>
      </c>
      <c r="AD357" s="170">
        <f t="shared" si="588"/>
        <v>0</v>
      </c>
      <c r="AE357" s="170">
        <f t="shared" si="588"/>
        <v>0</v>
      </c>
      <c r="AF357" s="170">
        <f t="shared" si="588"/>
        <v>0</v>
      </c>
      <c r="AG357" s="170">
        <f t="shared" si="588"/>
        <v>0</v>
      </c>
      <c r="AH357" s="170">
        <f t="shared" si="588"/>
        <v>0</v>
      </c>
      <c r="AI357" s="170">
        <f t="shared" si="588"/>
        <v>0</v>
      </c>
      <c r="AJ357" s="170">
        <f t="shared" si="588"/>
        <v>0</v>
      </c>
      <c r="AK357" s="170">
        <f t="shared" si="588"/>
        <v>0</v>
      </c>
      <c r="AL357" s="170">
        <f t="shared" si="588"/>
        <v>0</v>
      </c>
      <c r="AM357" s="170">
        <f t="shared" si="588"/>
        <v>67.680000000000007</v>
      </c>
      <c r="AN357" s="170">
        <f t="shared" si="588"/>
        <v>0</v>
      </c>
      <c r="AO357" s="170">
        <f t="shared" si="588"/>
        <v>0</v>
      </c>
      <c r="AP357" s="170">
        <f t="shared" si="588"/>
        <v>0</v>
      </c>
      <c r="AQ357" s="170">
        <f t="shared" si="588"/>
        <v>0</v>
      </c>
      <c r="AR357" s="170">
        <f t="shared" si="588"/>
        <v>0</v>
      </c>
      <c r="AS357" s="170">
        <f t="shared" si="588"/>
        <v>1706.03</v>
      </c>
      <c r="AT357" s="170">
        <f t="shared" si="588"/>
        <v>0</v>
      </c>
      <c r="AU357" s="170">
        <f t="shared" si="588"/>
        <v>0</v>
      </c>
      <c r="AV357" s="170">
        <f t="shared" si="588"/>
        <v>0</v>
      </c>
      <c r="AW357" s="170">
        <f t="shared" si="588"/>
        <v>0</v>
      </c>
      <c r="AX357" s="170">
        <f t="shared" si="588"/>
        <v>0</v>
      </c>
      <c r="AY357" s="170">
        <f t="shared" si="588"/>
        <v>150.30000000000001</v>
      </c>
      <c r="AZ357" s="170">
        <f t="shared" si="588"/>
        <v>0</v>
      </c>
      <c r="BA357" s="170">
        <f t="shared" si="588"/>
        <v>0</v>
      </c>
      <c r="BB357" s="170">
        <f t="shared" si="588"/>
        <v>0</v>
      </c>
      <c r="BC357" s="170">
        <f t="shared" si="588"/>
        <v>0</v>
      </c>
      <c r="BD357" s="170">
        <f t="shared" si="588"/>
        <v>0</v>
      </c>
      <c r="BE357" s="170">
        <f t="shared" si="588"/>
        <v>0</v>
      </c>
      <c r="BF357" s="170">
        <f t="shared" si="588"/>
        <v>0</v>
      </c>
      <c r="BG357" s="170">
        <f t="shared" si="588"/>
        <v>0</v>
      </c>
      <c r="BH357" s="170">
        <f t="shared" si="588"/>
        <v>0</v>
      </c>
      <c r="BI357" s="170">
        <f t="shared" si="588"/>
        <v>0</v>
      </c>
      <c r="BJ357" s="170">
        <f t="shared" si="588"/>
        <v>0</v>
      </c>
      <c r="BK357" s="170">
        <f t="shared" si="588"/>
        <v>0</v>
      </c>
      <c r="BL357" s="170">
        <f t="shared" si="588"/>
        <v>0</v>
      </c>
      <c r="BM357" s="170">
        <f t="shared" si="588"/>
        <v>0</v>
      </c>
      <c r="BN357" s="170">
        <f t="shared" si="588"/>
        <v>1924.01</v>
      </c>
      <c r="BO357" s="170">
        <f t="shared" si="588"/>
        <v>0</v>
      </c>
      <c r="BP357" s="170">
        <f>SUM(BP358:BP366)</f>
        <v>1924.01</v>
      </c>
      <c r="BQ357" s="170">
        <f t="shared" si="588"/>
        <v>1075.99</v>
      </c>
      <c r="BR357" s="170">
        <f t="shared" si="588"/>
        <v>0</v>
      </c>
      <c r="BS357" s="170">
        <f t="shared" si="588"/>
        <v>1075.99</v>
      </c>
      <c r="BT357" s="170">
        <f t="shared" si="588"/>
        <v>0</v>
      </c>
      <c r="BU357" s="170">
        <f t="shared" si="588"/>
        <v>1924.01</v>
      </c>
      <c r="BV357" s="170">
        <f t="shared" si="588"/>
        <v>1075.99</v>
      </c>
      <c r="BW357" s="170">
        <f t="shared" si="588"/>
        <v>1924.01</v>
      </c>
      <c r="BX357" s="1"/>
      <c r="BY357" s="1"/>
      <c r="BZ357" s="1"/>
      <c r="CA357" s="1"/>
      <c r="CB357" s="1"/>
      <c r="CC357" s="1"/>
      <c r="CD357" s="1"/>
      <c r="CE357" s="1"/>
      <c r="CF357" s="1"/>
      <c r="CG357" s="1"/>
    </row>
    <row r="358" spans="1:85" ht="15.75" customHeight="1">
      <c r="A358" s="43" t="s">
        <v>709</v>
      </c>
      <c r="B358" s="426"/>
      <c r="C358" s="394" t="s">
        <v>117</v>
      </c>
      <c r="D358" s="44" t="s">
        <v>710</v>
      </c>
      <c r="E358" s="45">
        <v>4000</v>
      </c>
      <c r="F358" s="46"/>
      <c r="G358" s="46">
        <f t="shared" ref="G358:G366" si="589">E358-F358</f>
        <v>4000</v>
      </c>
      <c r="H358" s="46"/>
      <c r="I358" s="47">
        <f t="shared" si="585"/>
        <v>0.75</v>
      </c>
      <c r="J358" s="47">
        <f t="shared" si="586"/>
        <v>0.4810025</v>
      </c>
      <c r="K358" s="202">
        <f>1000+1000+1000</f>
        <v>3000</v>
      </c>
      <c r="L358" s="147"/>
      <c r="M358" s="146"/>
      <c r="N358" s="146"/>
      <c r="O358" s="51">
        <f t="shared" ref="O358:O366" si="590">AA358+AD358+AG358+AJ358+AM358+AP358+AS358+AV358+AY358+BB358+BE358+BH358</f>
        <v>1924.01</v>
      </c>
      <c r="P358" s="51">
        <f t="shared" ref="P358:P366" si="591">AB358+AE358+AH358+AK358+AN358+AQ358+AT358+AW358+AZ358+BC358+BF358+BI358</f>
        <v>0</v>
      </c>
      <c r="Q358" s="51">
        <f t="shared" ref="Q358:Q366" si="592">AC358+AF358+AI358+AL358+AO358+AR358+AU358+AX358+BA358+BD358+BG358+BJ358</f>
        <v>0</v>
      </c>
      <c r="R358" s="52">
        <f t="shared" si="529"/>
        <v>1924.01</v>
      </c>
      <c r="S358" s="52">
        <f t="shared" si="530"/>
        <v>0</v>
      </c>
      <c r="T358" s="52">
        <f t="shared" si="531"/>
        <v>0</v>
      </c>
      <c r="U358" s="368">
        <f t="shared" ref="U358:U366" si="593">K358-O358</f>
        <v>1075.99</v>
      </c>
      <c r="V358" s="369">
        <f t="shared" ref="V358:V366" si="594">L358-P358-M358</f>
        <v>0</v>
      </c>
      <c r="W358" s="369">
        <f t="shared" ref="W358:W366" si="595">N358-Q358</f>
        <v>0</v>
      </c>
      <c r="X358" s="53">
        <f t="shared" si="513"/>
        <v>0.64133666666666667</v>
      </c>
      <c r="Y358" s="53">
        <f t="shared" si="514"/>
        <v>0</v>
      </c>
      <c r="Z358" s="53">
        <f t="shared" si="515"/>
        <v>0</v>
      </c>
      <c r="AA358" s="148"/>
      <c r="AB358" s="148"/>
      <c r="AC358" s="148"/>
      <c r="AD358" s="148"/>
      <c r="AE358" s="132"/>
      <c r="AF358" s="132"/>
      <c r="AG358" s="132"/>
      <c r="AH358" s="132"/>
      <c r="AI358" s="148"/>
      <c r="AJ358" s="148"/>
      <c r="AK358" s="148"/>
      <c r="AL358" s="148"/>
      <c r="AM358" s="152">
        <v>67.680000000000007</v>
      </c>
      <c r="AN358" s="148"/>
      <c r="AO358" s="148"/>
      <c r="AP358" s="148"/>
      <c r="AQ358" s="148"/>
      <c r="AR358" s="148"/>
      <c r="AS358" s="152">
        <v>1706.03</v>
      </c>
      <c r="AT358" s="148"/>
      <c r="AU358" s="148"/>
      <c r="AV358" s="148"/>
      <c r="AW358" s="148"/>
      <c r="AX358" s="148"/>
      <c r="AY358" s="152">
        <v>150.30000000000001</v>
      </c>
      <c r="AZ358" s="148"/>
      <c r="BA358" s="148"/>
      <c r="BB358" s="148"/>
      <c r="BC358" s="148"/>
      <c r="BD358" s="148"/>
      <c r="BE358" s="148"/>
      <c r="BF358" s="148"/>
      <c r="BG358" s="148"/>
      <c r="BH358" s="148"/>
      <c r="BI358" s="148"/>
      <c r="BJ358" s="148"/>
      <c r="BK358" s="148"/>
      <c r="BL358" s="148"/>
      <c r="BM358" s="148"/>
      <c r="BN358" s="54">
        <f t="shared" ref="BN358:BN364" si="596">IF(O358-BK358&gt;0,O358-BK358,0)</f>
        <v>1924.01</v>
      </c>
      <c r="BO358" s="58">
        <f t="shared" ref="BO358:BO364" si="597">IF(Q358-BM358&gt;0,Q358-BM358,0)</f>
        <v>0</v>
      </c>
      <c r="BP358" s="54">
        <f t="shared" ref="BP358:BP364" si="598">IF(BN358+BO358&gt;0,BN358+BO358,0)</f>
        <v>1924.01</v>
      </c>
      <c r="BQ358" s="54">
        <f t="shared" ref="BQ358:BQ364" si="599">IF(U358=0,0,U358)</f>
        <v>1075.99</v>
      </c>
      <c r="BR358" s="54">
        <f t="shared" ref="BR358:BR364" si="600">IF(W358=0,0,W358)</f>
        <v>0</v>
      </c>
      <c r="BS358" s="54">
        <f t="shared" ref="BS358:BS364" si="601">IF(BQ358+BR358&gt;0,BQ358+BR358,0)</f>
        <v>1075.99</v>
      </c>
      <c r="BT358" s="54">
        <f t="shared" ref="BT358:BT364" si="602">IF(V358&gt;0,V358,0)</f>
        <v>0</v>
      </c>
      <c r="BU358" s="54">
        <f t="shared" ref="BU358:BU364" si="603">IF(BP358=0,0,BP358)</f>
        <v>1924.01</v>
      </c>
      <c r="BV358" s="54">
        <f t="shared" ref="BV358:BV364" si="604">IF(BS358=0,0,BS358)</f>
        <v>1075.99</v>
      </c>
      <c r="BW358" s="54">
        <f t="shared" ref="BW358:BW364" si="605">IF(BP358+BT358&gt;0,BP358+BT358,0)</f>
        <v>1924.01</v>
      </c>
      <c r="BX358" s="1"/>
      <c r="BY358" s="1"/>
      <c r="BZ358" s="1"/>
      <c r="CA358" s="1"/>
      <c r="CB358" s="1"/>
      <c r="CC358" s="1"/>
      <c r="CD358" s="1"/>
      <c r="CE358" s="1"/>
      <c r="CF358" s="1"/>
      <c r="CG358" s="1"/>
    </row>
    <row r="359" spans="1:85" ht="15.75" customHeight="1">
      <c r="A359" s="56"/>
      <c r="B359" s="426"/>
      <c r="C359" s="394" t="s">
        <v>117</v>
      </c>
      <c r="D359" s="44" t="s">
        <v>711</v>
      </c>
      <c r="E359" s="45">
        <v>1000</v>
      </c>
      <c r="F359" s="46"/>
      <c r="G359" s="46">
        <f t="shared" si="589"/>
        <v>1000</v>
      </c>
      <c r="H359" s="46"/>
      <c r="I359" s="47">
        <f t="shared" si="585"/>
        <v>0</v>
      </c>
      <c r="J359" s="47">
        <f t="shared" si="586"/>
        <v>0</v>
      </c>
      <c r="K359" s="146"/>
      <c r="L359" s="147"/>
      <c r="M359" s="146"/>
      <c r="N359" s="146"/>
      <c r="O359" s="51">
        <f t="shared" si="590"/>
        <v>0</v>
      </c>
      <c r="P359" s="51">
        <f t="shared" si="591"/>
        <v>0</v>
      </c>
      <c r="Q359" s="51">
        <f t="shared" si="592"/>
        <v>0</v>
      </c>
      <c r="R359" s="52">
        <f t="shared" si="529"/>
        <v>0</v>
      </c>
      <c r="S359" s="52">
        <f t="shared" si="530"/>
        <v>0</v>
      </c>
      <c r="T359" s="52">
        <f t="shared" si="531"/>
        <v>0</v>
      </c>
      <c r="U359" s="369">
        <f t="shared" si="593"/>
        <v>0</v>
      </c>
      <c r="V359" s="369">
        <f t="shared" si="594"/>
        <v>0</v>
      </c>
      <c r="W359" s="369">
        <f t="shared" si="595"/>
        <v>0</v>
      </c>
      <c r="X359" s="53">
        <f t="shared" si="513"/>
        <v>0</v>
      </c>
      <c r="Y359" s="53">
        <f t="shared" si="514"/>
        <v>0</v>
      </c>
      <c r="Z359" s="53">
        <f t="shared" si="515"/>
        <v>0</v>
      </c>
      <c r="AA359" s="148"/>
      <c r="AB359" s="148"/>
      <c r="AC359" s="148"/>
      <c r="AD359" s="148"/>
      <c r="AE359" s="132"/>
      <c r="AF359" s="132"/>
      <c r="AG359" s="132"/>
      <c r="AH359" s="132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  <c r="BI359" s="148"/>
      <c r="BJ359" s="148"/>
      <c r="BK359" s="148"/>
      <c r="BL359" s="148"/>
      <c r="BM359" s="148"/>
      <c r="BN359" s="54">
        <f t="shared" si="596"/>
        <v>0</v>
      </c>
      <c r="BO359" s="58">
        <f t="shared" si="597"/>
        <v>0</v>
      </c>
      <c r="BP359" s="54">
        <f t="shared" si="598"/>
        <v>0</v>
      </c>
      <c r="BQ359" s="54">
        <f t="shared" si="599"/>
        <v>0</v>
      </c>
      <c r="BR359" s="54">
        <f t="shared" si="600"/>
        <v>0</v>
      </c>
      <c r="BS359" s="54">
        <f t="shared" si="601"/>
        <v>0</v>
      </c>
      <c r="BT359" s="54">
        <f t="shared" si="602"/>
        <v>0</v>
      </c>
      <c r="BU359" s="54">
        <f t="shared" si="603"/>
        <v>0</v>
      </c>
      <c r="BV359" s="54">
        <f t="shared" si="604"/>
        <v>0</v>
      </c>
      <c r="BW359" s="54">
        <f t="shared" si="605"/>
        <v>0</v>
      </c>
      <c r="BX359" s="1"/>
      <c r="BY359" s="1"/>
      <c r="BZ359" s="1"/>
      <c r="CA359" s="1"/>
      <c r="CB359" s="1"/>
      <c r="CC359" s="1"/>
      <c r="CD359" s="1"/>
      <c r="CE359" s="1"/>
      <c r="CF359" s="1"/>
      <c r="CG359" s="1"/>
    </row>
    <row r="360" spans="1:85" ht="15.75" customHeight="1">
      <c r="A360" s="56"/>
      <c r="B360" s="426"/>
      <c r="C360" s="394" t="s">
        <v>117</v>
      </c>
      <c r="D360" s="44" t="s">
        <v>712</v>
      </c>
      <c r="E360" s="45">
        <v>5000</v>
      </c>
      <c r="F360" s="46"/>
      <c r="G360" s="46">
        <f t="shared" si="589"/>
        <v>5000</v>
      </c>
      <c r="H360" s="46"/>
      <c r="I360" s="47">
        <f t="shared" si="585"/>
        <v>0</v>
      </c>
      <c r="J360" s="47">
        <f t="shared" si="586"/>
        <v>0</v>
      </c>
      <c r="K360" s="146"/>
      <c r="L360" s="147"/>
      <c r="M360" s="146"/>
      <c r="N360" s="146"/>
      <c r="O360" s="51">
        <f t="shared" si="590"/>
        <v>0</v>
      </c>
      <c r="P360" s="51">
        <f t="shared" si="591"/>
        <v>0</v>
      </c>
      <c r="Q360" s="51">
        <f t="shared" si="592"/>
        <v>0</v>
      </c>
      <c r="R360" s="52">
        <f t="shared" si="529"/>
        <v>0</v>
      </c>
      <c r="S360" s="52">
        <f t="shared" si="530"/>
        <v>0</v>
      </c>
      <c r="T360" s="52">
        <f t="shared" si="531"/>
        <v>0</v>
      </c>
      <c r="U360" s="369">
        <f t="shared" si="593"/>
        <v>0</v>
      </c>
      <c r="V360" s="369">
        <f t="shared" si="594"/>
        <v>0</v>
      </c>
      <c r="W360" s="369">
        <f t="shared" si="595"/>
        <v>0</v>
      </c>
      <c r="X360" s="53">
        <f t="shared" si="513"/>
        <v>0</v>
      </c>
      <c r="Y360" s="53">
        <f t="shared" si="514"/>
        <v>0</v>
      </c>
      <c r="Z360" s="53">
        <f t="shared" si="515"/>
        <v>0</v>
      </c>
      <c r="AA360" s="148"/>
      <c r="AB360" s="148"/>
      <c r="AC360" s="148"/>
      <c r="AD360" s="148"/>
      <c r="AE360" s="132"/>
      <c r="AF360" s="132"/>
      <c r="AG360" s="132"/>
      <c r="AH360" s="132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  <c r="BI360" s="148"/>
      <c r="BJ360" s="148"/>
      <c r="BK360" s="148"/>
      <c r="BL360" s="148"/>
      <c r="BM360" s="148"/>
      <c r="BN360" s="54">
        <f t="shared" si="596"/>
        <v>0</v>
      </c>
      <c r="BO360" s="58">
        <f t="shared" si="597"/>
        <v>0</v>
      </c>
      <c r="BP360" s="54">
        <f t="shared" si="598"/>
        <v>0</v>
      </c>
      <c r="BQ360" s="54">
        <f t="shared" si="599"/>
        <v>0</v>
      </c>
      <c r="BR360" s="54">
        <f t="shared" si="600"/>
        <v>0</v>
      </c>
      <c r="BS360" s="54">
        <f t="shared" si="601"/>
        <v>0</v>
      </c>
      <c r="BT360" s="54">
        <f t="shared" si="602"/>
        <v>0</v>
      </c>
      <c r="BU360" s="54">
        <f t="shared" si="603"/>
        <v>0</v>
      </c>
      <c r="BV360" s="54">
        <f t="shared" si="604"/>
        <v>0</v>
      </c>
      <c r="BW360" s="54">
        <f t="shared" si="605"/>
        <v>0</v>
      </c>
      <c r="BX360" s="1"/>
      <c r="BY360" s="1"/>
      <c r="BZ360" s="1"/>
      <c r="CA360" s="1"/>
      <c r="CB360" s="1"/>
      <c r="CC360" s="1"/>
      <c r="CD360" s="1"/>
      <c r="CE360" s="1"/>
      <c r="CF360" s="1"/>
      <c r="CG360" s="1"/>
    </row>
    <row r="361" spans="1:85" ht="15.75" customHeight="1">
      <c r="A361" s="56"/>
      <c r="B361" s="426"/>
      <c r="C361" s="394" t="s">
        <v>550</v>
      </c>
      <c r="D361" s="44" t="s">
        <v>713</v>
      </c>
      <c r="E361" s="45">
        <v>40000</v>
      </c>
      <c r="F361" s="46"/>
      <c r="G361" s="46">
        <f t="shared" si="589"/>
        <v>40000</v>
      </c>
      <c r="H361" s="46"/>
      <c r="I361" s="47">
        <f t="shared" si="585"/>
        <v>0</v>
      </c>
      <c r="J361" s="47">
        <f t="shared" si="586"/>
        <v>0</v>
      </c>
      <c r="K361" s="146"/>
      <c r="L361" s="147"/>
      <c r="M361" s="146"/>
      <c r="N361" s="146"/>
      <c r="O361" s="51">
        <f t="shared" si="590"/>
        <v>0</v>
      </c>
      <c r="P361" s="51">
        <f t="shared" si="591"/>
        <v>0</v>
      </c>
      <c r="Q361" s="51">
        <f t="shared" si="592"/>
        <v>0</v>
      </c>
      <c r="R361" s="52">
        <f t="shared" si="529"/>
        <v>0</v>
      </c>
      <c r="S361" s="52">
        <f t="shared" si="530"/>
        <v>0</v>
      </c>
      <c r="T361" s="52">
        <f t="shared" si="531"/>
        <v>0</v>
      </c>
      <c r="U361" s="369">
        <f t="shared" si="593"/>
        <v>0</v>
      </c>
      <c r="V361" s="369">
        <f t="shared" si="594"/>
        <v>0</v>
      </c>
      <c r="W361" s="369">
        <f t="shared" si="595"/>
        <v>0</v>
      </c>
      <c r="X361" s="53">
        <f t="shared" si="513"/>
        <v>0</v>
      </c>
      <c r="Y361" s="53">
        <f t="shared" si="514"/>
        <v>0</v>
      </c>
      <c r="Z361" s="53">
        <f t="shared" si="515"/>
        <v>0</v>
      </c>
      <c r="AA361" s="148"/>
      <c r="AB361" s="148"/>
      <c r="AC361" s="148"/>
      <c r="AD361" s="148"/>
      <c r="AE361" s="132"/>
      <c r="AF361" s="132"/>
      <c r="AG361" s="132"/>
      <c r="AH361" s="132"/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  <c r="BI361" s="148"/>
      <c r="BJ361" s="148"/>
      <c r="BK361" s="148"/>
      <c r="BL361" s="148"/>
      <c r="BM361" s="148"/>
      <c r="BN361" s="54">
        <f t="shared" si="596"/>
        <v>0</v>
      </c>
      <c r="BO361" s="58">
        <f t="shared" si="597"/>
        <v>0</v>
      </c>
      <c r="BP361" s="54">
        <f t="shared" si="598"/>
        <v>0</v>
      </c>
      <c r="BQ361" s="54">
        <f t="shared" si="599"/>
        <v>0</v>
      </c>
      <c r="BR361" s="54">
        <f t="shared" si="600"/>
        <v>0</v>
      </c>
      <c r="BS361" s="54">
        <f t="shared" si="601"/>
        <v>0</v>
      </c>
      <c r="BT361" s="54">
        <f t="shared" si="602"/>
        <v>0</v>
      </c>
      <c r="BU361" s="54">
        <f t="shared" si="603"/>
        <v>0</v>
      </c>
      <c r="BV361" s="54">
        <f t="shared" si="604"/>
        <v>0</v>
      </c>
      <c r="BW361" s="54">
        <f t="shared" si="605"/>
        <v>0</v>
      </c>
      <c r="BX361" s="1"/>
      <c r="BY361" s="1"/>
      <c r="BZ361" s="1"/>
      <c r="CA361" s="1"/>
      <c r="CB361" s="1"/>
      <c r="CC361" s="1"/>
      <c r="CD361" s="1"/>
      <c r="CE361" s="1"/>
      <c r="CF361" s="1"/>
      <c r="CG361" s="1"/>
    </row>
    <row r="362" spans="1:85" ht="15.75" customHeight="1">
      <c r="A362" s="56"/>
      <c r="B362" s="426"/>
      <c r="C362" s="394" t="s">
        <v>486</v>
      </c>
      <c r="D362" s="78" t="s">
        <v>487</v>
      </c>
      <c r="E362" s="45">
        <v>15000</v>
      </c>
      <c r="F362" s="46"/>
      <c r="G362" s="46">
        <f t="shared" si="589"/>
        <v>15000</v>
      </c>
      <c r="H362" s="46"/>
      <c r="I362" s="47">
        <f t="shared" si="585"/>
        <v>0</v>
      </c>
      <c r="J362" s="47">
        <f t="shared" si="586"/>
        <v>0</v>
      </c>
      <c r="K362" s="146"/>
      <c r="L362" s="147"/>
      <c r="M362" s="146"/>
      <c r="N362" s="146"/>
      <c r="O362" s="51">
        <f t="shared" si="590"/>
        <v>0</v>
      </c>
      <c r="P362" s="51">
        <f t="shared" si="591"/>
        <v>0</v>
      </c>
      <c r="Q362" s="51">
        <f t="shared" si="592"/>
        <v>0</v>
      </c>
      <c r="R362" s="52">
        <f t="shared" si="529"/>
        <v>0</v>
      </c>
      <c r="S362" s="52">
        <f t="shared" si="530"/>
        <v>0</v>
      </c>
      <c r="T362" s="52">
        <f t="shared" si="531"/>
        <v>0</v>
      </c>
      <c r="U362" s="369">
        <f t="shared" si="593"/>
        <v>0</v>
      </c>
      <c r="V362" s="369">
        <f t="shared" si="594"/>
        <v>0</v>
      </c>
      <c r="W362" s="369">
        <f t="shared" si="595"/>
        <v>0</v>
      </c>
      <c r="X362" s="53">
        <f t="shared" si="513"/>
        <v>0</v>
      </c>
      <c r="Y362" s="53">
        <f t="shared" si="514"/>
        <v>0</v>
      </c>
      <c r="Z362" s="53">
        <f t="shared" si="515"/>
        <v>0</v>
      </c>
      <c r="AA362" s="148"/>
      <c r="AB362" s="148"/>
      <c r="AC362" s="148"/>
      <c r="AD362" s="148"/>
      <c r="AE362" s="132"/>
      <c r="AF362" s="132"/>
      <c r="AG362" s="132"/>
      <c r="AH362" s="132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  <c r="BI362" s="148"/>
      <c r="BJ362" s="148"/>
      <c r="BK362" s="148"/>
      <c r="BL362" s="148"/>
      <c r="BM362" s="148"/>
      <c r="BN362" s="54">
        <f t="shared" si="596"/>
        <v>0</v>
      </c>
      <c r="BO362" s="58">
        <f t="shared" si="597"/>
        <v>0</v>
      </c>
      <c r="BP362" s="54">
        <f t="shared" si="598"/>
        <v>0</v>
      </c>
      <c r="BQ362" s="54">
        <f t="shared" si="599"/>
        <v>0</v>
      </c>
      <c r="BR362" s="54">
        <f t="shared" si="600"/>
        <v>0</v>
      </c>
      <c r="BS362" s="54">
        <f t="shared" si="601"/>
        <v>0</v>
      </c>
      <c r="BT362" s="54">
        <f t="shared" si="602"/>
        <v>0</v>
      </c>
      <c r="BU362" s="54">
        <f t="shared" si="603"/>
        <v>0</v>
      </c>
      <c r="BV362" s="54">
        <f t="shared" si="604"/>
        <v>0</v>
      </c>
      <c r="BW362" s="54">
        <f t="shared" si="605"/>
        <v>0</v>
      </c>
      <c r="BX362" s="1"/>
      <c r="BY362" s="1"/>
      <c r="BZ362" s="1"/>
      <c r="CA362" s="1"/>
      <c r="CB362" s="1"/>
      <c r="CC362" s="1"/>
      <c r="CD362" s="1"/>
      <c r="CE362" s="1"/>
      <c r="CF362" s="1"/>
      <c r="CG362" s="1"/>
    </row>
    <row r="363" spans="1:85" ht="15.75" customHeight="1">
      <c r="A363" s="56"/>
      <c r="B363" s="426"/>
      <c r="C363" s="394" t="s">
        <v>146</v>
      </c>
      <c r="D363" s="44" t="s">
        <v>714</v>
      </c>
      <c r="E363" s="45">
        <v>3000</v>
      </c>
      <c r="F363" s="46"/>
      <c r="G363" s="46">
        <f t="shared" si="589"/>
        <v>3000</v>
      </c>
      <c r="H363" s="46"/>
      <c r="I363" s="47">
        <f t="shared" si="585"/>
        <v>0</v>
      </c>
      <c r="J363" s="47">
        <f t="shared" si="586"/>
        <v>0</v>
      </c>
      <c r="K363" s="146"/>
      <c r="L363" s="147"/>
      <c r="M363" s="146"/>
      <c r="N363" s="146"/>
      <c r="O363" s="51">
        <f t="shared" si="590"/>
        <v>0</v>
      </c>
      <c r="P363" s="51">
        <f t="shared" si="591"/>
        <v>0</v>
      </c>
      <c r="Q363" s="51">
        <f t="shared" si="592"/>
        <v>0</v>
      </c>
      <c r="R363" s="52">
        <f t="shared" si="529"/>
        <v>0</v>
      </c>
      <c r="S363" s="52">
        <f t="shared" si="530"/>
        <v>0</v>
      </c>
      <c r="T363" s="52">
        <f t="shared" si="531"/>
        <v>0</v>
      </c>
      <c r="U363" s="369">
        <f t="shared" si="593"/>
        <v>0</v>
      </c>
      <c r="V363" s="369">
        <f t="shared" si="594"/>
        <v>0</v>
      </c>
      <c r="W363" s="369">
        <f t="shared" si="595"/>
        <v>0</v>
      </c>
      <c r="X363" s="53">
        <f t="shared" si="513"/>
        <v>0</v>
      </c>
      <c r="Y363" s="53">
        <f t="shared" si="514"/>
        <v>0</v>
      </c>
      <c r="Z363" s="53">
        <f t="shared" si="515"/>
        <v>0</v>
      </c>
      <c r="AA363" s="148"/>
      <c r="AB363" s="148"/>
      <c r="AC363" s="148"/>
      <c r="AD363" s="148"/>
      <c r="AE363" s="132"/>
      <c r="AF363" s="132"/>
      <c r="AG363" s="132"/>
      <c r="AH363" s="132"/>
      <c r="AI363" s="148"/>
      <c r="AJ363" s="148"/>
      <c r="AK363" s="148"/>
      <c r="AL363" s="148"/>
      <c r="AM363" s="148"/>
      <c r="AN363" s="148"/>
      <c r="AO363" s="148"/>
      <c r="AP363" s="148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48"/>
      <c r="BD363" s="148"/>
      <c r="BE363" s="148"/>
      <c r="BF363" s="148"/>
      <c r="BG363" s="148"/>
      <c r="BH363" s="148"/>
      <c r="BI363" s="148"/>
      <c r="BJ363" s="148"/>
      <c r="BK363" s="148"/>
      <c r="BL363" s="148"/>
      <c r="BM363" s="148"/>
      <c r="BN363" s="54">
        <f t="shared" si="596"/>
        <v>0</v>
      </c>
      <c r="BO363" s="58">
        <f t="shared" si="597"/>
        <v>0</v>
      </c>
      <c r="BP363" s="54">
        <f t="shared" si="598"/>
        <v>0</v>
      </c>
      <c r="BQ363" s="54">
        <f t="shared" si="599"/>
        <v>0</v>
      </c>
      <c r="BR363" s="54">
        <f t="shared" si="600"/>
        <v>0</v>
      </c>
      <c r="BS363" s="54">
        <f t="shared" si="601"/>
        <v>0</v>
      </c>
      <c r="BT363" s="54">
        <f t="shared" si="602"/>
        <v>0</v>
      </c>
      <c r="BU363" s="54">
        <f t="shared" si="603"/>
        <v>0</v>
      </c>
      <c r="BV363" s="54">
        <f t="shared" si="604"/>
        <v>0</v>
      </c>
      <c r="BW363" s="54">
        <f t="shared" si="605"/>
        <v>0</v>
      </c>
      <c r="BX363" s="1"/>
      <c r="BY363" s="1"/>
      <c r="BZ363" s="1"/>
      <c r="CA363" s="1"/>
      <c r="CB363" s="1"/>
      <c r="CC363" s="1"/>
      <c r="CD363" s="1"/>
      <c r="CE363" s="1"/>
      <c r="CF363" s="1"/>
      <c r="CG363" s="1"/>
    </row>
    <row r="364" spans="1:85" ht="15.75" customHeight="1">
      <c r="A364" s="56"/>
      <c r="B364" s="426"/>
      <c r="C364" s="394" t="s">
        <v>504</v>
      </c>
      <c r="D364" s="78" t="s">
        <v>715</v>
      </c>
      <c r="E364" s="45">
        <v>7000</v>
      </c>
      <c r="F364" s="46"/>
      <c r="G364" s="46">
        <f t="shared" si="589"/>
        <v>7000</v>
      </c>
      <c r="H364" s="46"/>
      <c r="I364" s="47">
        <f t="shared" si="585"/>
        <v>0</v>
      </c>
      <c r="J364" s="47">
        <f t="shared" si="586"/>
        <v>0</v>
      </c>
      <c r="K364" s="146"/>
      <c r="L364" s="147"/>
      <c r="M364" s="146"/>
      <c r="N364" s="146"/>
      <c r="O364" s="51">
        <f t="shared" si="590"/>
        <v>0</v>
      </c>
      <c r="P364" s="51">
        <f t="shared" si="591"/>
        <v>0</v>
      </c>
      <c r="Q364" s="51">
        <f t="shared" si="592"/>
        <v>0</v>
      </c>
      <c r="R364" s="52">
        <f t="shared" si="529"/>
        <v>0</v>
      </c>
      <c r="S364" s="52">
        <f t="shared" si="530"/>
        <v>0</v>
      </c>
      <c r="T364" s="52">
        <f t="shared" si="531"/>
        <v>0</v>
      </c>
      <c r="U364" s="369">
        <f t="shared" si="593"/>
        <v>0</v>
      </c>
      <c r="V364" s="369">
        <f t="shared" si="594"/>
        <v>0</v>
      </c>
      <c r="W364" s="369">
        <f t="shared" si="595"/>
        <v>0</v>
      </c>
      <c r="X364" s="53">
        <f t="shared" si="513"/>
        <v>0</v>
      </c>
      <c r="Y364" s="53">
        <f t="shared" si="514"/>
        <v>0</v>
      </c>
      <c r="Z364" s="53">
        <f t="shared" si="515"/>
        <v>0</v>
      </c>
      <c r="AA364" s="148"/>
      <c r="AB364" s="148"/>
      <c r="AC364" s="148"/>
      <c r="AD364" s="148"/>
      <c r="AE364" s="132"/>
      <c r="AF364" s="132"/>
      <c r="AG364" s="132"/>
      <c r="AH364" s="132"/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  <c r="BI364" s="148"/>
      <c r="BJ364" s="148"/>
      <c r="BK364" s="148"/>
      <c r="BL364" s="148"/>
      <c r="BM364" s="148"/>
      <c r="BN364" s="54">
        <f t="shared" si="596"/>
        <v>0</v>
      </c>
      <c r="BO364" s="58">
        <f t="shared" si="597"/>
        <v>0</v>
      </c>
      <c r="BP364" s="54">
        <f t="shared" si="598"/>
        <v>0</v>
      </c>
      <c r="BQ364" s="54">
        <f t="shared" si="599"/>
        <v>0</v>
      </c>
      <c r="BR364" s="54">
        <f t="shared" si="600"/>
        <v>0</v>
      </c>
      <c r="BS364" s="54">
        <f t="shared" si="601"/>
        <v>0</v>
      </c>
      <c r="BT364" s="54">
        <f t="shared" si="602"/>
        <v>0</v>
      </c>
      <c r="BU364" s="54">
        <f t="shared" si="603"/>
        <v>0</v>
      </c>
      <c r="BV364" s="54">
        <f t="shared" si="604"/>
        <v>0</v>
      </c>
      <c r="BW364" s="54">
        <f t="shared" si="605"/>
        <v>0</v>
      </c>
      <c r="BX364" s="1"/>
      <c r="BY364" s="1"/>
      <c r="BZ364" s="1"/>
      <c r="CA364" s="1"/>
      <c r="CB364" s="1"/>
      <c r="CC364" s="1"/>
      <c r="CD364" s="1"/>
      <c r="CE364" s="1"/>
      <c r="CF364" s="1"/>
      <c r="CG364" s="1"/>
    </row>
    <row r="365" spans="1:85" ht="15.75" customHeight="1">
      <c r="A365" s="56"/>
      <c r="B365" s="426"/>
      <c r="C365" s="394" t="s">
        <v>224</v>
      </c>
      <c r="D365" s="90" t="s">
        <v>716</v>
      </c>
      <c r="E365" s="45">
        <v>5000</v>
      </c>
      <c r="F365" s="92">
        <v>0</v>
      </c>
      <c r="G365" s="46">
        <f t="shared" si="589"/>
        <v>5000</v>
      </c>
      <c r="H365" s="46"/>
      <c r="I365" s="47">
        <f t="shared" si="585"/>
        <v>0</v>
      </c>
      <c r="J365" s="47">
        <f t="shared" si="586"/>
        <v>0</v>
      </c>
      <c r="K365" s="146"/>
      <c r="L365" s="147"/>
      <c r="M365" s="146"/>
      <c r="N365" s="146"/>
      <c r="O365" s="51">
        <f t="shared" si="590"/>
        <v>0</v>
      </c>
      <c r="P365" s="51">
        <f t="shared" si="591"/>
        <v>0</v>
      </c>
      <c r="Q365" s="51">
        <f t="shared" si="592"/>
        <v>0</v>
      </c>
      <c r="R365" s="52">
        <f t="shared" si="529"/>
        <v>0</v>
      </c>
      <c r="S365" s="52">
        <f t="shared" si="530"/>
        <v>0</v>
      </c>
      <c r="T365" s="52">
        <f t="shared" si="531"/>
        <v>0</v>
      </c>
      <c r="U365" s="369">
        <f t="shared" si="593"/>
        <v>0</v>
      </c>
      <c r="V365" s="369">
        <f t="shared" si="594"/>
        <v>0</v>
      </c>
      <c r="W365" s="369">
        <f t="shared" si="595"/>
        <v>0</v>
      </c>
      <c r="X365" s="53">
        <f t="shared" si="513"/>
        <v>0</v>
      </c>
      <c r="Y365" s="53">
        <f t="shared" si="514"/>
        <v>0</v>
      </c>
      <c r="Z365" s="53">
        <f t="shared" si="515"/>
        <v>0</v>
      </c>
      <c r="AA365" s="148"/>
      <c r="AB365" s="148"/>
      <c r="AC365" s="148"/>
      <c r="AD365" s="148"/>
      <c r="AE365" s="132"/>
      <c r="AF365" s="132"/>
      <c r="AG365" s="132"/>
      <c r="AH365" s="132"/>
      <c r="AI365" s="148"/>
      <c r="AJ365" s="148"/>
      <c r="AK365" s="148"/>
      <c r="AL365" s="148"/>
      <c r="AM365" s="148"/>
      <c r="AN365" s="148"/>
      <c r="AO365" s="148"/>
      <c r="AP365" s="148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48"/>
      <c r="BD365" s="148"/>
      <c r="BE365" s="148"/>
      <c r="BF365" s="148"/>
      <c r="BG365" s="148"/>
      <c r="BH365" s="148"/>
      <c r="BI365" s="148"/>
      <c r="BJ365" s="148"/>
      <c r="BK365" s="148"/>
      <c r="BL365" s="148"/>
      <c r="BM365" s="148"/>
      <c r="BN365" s="54">
        <f t="shared" ref="BN365:BN366" si="606">IF(O365-BK365&gt;0,O365-BK365,0)</f>
        <v>0</v>
      </c>
      <c r="BO365" s="58">
        <f t="shared" ref="BO365:BO366" si="607">IF(Q365-BM365&gt;0,Q365-BM365,0)</f>
        <v>0</v>
      </c>
      <c r="BP365" s="54">
        <f t="shared" ref="BP365:BP366" si="608">IF(BN365+BO365&gt;0,BN365+BO365,0)</f>
        <v>0</v>
      </c>
      <c r="BQ365" s="54">
        <f t="shared" ref="BQ365:BQ366" si="609">IF(U365=0,0,U365)</f>
        <v>0</v>
      </c>
      <c r="BR365" s="54">
        <f t="shared" ref="BR365:BR366" si="610">IF(W365=0,0,W365)</f>
        <v>0</v>
      </c>
      <c r="BS365" s="54">
        <f t="shared" ref="BS365:BS366" si="611">IF(BQ365+BR365&gt;0,BQ365+BR365,0)</f>
        <v>0</v>
      </c>
      <c r="BT365" s="54">
        <f t="shared" ref="BT365:BT366" si="612">IF(V365&gt;0,V365,0)</f>
        <v>0</v>
      </c>
      <c r="BU365" s="54">
        <f t="shared" ref="BU365:BU366" si="613">IF(BP365=0,0,BP365)</f>
        <v>0</v>
      </c>
      <c r="BV365" s="54">
        <f t="shared" ref="BV365:BV366" si="614">IF(BS365=0,0,BS365)</f>
        <v>0</v>
      </c>
      <c r="BW365" s="54">
        <f t="shared" ref="BW365:BW366" si="615">IF(BP365+BT365&gt;0,BP365+BT365,0)</f>
        <v>0</v>
      </c>
      <c r="BX365" s="1"/>
      <c r="BY365" s="1"/>
      <c r="BZ365" s="1"/>
      <c r="CA365" s="1"/>
      <c r="CB365" s="1"/>
      <c r="CC365" s="1"/>
      <c r="CD365" s="1"/>
      <c r="CE365" s="1"/>
      <c r="CF365" s="1"/>
      <c r="CG365" s="1"/>
    </row>
    <row r="366" spans="1:85" ht="15.75" customHeight="1">
      <c r="A366" s="56"/>
      <c r="B366" s="426"/>
      <c r="C366" s="394" t="s">
        <v>122</v>
      </c>
      <c r="D366" s="44" t="s">
        <v>717</v>
      </c>
      <c r="E366" s="45">
        <v>1500</v>
      </c>
      <c r="F366" s="46"/>
      <c r="G366" s="46">
        <f t="shared" si="589"/>
        <v>1500</v>
      </c>
      <c r="H366" s="46"/>
      <c r="I366" s="47">
        <f t="shared" si="585"/>
        <v>0</v>
      </c>
      <c r="J366" s="47">
        <f t="shared" si="586"/>
        <v>0</v>
      </c>
      <c r="K366" s="146"/>
      <c r="L366" s="147"/>
      <c r="M366" s="146"/>
      <c r="N366" s="146"/>
      <c r="O366" s="51">
        <f t="shared" si="590"/>
        <v>0</v>
      </c>
      <c r="P366" s="51">
        <f t="shared" si="591"/>
        <v>0</v>
      </c>
      <c r="Q366" s="51">
        <f t="shared" si="592"/>
        <v>0</v>
      </c>
      <c r="R366" s="52">
        <f t="shared" si="529"/>
        <v>0</v>
      </c>
      <c r="S366" s="52">
        <f t="shared" si="530"/>
        <v>0</v>
      </c>
      <c r="T366" s="52">
        <f t="shared" si="531"/>
        <v>0</v>
      </c>
      <c r="U366" s="369">
        <f t="shared" si="593"/>
        <v>0</v>
      </c>
      <c r="V366" s="369">
        <f t="shared" si="594"/>
        <v>0</v>
      </c>
      <c r="W366" s="369">
        <f t="shared" si="595"/>
        <v>0</v>
      </c>
      <c r="X366" s="53">
        <f t="shared" si="513"/>
        <v>0</v>
      </c>
      <c r="Y366" s="53">
        <f t="shared" si="514"/>
        <v>0</v>
      </c>
      <c r="Z366" s="53">
        <f t="shared" si="515"/>
        <v>0</v>
      </c>
      <c r="AA366" s="148"/>
      <c r="AB366" s="148"/>
      <c r="AC366" s="148"/>
      <c r="AD366" s="148"/>
      <c r="AE366" s="132"/>
      <c r="AF366" s="132"/>
      <c r="AG366" s="132"/>
      <c r="AH366" s="132"/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48"/>
      <c r="BD366" s="148"/>
      <c r="BE366" s="148"/>
      <c r="BF366" s="148"/>
      <c r="BG366" s="148"/>
      <c r="BH366" s="148"/>
      <c r="BI366" s="148"/>
      <c r="BJ366" s="148"/>
      <c r="BK366" s="148"/>
      <c r="BL366" s="148"/>
      <c r="BM366" s="148"/>
      <c r="BN366" s="54">
        <f t="shared" si="606"/>
        <v>0</v>
      </c>
      <c r="BO366" s="58">
        <f t="shared" si="607"/>
        <v>0</v>
      </c>
      <c r="BP366" s="54">
        <f t="shared" si="608"/>
        <v>0</v>
      </c>
      <c r="BQ366" s="54">
        <f t="shared" si="609"/>
        <v>0</v>
      </c>
      <c r="BR366" s="54">
        <f t="shared" si="610"/>
        <v>0</v>
      </c>
      <c r="BS366" s="54">
        <f t="shared" si="611"/>
        <v>0</v>
      </c>
      <c r="BT366" s="54">
        <f t="shared" si="612"/>
        <v>0</v>
      </c>
      <c r="BU366" s="54">
        <f t="shared" si="613"/>
        <v>0</v>
      </c>
      <c r="BV366" s="54">
        <f t="shared" si="614"/>
        <v>0</v>
      </c>
      <c r="BW366" s="54">
        <f t="shared" si="615"/>
        <v>0</v>
      </c>
      <c r="BX366" s="1"/>
      <c r="BY366" s="1"/>
      <c r="BZ366" s="1"/>
      <c r="CA366" s="1"/>
      <c r="CB366" s="1"/>
      <c r="CC366" s="1"/>
      <c r="CD366" s="1"/>
      <c r="CE366" s="1"/>
      <c r="CF366" s="1"/>
      <c r="CG366" s="1"/>
    </row>
    <row r="367" spans="1:85" ht="15.75" customHeight="1">
      <c r="A367" s="206"/>
      <c r="B367" s="446"/>
      <c r="C367" s="404"/>
      <c r="D367" s="183" t="s">
        <v>718</v>
      </c>
      <c r="E367" s="184">
        <f>E368+E379</f>
        <v>246432.97999999998</v>
      </c>
      <c r="F367" s="185">
        <f>F368+F379</f>
        <v>127568.19</v>
      </c>
      <c r="G367" s="185">
        <f>G368+G379</f>
        <v>118864.79</v>
      </c>
      <c r="H367" s="185">
        <f>H368+H379</f>
        <v>0</v>
      </c>
      <c r="I367" s="114">
        <f t="shared" si="585"/>
        <v>0.99888343722308348</v>
      </c>
      <c r="J367" s="114">
        <f t="shared" si="586"/>
        <v>0.45972242915669143</v>
      </c>
      <c r="K367" s="185">
        <f t="shared" ref="K367:W367" si="616">K368+K379</f>
        <v>118732.06999999999</v>
      </c>
      <c r="L367" s="185">
        <f t="shared" si="616"/>
        <v>1488</v>
      </c>
      <c r="M367" s="185">
        <f t="shared" si="616"/>
        <v>1488</v>
      </c>
      <c r="N367" s="185">
        <f t="shared" si="616"/>
        <v>0</v>
      </c>
      <c r="O367" s="185">
        <f t="shared" si="616"/>
        <v>54644.81</v>
      </c>
      <c r="P367" s="185">
        <f t="shared" si="616"/>
        <v>0</v>
      </c>
      <c r="Q367" s="185">
        <f t="shared" si="616"/>
        <v>0</v>
      </c>
      <c r="R367" s="185">
        <f t="shared" si="616"/>
        <v>54644.81</v>
      </c>
      <c r="S367" s="185">
        <f t="shared" si="616"/>
        <v>0</v>
      </c>
      <c r="T367" s="185">
        <f t="shared" si="616"/>
        <v>0</v>
      </c>
      <c r="U367" s="376">
        <f t="shared" si="616"/>
        <v>64087.26</v>
      </c>
      <c r="V367" s="376">
        <f t="shared" si="616"/>
        <v>0</v>
      </c>
      <c r="W367" s="376">
        <f t="shared" si="616"/>
        <v>0</v>
      </c>
      <c r="X367" s="115">
        <f t="shared" ref="X367:X398" si="617">IF(O367&gt;0,O367/K367,0)</f>
        <v>0.4602363118911344</v>
      </c>
      <c r="Y367" s="115">
        <f t="shared" ref="Y367:Y398" si="618">IF(P367&gt;0,P367/L367,0)</f>
        <v>0</v>
      </c>
      <c r="Z367" s="115">
        <f t="shared" si="515"/>
        <v>0</v>
      </c>
      <c r="AA367" s="185">
        <f t="shared" ref="AA367:BW367" si="619">AA368+AA379</f>
        <v>0</v>
      </c>
      <c r="AB367" s="185">
        <f t="shared" si="619"/>
        <v>0</v>
      </c>
      <c r="AC367" s="185">
        <f t="shared" si="619"/>
        <v>0</v>
      </c>
      <c r="AD367" s="185">
        <f t="shared" si="619"/>
        <v>0</v>
      </c>
      <c r="AE367" s="185">
        <f t="shared" si="619"/>
        <v>0</v>
      </c>
      <c r="AF367" s="185">
        <f t="shared" si="619"/>
        <v>0</v>
      </c>
      <c r="AG367" s="185">
        <f t="shared" si="619"/>
        <v>0</v>
      </c>
      <c r="AH367" s="185">
        <f t="shared" si="619"/>
        <v>0</v>
      </c>
      <c r="AI367" s="185">
        <f t="shared" si="619"/>
        <v>0</v>
      </c>
      <c r="AJ367" s="185">
        <f t="shared" si="619"/>
        <v>0</v>
      </c>
      <c r="AK367" s="185">
        <f t="shared" si="619"/>
        <v>0</v>
      </c>
      <c r="AL367" s="185">
        <f t="shared" si="619"/>
        <v>0</v>
      </c>
      <c r="AM367" s="185">
        <f t="shared" si="619"/>
        <v>830.75</v>
      </c>
      <c r="AN367" s="185">
        <f t="shared" si="619"/>
        <v>0</v>
      </c>
      <c r="AO367" s="185">
        <f t="shared" si="619"/>
        <v>0</v>
      </c>
      <c r="AP367" s="185">
        <f t="shared" si="619"/>
        <v>18531.22</v>
      </c>
      <c r="AQ367" s="185">
        <f t="shared" si="619"/>
        <v>0</v>
      </c>
      <c r="AR367" s="185">
        <f t="shared" si="619"/>
        <v>0</v>
      </c>
      <c r="AS367" s="185">
        <f t="shared" si="619"/>
        <v>9914.69</v>
      </c>
      <c r="AT367" s="185">
        <f t="shared" si="619"/>
        <v>0</v>
      </c>
      <c r="AU367" s="185">
        <f t="shared" si="619"/>
        <v>0</v>
      </c>
      <c r="AV367" s="185">
        <f t="shared" si="619"/>
        <v>13727.24</v>
      </c>
      <c r="AW367" s="185">
        <f t="shared" si="619"/>
        <v>0</v>
      </c>
      <c r="AX367" s="185">
        <f t="shared" si="619"/>
        <v>0</v>
      </c>
      <c r="AY367" s="185">
        <f t="shared" si="619"/>
        <v>11640.91</v>
      </c>
      <c r="AZ367" s="185">
        <f t="shared" si="619"/>
        <v>0</v>
      </c>
      <c r="BA367" s="185">
        <f t="shared" si="619"/>
        <v>0</v>
      </c>
      <c r="BB367" s="185">
        <f t="shared" si="619"/>
        <v>0</v>
      </c>
      <c r="BC367" s="185">
        <f t="shared" si="619"/>
        <v>0</v>
      </c>
      <c r="BD367" s="185">
        <f t="shared" si="619"/>
        <v>0</v>
      </c>
      <c r="BE367" s="185">
        <f t="shared" si="619"/>
        <v>0</v>
      </c>
      <c r="BF367" s="185">
        <f t="shared" si="619"/>
        <v>0</v>
      </c>
      <c r="BG367" s="185">
        <f t="shared" si="619"/>
        <v>0</v>
      </c>
      <c r="BH367" s="185">
        <f t="shared" si="619"/>
        <v>0</v>
      </c>
      <c r="BI367" s="185">
        <f t="shared" si="619"/>
        <v>0</v>
      </c>
      <c r="BJ367" s="185">
        <f t="shared" si="619"/>
        <v>0</v>
      </c>
      <c r="BK367" s="185">
        <f t="shared" si="619"/>
        <v>0</v>
      </c>
      <c r="BL367" s="185">
        <f t="shared" si="619"/>
        <v>0</v>
      </c>
      <c r="BM367" s="185">
        <f t="shared" si="619"/>
        <v>0</v>
      </c>
      <c r="BN367" s="185">
        <f t="shared" si="619"/>
        <v>54644.81</v>
      </c>
      <c r="BO367" s="185">
        <f t="shared" si="619"/>
        <v>0</v>
      </c>
      <c r="BP367" s="185">
        <f>BP368+BP379</f>
        <v>54644.81</v>
      </c>
      <c r="BQ367" s="185">
        <f t="shared" si="619"/>
        <v>64087.26</v>
      </c>
      <c r="BR367" s="185">
        <f t="shared" si="619"/>
        <v>0</v>
      </c>
      <c r="BS367" s="185">
        <f t="shared" si="619"/>
        <v>64087.26</v>
      </c>
      <c r="BT367" s="185">
        <f t="shared" si="619"/>
        <v>0</v>
      </c>
      <c r="BU367" s="185">
        <f t="shared" si="619"/>
        <v>54644.81</v>
      </c>
      <c r="BV367" s="185">
        <f t="shared" si="619"/>
        <v>64087.26</v>
      </c>
      <c r="BW367" s="185">
        <f t="shared" si="619"/>
        <v>54644.81</v>
      </c>
      <c r="BX367" s="1"/>
      <c r="BY367" s="1"/>
      <c r="BZ367" s="1"/>
      <c r="CA367" s="1"/>
      <c r="CB367" s="1"/>
      <c r="CC367" s="1"/>
      <c r="CD367" s="1"/>
      <c r="CE367" s="1"/>
      <c r="CF367" s="1"/>
      <c r="CG367" s="1"/>
    </row>
    <row r="368" spans="1:85" ht="15.75" customHeight="1">
      <c r="A368" s="175"/>
      <c r="B368" s="443"/>
      <c r="C368" s="392"/>
      <c r="D368" s="207" t="s">
        <v>719</v>
      </c>
      <c r="E368" s="162">
        <f>SUM(E369:E378)</f>
        <v>69432.98</v>
      </c>
      <c r="F368" s="127">
        <f>SUM(F369:F378)</f>
        <v>7568.19</v>
      </c>
      <c r="G368" s="127">
        <f>SUM(G369:G378)</f>
        <v>61864.789999999994</v>
      </c>
      <c r="H368" s="127">
        <f>SUM(H369:H378)</f>
        <v>0</v>
      </c>
      <c r="I368" s="169">
        <f t="shared" si="585"/>
        <v>1.3031785931868516</v>
      </c>
      <c r="J368" s="169">
        <f t="shared" si="586"/>
        <v>0.77933845730341933</v>
      </c>
      <c r="K368" s="127">
        <f t="shared" ref="K368:W368" si="620">SUM(K369:K378)</f>
        <v>80620.87</v>
      </c>
      <c r="L368" s="127">
        <f t="shared" si="620"/>
        <v>1488</v>
      </c>
      <c r="M368" s="127">
        <f t="shared" si="620"/>
        <v>1488</v>
      </c>
      <c r="N368" s="127">
        <f t="shared" si="620"/>
        <v>0</v>
      </c>
      <c r="O368" s="127">
        <f t="shared" si="620"/>
        <v>48213.61</v>
      </c>
      <c r="P368" s="127">
        <f t="shared" si="620"/>
        <v>0</v>
      </c>
      <c r="Q368" s="127">
        <f t="shared" si="620"/>
        <v>0</v>
      </c>
      <c r="R368" s="127">
        <f t="shared" si="620"/>
        <v>48213.61</v>
      </c>
      <c r="S368" s="127">
        <f t="shared" si="620"/>
        <v>0</v>
      </c>
      <c r="T368" s="127">
        <f t="shared" si="620"/>
        <v>0</v>
      </c>
      <c r="U368" s="375">
        <f t="shared" si="620"/>
        <v>32407.260000000002</v>
      </c>
      <c r="V368" s="375">
        <f t="shared" si="620"/>
        <v>0</v>
      </c>
      <c r="W368" s="375">
        <f t="shared" si="620"/>
        <v>0</v>
      </c>
      <c r="X368" s="36">
        <f t="shared" si="617"/>
        <v>0.59802889748026788</v>
      </c>
      <c r="Y368" s="36">
        <f t="shared" si="618"/>
        <v>0</v>
      </c>
      <c r="Z368" s="36">
        <f t="shared" si="515"/>
        <v>0</v>
      </c>
      <c r="AA368" s="170">
        <f t="shared" ref="AA368:BW368" si="621">SUM(AA369:AA378)</f>
        <v>0</v>
      </c>
      <c r="AB368" s="170">
        <f t="shared" si="621"/>
        <v>0</v>
      </c>
      <c r="AC368" s="170">
        <f t="shared" si="621"/>
        <v>0</v>
      </c>
      <c r="AD368" s="170">
        <f t="shared" si="621"/>
        <v>0</v>
      </c>
      <c r="AE368" s="170">
        <f t="shared" si="621"/>
        <v>0</v>
      </c>
      <c r="AF368" s="170">
        <f t="shared" si="621"/>
        <v>0</v>
      </c>
      <c r="AG368" s="170">
        <f t="shared" si="621"/>
        <v>0</v>
      </c>
      <c r="AH368" s="170">
        <f t="shared" si="621"/>
        <v>0</v>
      </c>
      <c r="AI368" s="170">
        <f t="shared" si="621"/>
        <v>0</v>
      </c>
      <c r="AJ368" s="170">
        <f t="shared" si="621"/>
        <v>0</v>
      </c>
      <c r="AK368" s="170">
        <f t="shared" si="621"/>
        <v>0</v>
      </c>
      <c r="AL368" s="170">
        <f t="shared" si="621"/>
        <v>0</v>
      </c>
      <c r="AM368" s="170">
        <f t="shared" si="621"/>
        <v>830.75</v>
      </c>
      <c r="AN368" s="170">
        <f t="shared" si="621"/>
        <v>0</v>
      </c>
      <c r="AO368" s="170">
        <f t="shared" si="621"/>
        <v>0</v>
      </c>
      <c r="AP368" s="170">
        <f t="shared" si="621"/>
        <v>18531.22</v>
      </c>
      <c r="AQ368" s="170">
        <f t="shared" si="621"/>
        <v>0</v>
      </c>
      <c r="AR368" s="170">
        <f t="shared" si="621"/>
        <v>0</v>
      </c>
      <c r="AS368" s="170">
        <f t="shared" si="621"/>
        <v>9914.69</v>
      </c>
      <c r="AT368" s="170">
        <f t="shared" si="621"/>
        <v>0</v>
      </c>
      <c r="AU368" s="170">
        <f t="shared" si="621"/>
        <v>0</v>
      </c>
      <c r="AV368" s="170">
        <f t="shared" si="621"/>
        <v>10227.24</v>
      </c>
      <c r="AW368" s="170">
        <f t="shared" si="621"/>
        <v>0</v>
      </c>
      <c r="AX368" s="170">
        <f t="shared" si="621"/>
        <v>0</v>
      </c>
      <c r="AY368" s="170">
        <f t="shared" si="621"/>
        <v>8709.7099999999991</v>
      </c>
      <c r="AZ368" s="170">
        <f t="shared" si="621"/>
        <v>0</v>
      </c>
      <c r="BA368" s="170">
        <f t="shared" si="621"/>
        <v>0</v>
      </c>
      <c r="BB368" s="170">
        <f t="shared" si="621"/>
        <v>0</v>
      </c>
      <c r="BC368" s="170">
        <f t="shared" si="621"/>
        <v>0</v>
      </c>
      <c r="BD368" s="170">
        <f t="shared" si="621"/>
        <v>0</v>
      </c>
      <c r="BE368" s="170">
        <f t="shared" si="621"/>
        <v>0</v>
      </c>
      <c r="BF368" s="170">
        <f t="shared" si="621"/>
        <v>0</v>
      </c>
      <c r="BG368" s="170">
        <f t="shared" si="621"/>
        <v>0</v>
      </c>
      <c r="BH368" s="170">
        <f t="shared" si="621"/>
        <v>0</v>
      </c>
      <c r="BI368" s="170">
        <f t="shared" si="621"/>
        <v>0</v>
      </c>
      <c r="BJ368" s="170">
        <f t="shared" si="621"/>
        <v>0</v>
      </c>
      <c r="BK368" s="170">
        <f t="shared" si="621"/>
        <v>0</v>
      </c>
      <c r="BL368" s="170">
        <f t="shared" si="621"/>
        <v>0</v>
      </c>
      <c r="BM368" s="170">
        <f t="shared" si="621"/>
        <v>0</v>
      </c>
      <c r="BN368" s="170">
        <f t="shared" si="621"/>
        <v>48213.61</v>
      </c>
      <c r="BO368" s="170">
        <f t="shared" si="621"/>
        <v>0</v>
      </c>
      <c r="BP368" s="170">
        <f>SUM(BP369:BP378)</f>
        <v>48213.61</v>
      </c>
      <c r="BQ368" s="170">
        <f t="shared" si="621"/>
        <v>32407.260000000002</v>
      </c>
      <c r="BR368" s="170">
        <f t="shared" si="621"/>
        <v>0</v>
      </c>
      <c r="BS368" s="170">
        <f t="shared" si="621"/>
        <v>32407.260000000002</v>
      </c>
      <c r="BT368" s="170">
        <f t="shared" si="621"/>
        <v>0</v>
      </c>
      <c r="BU368" s="170">
        <f t="shared" si="621"/>
        <v>48213.61</v>
      </c>
      <c r="BV368" s="170">
        <f t="shared" si="621"/>
        <v>32407.260000000002</v>
      </c>
      <c r="BW368" s="170">
        <f t="shared" si="621"/>
        <v>48213.61</v>
      </c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5" ht="15.75" customHeight="1">
      <c r="A369" s="43" t="s">
        <v>720</v>
      </c>
      <c r="B369" s="426"/>
      <c r="C369" s="394" t="s">
        <v>117</v>
      </c>
      <c r="D369" s="44" t="s">
        <v>721</v>
      </c>
      <c r="E369" s="45">
        <v>2432.98</v>
      </c>
      <c r="F369" s="57">
        <v>0</v>
      </c>
      <c r="G369" s="46">
        <f t="shared" ref="G369:G376" si="622">E369-F369</f>
        <v>2432.98</v>
      </c>
      <c r="H369" s="46"/>
      <c r="I369" s="47">
        <f t="shared" si="585"/>
        <v>2.8647461138192667</v>
      </c>
      <c r="J369" s="47">
        <f t="shared" si="586"/>
        <v>2.0504114296048468</v>
      </c>
      <c r="K369" s="202">
        <f>1000+1000+1000+1000+969.87+2000</f>
        <v>6969.87</v>
      </c>
      <c r="L369" s="149"/>
      <c r="M369" s="148"/>
      <c r="N369" s="147"/>
      <c r="O369" s="51">
        <f t="shared" ref="O369:O378" si="623">AA369+AD369+AG369+AJ369+AM369+AP369+AS369+AV369+AY369+BB369+BE369+BH369</f>
        <v>4988.6099999999997</v>
      </c>
      <c r="P369" s="51">
        <f t="shared" ref="P369:P378" si="624">AB369+AE369+AH369+AK369+AN369+AQ369+AT369+AW369+AZ369+BC369+BF369+BI369</f>
        <v>0</v>
      </c>
      <c r="Q369" s="51">
        <f t="shared" ref="Q369:Q378" si="625">AC369+AF369+AI369+AL369+AO369+AR369+AU369+AX369+BA369+BD369+BG369+BJ369</f>
        <v>0</v>
      </c>
      <c r="R369" s="52">
        <f t="shared" ref="R369:R378" si="626">IF(BK369=0,SUM(AA369+AD369+AG369+AJ369+AM369+AP369+AS369+AV369+AY369+BB369+BE369+BH369),BK369)</f>
        <v>4988.6099999999997</v>
      </c>
      <c r="S369" s="52">
        <f t="shared" ref="S369:S378" si="627">IF(BL369=0,SUM(AB369+AE369+AH369+AK369+AN369+AQ369+AT369+AW369+AZ369+BC369+BF369+BI369),BL369)</f>
        <v>0</v>
      </c>
      <c r="T369" s="52">
        <f t="shared" ref="T369:T378" si="628">IF(BM369=0,SUM(AC369+AF369+AI369+AL369+AO369+AR369+AU369+AX369+BA369+BD369+BG369+BJ369),BM369)</f>
        <v>0</v>
      </c>
      <c r="U369" s="368">
        <f t="shared" ref="U369:U378" si="629">K369-O369</f>
        <v>1981.2600000000002</v>
      </c>
      <c r="V369" s="369">
        <f t="shared" ref="V369:V378" si="630">L369-P369-M369</f>
        <v>0</v>
      </c>
      <c r="W369" s="369">
        <f t="shared" ref="W369:W378" si="631">N369-Q369</f>
        <v>0</v>
      </c>
      <c r="X369" s="53">
        <f t="shared" si="617"/>
        <v>0.71573931794997603</v>
      </c>
      <c r="Y369" s="53">
        <f t="shared" si="618"/>
        <v>0</v>
      </c>
      <c r="Z369" s="53">
        <f t="shared" si="515"/>
        <v>0</v>
      </c>
      <c r="AA369" s="148"/>
      <c r="AB369" s="148"/>
      <c r="AC369" s="148"/>
      <c r="AD369" s="148"/>
      <c r="AE369" s="132"/>
      <c r="AF369" s="132"/>
      <c r="AG369" s="132"/>
      <c r="AH369" s="132"/>
      <c r="AI369" s="148"/>
      <c r="AJ369" s="148"/>
      <c r="AK369" s="148"/>
      <c r="AL369" s="148"/>
      <c r="AM369" s="148">
        <f>368.58+186.56+275.61</f>
        <v>830.75</v>
      </c>
      <c r="AN369" s="148"/>
      <c r="AO369" s="148"/>
      <c r="AP369" s="148">
        <f>67.68+563.54</f>
        <v>631.22</v>
      </c>
      <c r="AQ369" s="148"/>
      <c r="AR369" s="148"/>
      <c r="AS369" s="148">
        <f>235.5+242.62+374.71+371.15+490.71</f>
        <v>1714.69</v>
      </c>
      <c r="AT369" s="148"/>
      <c r="AU369" s="148"/>
      <c r="AV369" s="148">
        <f>173.11+969.87+129.63+129.63</f>
        <v>1402.2400000000002</v>
      </c>
      <c r="AW369" s="148"/>
      <c r="AX369" s="148"/>
      <c r="AY369" s="148">
        <f>409.71</f>
        <v>409.71</v>
      </c>
      <c r="AZ369" s="148"/>
      <c r="BA369" s="148"/>
      <c r="BB369" s="148"/>
      <c r="BC369" s="148"/>
      <c r="BD369" s="148"/>
      <c r="BE369" s="148"/>
      <c r="BF369" s="148"/>
      <c r="BG369" s="148"/>
      <c r="BH369" s="148"/>
      <c r="BI369" s="148"/>
      <c r="BJ369" s="148"/>
      <c r="BK369" s="148"/>
      <c r="BL369" s="148"/>
      <c r="BM369" s="148"/>
      <c r="BN369" s="54">
        <f t="shared" ref="BN369:BN371" si="632">IF(O369-BK369&gt;0,O369-BK369,0)</f>
        <v>4988.6099999999997</v>
      </c>
      <c r="BO369" s="58">
        <f t="shared" ref="BO369:BO371" si="633">IF(Q369-BM369&gt;0,Q369-BM369,0)</f>
        <v>0</v>
      </c>
      <c r="BP369" s="54">
        <f t="shared" ref="BP369:BP371" si="634">IF(BN369+BO369&gt;0,BN369+BO369,0)</f>
        <v>4988.6099999999997</v>
      </c>
      <c r="BQ369" s="54">
        <f t="shared" ref="BQ369:BQ371" si="635">IF(U369=0,0,U369)</f>
        <v>1981.2600000000002</v>
      </c>
      <c r="BR369" s="54">
        <f t="shared" ref="BR369:BR371" si="636">IF(W369=0,0,W369)</f>
        <v>0</v>
      </c>
      <c r="BS369" s="54">
        <f t="shared" ref="BS369:BS371" si="637">IF(BQ369+BR369&gt;0,BQ369+BR369,0)</f>
        <v>1981.2600000000002</v>
      </c>
      <c r="BT369" s="54">
        <f t="shared" ref="BT369:BT371" si="638">IF(V369&gt;0,V369,0)</f>
        <v>0</v>
      </c>
      <c r="BU369" s="54">
        <f t="shared" ref="BU369:BU371" si="639">IF(BP369=0,0,BP369)</f>
        <v>4988.6099999999997</v>
      </c>
      <c r="BV369" s="54">
        <f t="shared" ref="BV369:BV371" si="640">IF(BS369=0,0,BS369)</f>
        <v>1981.2600000000002</v>
      </c>
      <c r="BW369" s="54">
        <f t="shared" ref="BW369:BW371" si="641">IF(BP369+BT369&gt;0,BP369+BT369,0)</f>
        <v>4988.6099999999997</v>
      </c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5" ht="15.75" customHeight="1">
      <c r="A370" s="56"/>
      <c r="B370" s="426"/>
      <c r="C370" s="394" t="s">
        <v>117</v>
      </c>
      <c r="D370" s="44" t="s">
        <v>710</v>
      </c>
      <c r="E370" s="45">
        <v>5000</v>
      </c>
      <c r="F370" s="46"/>
      <c r="G370" s="46">
        <f t="shared" si="622"/>
        <v>5000</v>
      </c>
      <c r="H370" s="46"/>
      <c r="I370" s="47">
        <f t="shared" si="585"/>
        <v>0</v>
      </c>
      <c r="J370" s="47">
        <f t="shared" si="586"/>
        <v>0</v>
      </c>
      <c r="K370" s="146"/>
      <c r="L370" s="149"/>
      <c r="M370" s="148"/>
      <c r="N370" s="147"/>
      <c r="O370" s="51">
        <f t="shared" si="623"/>
        <v>0</v>
      </c>
      <c r="P370" s="51">
        <f t="shared" si="624"/>
        <v>0</v>
      </c>
      <c r="Q370" s="51">
        <f t="shared" si="625"/>
        <v>0</v>
      </c>
      <c r="R370" s="52">
        <f t="shared" si="626"/>
        <v>0</v>
      </c>
      <c r="S370" s="52">
        <f t="shared" si="627"/>
        <v>0</v>
      </c>
      <c r="T370" s="52">
        <f t="shared" si="628"/>
        <v>0</v>
      </c>
      <c r="U370" s="369">
        <f t="shared" si="629"/>
        <v>0</v>
      </c>
      <c r="V370" s="369">
        <f t="shared" si="630"/>
        <v>0</v>
      </c>
      <c r="W370" s="369">
        <f t="shared" si="631"/>
        <v>0</v>
      </c>
      <c r="X370" s="53">
        <f t="shared" si="617"/>
        <v>0</v>
      </c>
      <c r="Y370" s="53">
        <f t="shared" si="618"/>
        <v>0</v>
      </c>
      <c r="Z370" s="53">
        <f t="shared" si="515"/>
        <v>0</v>
      </c>
      <c r="AA370" s="148"/>
      <c r="AB370" s="148"/>
      <c r="AC370" s="148"/>
      <c r="AD370" s="148"/>
      <c r="AE370" s="132"/>
      <c r="AF370" s="132"/>
      <c r="AG370" s="132"/>
      <c r="AH370" s="132"/>
      <c r="AI370" s="148"/>
      <c r="AJ370" s="148"/>
      <c r="AK370" s="148"/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48"/>
      <c r="BD370" s="148"/>
      <c r="BE370" s="148"/>
      <c r="BF370" s="148"/>
      <c r="BG370" s="148"/>
      <c r="BH370" s="148"/>
      <c r="BI370" s="148"/>
      <c r="BJ370" s="148"/>
      <c r="BK370" s="148"/>
      <c r="BL370" s="148"/>
      <c r="BM370" s="148"/>
      <c r="BN370" s="54">
        <f t="shared" si="632"/>
        <v>0</v>
      </c>
      <c r="BO370" s="58">
        <f t="shared" si="633"/>
        <v>0</v>
      </c>
      <c r="BP370" s="54">
        <f t="shared" si="634"/>
        <v>0</v>
      </c>
      <c r="BQ370" s="54">
        <f t="shared" si="635"/>
        <v>0</v>
      </c>
      <c r="BR370" s="54">
        <f t="shared" si="636"/>
        <v>0</v>
      </c>
      <c r="BS370" s="54">
        <f t="shared" si="637"/>
        <v>0</v>
      </c>
      <c r="BT370" s="54">
        <f t="shared" si="638"/>
        <v>0</v>
      </c>
      <c r="BU370" s="54">
        <f t="shared" si="639"/>
        <v>0</v>
      </c>
      <c r="BV370" s="54">
        <f t="shared" si="640"/>
        <v>0</v>
      </c>
      <c r="BW370" s="54">
        <f t="shared" si="641"/>
        <v>0</v>
      </c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5" ht="15.75" customHeight="1">
      <c r="A371" s="43" t="s">
        <v>722</v>
      </c>
      <c r="B371" s="426"/>
      <c r="C371" s="394" t="s">
        <v>393</v>
      </c>
      <c r="D371" s="77" t="s">
        <v>723</v>
      </c>
      <c r="E371" s="45"/>
      <c r="F371" s="46"/>
      <c r="G371" s="46">
        <f t="shared" si="622"/>
        <v>0</v>
      </c>
      <c r="H371" s="46"/>
      <c r="I371" s="47">
        <f t="shared" si="585"/>
        <v>0</v>
      </c>
      <c r="J371" s="47">
        <f t="shared" si="586"/>
        <v>0</v>
      </c>
      <c r="K371" s="146">
        <f>55000+7600</f>
        <v>62600</v>
      </c>
      <c r="L371" s="149"/>
      <c r="M371" s="148"/>
      <c r="N371" s="147"/>
      <c r="O371" s="51">
        <f t="shared" si="623"/>
        <v>41200</v>
      </c>
      <c r="P371" s="51">
        <f t="shared" si="624"/>
        <v>0</v>
      </c>
      <c r="Q371" s="51">
        <f t="shared" si="625"/>
        <v>0</v>
      </c>
      <c r="R371" s="52">
        <f t="shared" si="626"/>
        <v>41200</v>
      </c>
      <c r="S371" s="52">
        <f t="shared" si="627"/>
        <v>0</v>
      </c>
      <c r="T371" s="52">
        <f t="shared" si="628"/>
        <v>0</v>
      </c>
      <c r="U371" s="368">
        <f t="shared" si="629"/>
        <v>21400</v>
      </c>
      <c r="V371" s="369">
        <f t="shared" si="630"/>
        <v>0</v>
      </c>
      <c r="W371" s="369">
        <f t="shared" si="631"/>
        <v>0</v>
      </c>
      <c r="X371" s="53">
        <f t="shared" si="617"/>
        <v>0.65814696485623003</v>
      </c>
      <c r="Y371" s="53">
        <f t="shared" si="618"/>
        <v>0</v>
      </c>
      <c r="Z371" s="53">
        <f t="shared" si="515"/>
        <v>0</v>
      </c>
      <c r="AA371" s="148"/>
      <c r="AB371" s="148"/>
      <c r="AC371" s="148"/>
      <c r="AD371" s="148"/>
      <c r="AE371" s="132"/>
      <c r="AF371" s="132"/>
      <c r="AG371" s="132"/>
      <c r="AH371" s="132"/>
      <c r="AI371" s="148"/>
      <c r="AJ371" s="148"/>
      <c r="AK371" s="148"/>
      <c r="AL371" s="148"/>
      <c r="AM371" s="148"/>
      <c r="AN371" s="148"/>
      <c r="AO371" s="148"/>
      <c r="AP371" s="148">
        <f>600+400+300+6500+400+6500+400+600+300+400</f>
        <v>16400</v>
      </c>
      <c r="AQ371" s="148"/>
      <c r="AR371" s="148"/>
      <c r="AS371" s="148">
        <f>6500+400+400+600+300</f>
        <v>8200</v>
      </c>
      <c r="AT371" s="148"/>
      <c r="AU371" s="148"/>
      <c r="AV371" s="148">
        <f>400+300+600+400+6600</f>
        <v>8300</v>
      </c>
      <c r="AW371" s="148"/>
      <c r="AX371" s="148"/>
      <c r="AY371" s="148">
        <f>6600+400+600+300+400</f>
        <v>8300</v>
      </c>
      <c r="AZ371" s="148"/>
      <c r="BA371" s="148"/>
      <c r="BB371" s="148"/>
      <c r="BC371" s="148"/>
      <c r="BD371" s="148"/>
      <c r="BE371" s="148"/>
      <c r="BF371" s="148"/>
      <c r="BG371" s="148"/>
      <c r="BH371" s="148"/>
      <c r="BI371" s="148"/>
      <c r="BJ371" s="148"/>
      <c r="BK371" s="148"/>
      <c r="BL371" s="148"/>
      <c r="BM371" s="148"/>
      <c r="BN371" s="54">
        <f t="shared" si="632"/>
        <v>41200</v>
      </c>
      <c r="BO371" s="58">
        <f t="shared" si="633"/>
        <v>0</v>
      </c>
      <c r="BP371" s="54">
        <f t="shared" si="634"/>
        <v>41200</v>
      </c>
      <c r="BQ371" s="54">
        <f t="shared" si="635"/>
        <v>21400</v>
      </c>
      <c r="BR371" s="54">
        <f t="shared" si="636"/>
        <v>0</v>
      </c>
      <c r="BS371" s="54">
        <f t="shared" si="637"/>
        <v>21400</v>
      </c>
      <c r="BT371" s="54">
        <f t="shared" si="638"/>
        <v>0</v>
      </c>
      <c r="BU371" s="54">
        <f t="shared" si="639"/>
        <v>41200</v>
      </c>
      <c r="BV371" s="54">
        <f t="shared" si="640"/>
        <v>21400</v>
      </c>
      <c r="BW371" s="54">
        <f t="shared" si="641"/>
        <v>41200</v>
      </c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5" ht="15.75" customHeight="1">
      <c r="A372" s="56"/>
      <c r="B372" s="426"/>
      <c r="C372" s="394" t="s">
        <v>393</v>
      </c>
      <c r="D372" s="77" t="s">
        <v>724</v>
      </c>
      <c r="E372" s="45"/>
      <c r="F372" s="46"/>
      <c r="G372" s="46">
        <f t="shared" si="622"/>
        <v>0</v>
      </c>
      <c r="H372" s="46"/>
      <c r="I372" s="47">
        <f t="shared" si="585"/>
        <v>0</v>
      </c>
      <c r="J372" s="47">
        <f t="shared" si="586"/>
        <v>0</v>
      </c>
      <c r="K372" s="146"/>
      <c r="L372" s="149"/>
      <c r="M372" s="148"/>
      <c r="N372" s="147"/>
      <c r="O372" s="51">
        <f t="shared" si="623"/>
        <v>0</v>
      </c>
      <c r="P372" s="51">
        <f t="shared" si="624"/>
        <v>0</v>
      </c>
      <c r="Q372" s="51">
        <f t="shared" si="625"/>
        <v>0</v>
      </c>
      <c r="R372" s="52">
        <f t="shared" si="626"/>
        <v>0</v>
      </c>
      <c r="S372" s="52">
        <f t="shared" si="627"/>
        <v>0</v>
      </c>
      <c r="T372" s="52">
        <f t="shared" si="628"/>
        <v>0</v>
      </c>
      <c r="U372" s="369">
        <f t="shared" si="629"/>
        <v>0</v>
      </c>
      <c r="V372" s="369">
        <f t="shared" si="630"/>
        <v>0</v>
      </c>
      <c r="W372" s="369">
        <f t="shared" si="631"/>
        <v>0</v>
      </c>
      <c r="X372" s="53">
        <f t="shared" si="617"/>
        <v>0</v>
      </c>
      <c r="Y372" s="53">
        <f t="shared" si="618"/>
        <v>0</v>
      </c>
      <c r="Z372" s="53">
        <f t="shared" si="515"/>
        <v>0</v>
      </c>
      <c r="AA372" s="148"/>
      <c r="AB372" s="148"/>
      <c r="AC372" s="148"/>
      <c r="AD372" s="148"/>
      <c r="AE372" s="132"/>
      <c r="AF372" s="132"/>
      <c r="AG372" s="132"/>
      <c r="AH372" s="132"/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8"/>
      <c r="BG372" s="148"/>
      <c r="BH372" s="148"/>
      <c r="BI372" s="148"/>
      <c r="BJ372" s="148"/>
      <c r="BK372" s="148"/>
      <c r="BL372" s="148"/>
      <c r="BM372" s="148"/>
      <c r="BN372" s="54">
        <f t="shared" ref="BN372:BN378" si="642">IF(O372-BK372&gt;0,O372-BK372,0)</f>
        <v>0</v>
      </c>
      <c r="BO372" s="58">
        <f t="shared" ref="BO372:BO378" si="643">IF(Q372-BM372&gt;0,Q372-BM372,0)</f>
        <v>0</v>
      </c>
      <c r="BP372" s="54">
        <f t="shared" ref="BP372:BP378" si="644">IF(BN372+BO372&gt;0,BN372+BO372,0)</f>
        <v>0</v>
      </c>
      <c r="BQ372" s="54">
        <f t="shared" ref="BQ372:BQ378" si="645">IF(U372=0,0,U372)</f>
        <v>0</v>
      </c>
      <c r="BR372" s="54">
        <f t="shared" ref="BR372:BR378" si="646">IF(W372=0,0,W372)</f>
        <v>0</v>
      </c>
      <c r="BS372" s="54">
        <f t="shared" ref="BS372:BS378" si="647">IF(BQ372+BR372&gt;0,BQ372+BR372,0)</f>
        <v>0</v>
      </c>
      <c r="BT372" s="54">
        <f t="shared" ref="BT372:BT378" si="648">IF(V372&gt;0,V372,0)</f>
        <v>0</v>
      </c>
      <c r="BU372" s="54">
        <f t="shared" ref="BU372:BU378" si="649">IF(BP372=0,0,BP372)</f>
        <v>0</v>
      </c>
      <c r="BV372" s="54">
        <f t="shared" ref="BV372:BV378" si="650">IF(BS372=0,0,BS372)</f>
        <v>0</v>
      </c>
      <c r="BW372" s="54">
        <f t="shared" ref="BW372:BW378" si="651">IF(BP372+BT372&gt;0,BP372+BT372,0)</f>
        <v>0</v>
      </c>
      <c r="BX372" s="1"/>
      <c r="BY372" s="1"/>
      <c r="BZ372" s="1"/>
      <c r="CA372" s="1"/>
      <c r="CB372" s="1"/>
      <c r="CC372" s="1"/>
      <c r="CD372" s="1"/>
      <c r="CE372" s="1"/>
      <c r="CF372" s="1"/>
      <c r="CG372" s="1"/>
    </row>
    <row r="373" spans="1:85" ht="15.75" customHeight="1">
      <c r="A373" s="56"/>
      <c r="B373" s="426"/>
      <c r="C373" s="394" t="s">
        <v>393</v>
      </c>
      <c r="D373" s="44" t="s">
        <v>725</v>
      </c>
      <c r="E373" s="45"/>
      <c r="F373" s="46"/>
      <c r="G373" s="46">
        <f t="shared" si="622"/>
        <v>0</v>
      </c>
      <c r="H373" s="46"/>
      <c r="I373" s="47">
        <f t="shared" si="585"/>
        <v>0</v>
      </c>
      <c r="J373" s="47">
        <f t="shared" si="586"/>
        <v>0</v>
      </c>
      <c r="K373" s="146"/>
      <c r="L373" s="149"/>
      <c r="M373" s="148"/>
      <c r="N373" s="147"/>
      <c r="O373" s="51">
        <f t="shared" si="623"/>
        <v>0</v>
      </c>
      <c r="P373" s="51">
        <f t="shared" si="624"/>
        <v>0</v>
      </c>
      <c r="Q373" s="51">
        <f t="shared" si="625"/>
        <v>0</v>
      </c>
      <c r="R373" s="52">
        <f t="shared" si="626"/>
        <v>0</v>
      </c>
      <c r="S373" s="52">
        <f t="shared" si="627"/>
        <v>0</v>
      </c>
      <c r="T373" s="52">
        <f t="shared" si="628"/>
        <v>0</v>
      </c>
      <c r="U373" s="369">
        <f t="shared" si="629"/>
        <v>0</v>
      </c>
      <c r="V373" s="369">
        <f t="shared" si="630"/>
        <v>0</v>
      </c>
      <c r="W373" s="369">
        <f t="shared" si="631"/>
        <v>0</v>
      </c>
      <c r="X373" s="53">
        <f t="shared" si="617"/>
        <v>0</v>
      </c>
      <c r="Y373" s="53">
        <f t="shared" si="618"/>
        <v>0</v>
      </c>
      <c r="Z373" s="53">
        <f t="shared" si="515"/>
        <v>0</v>
      </c>
      <c r="AA373" s="148"/>
      <c r="AB373" s="148"/>
      <c r="AC373" s="148"/>
      <c r="AD373" s="148"/>
      <c r="AE373" s="132"/>
      <c r="AF373" s="132"/>
      <c r="AG373" s="132"/>
      <c r="AH373" s="132"/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  <c r="BI373" s="148"/>
      <c r="BJ373" s="148"/>
      <c r="BK373" s="148"/>
      <c r="BL373" s="148"/>
      <c r="BM373" s="148"/>
      <c r="BN373" s="54">
        <f t="shared" si="642"/>
        <v>0</v>
      </c>
      <c r="BO373" s="58">
        <f t="shared" si="643"/>
        <v>0</v>
      </c>
      <c r="BP373" s="54">
        <f t="shared" si="644"/>
        <v>0</v>
      </c>
      <c r="BQ373" s="54">
        <f t="shared" si="645"/>
        <v>0</v>
      </c>
      <c r="BR373" s="54">
        <f t="shared" si="646"/>
        <v>0</v>
      </c>
      <c r="BS373" s="54">
        <f t="shared" si="647"/>
        <v>0</v>
      </c>
      <c r="BT373" s="54">
        <f t="shared" si="648"/>
        <v>0</v>
      </c>
      <c r="BU373" s="54">
        <f t="shared" si="649"/>
        <v>0</v>
      </c>
      <c r="BV373" s="54">
        <f t="shared" si="650"/>
        <v>0</v>
      </c>
      <c r="BW373" s="54">
        <f t="shared" si="651"/>
        <v>0</v>
      </c>
      <c r="BX373" s="1"/>
      <c r="BY373" s="1"/>
      <c r="BZ373" s="1"/>
      <c r="CA373" s="1"/>
      <c r="CB373" s="1"/>
      <c r="CC373" s="1"/>
      <c r="CD373" s="1"/>
      <c r="CE373" s="1"/>
      <c r="CF373" s="1"/>
      <c r="CG373" s="1"/>
    </row>
    <row r="374" spans="1:85" ht="15.75" customHeight="1">
      <c r="A374" s="56"/>
      <c r="B374" s="426"/>
      <c r="C374" s="394" t="s">
        <v>550</v>
      </c>
      <c r="D374" s="44" t="s">
        <v>726</v>
      </c>
      <c r="E374" s="45">
        <v>6000</v>
      </c>
      <c r="F374" s="46"/>
      <c r="G374" s="46">
        <f t="shared" si="622"/>
        <v>6000</v>
      </c>
      <c r="H374" s="46"/>
      <c r="I374" s="47">
        <f t="shared" si="585"/>
        <v>0</v>
      </c>
      <c r="J374" s="47">
        <f t="shared" si="586"/>
        <v>0</v>
      </c>
      <c r="K374" s="146"/>
      <c r="L374" s="149"/>
      <c r="M374" s="148"/>
      <c r="N374" s="147"/>
      <c r="O374" s="51">
        <f t="shared" si="623"/>
        <v>0</v>
      </c>
      <c r="P374" s="51">
        <f t="shared" si="624"/>
        <v>0</v>
      </c>
      <c r="Q374" s="51">
        <f t="shared" si="625"/>
        <v>0</v>
      </c>
      <c r="R374" s="52">
        <f t="shared" si="626"/>
        <v>0</v>
      </c>
      <c r="S374" s="52">
        <f t="shared" si="627"/>
        <v>0</v>
      </c>
      <c r="T374" s="52">
        <f t="shared" si="628"/>
        <v>0</v>
      </c>
      <c r="U374" s="369">
        <f t="shared" si="629"/>
        <v>0</v>
      </c>
      <c r="V374" s="369">
        <f t="shared" si="630"/>
        <v>0</v>
      </c>
      <c r="W374" s="369">
        <f t="shared" si="631"/>
        <v>0</v>
      </c>
      <c r="X374" s="53">
        <f t="shared" si="617"/>
        <v>0</v>
      </c>
      <c r="Y374" s="53">
        <f t="shared" si="618"/>
        <v>0</v>
      </c>
      <c r="Z374" s="53">
        <f t="shared" si="515"/>
        <v>0</v>
      </c>
      <c r="AA374" s="148"/>
      <c r="AB374" s="148"/>
      <c r="AC374" s="148"/>
      <c r="AD374" s="148"/>
      <c r="AE374" s="132"/>
      <c r="AF374" s="132"/>
      <c r="AG374" s="132"/>
      <c r="AH374" s="132"/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8"/>
      <c r="BG374" s="148"/>
      <c r="BH374" s="148"/>
      <c r="BI374" s="148"/>
      <c r="BJ374" s="148"/>
      <c r="BK374" s="148"/>
      <c r="BL374" s="148"/>
      <c r="BM374" s="148"/>
      <c r="BN374" s="54">
        <f t="shared" si="642"/>
        <v>0</v>
      </c>
      <c r="BO374" s="58">
        <f t="shared" si="643"/>
        <v>0</v>
      </c>
      <c r="BP374" s="54">
        <f t="shared" si="644"/>
        <v>0</v>
      </c>
      <c r="BQ374" s="54">
        <f t="shared" si="645"/>
        <v>0</v>
      </c>
      <c r="BR374" s="54">
        <f t="shared" si="646"/>
        <v>0</v>
      </c>
      <c r="BS374" s="54">
        <f t="shared" si="647"/>
        <v>0</v>
      </c>
      <c r="BT374" s="54">
        <f t="shared" si="648"/>
        <v>0</v>
      </c>
      <c r="BU374" s="54">
        <f t="shared" si="649"/>
        <v>0</v>
      </c>
      <c r="BV374" s="54">
        <f t="shared" si="650"/>
        <v>0</v>
      </c>
      <c r="BW374" s="54">
        <f t="shared" si="651"/>
        <v>0</v>
      </c>
      <c r="BX374" s="1"/>
      <c r="BY374" s="1"/>
      <c r="BZ374" s="1"/>
      <c r="CA374" s="1"/>
      <c r="CB374" s="1"/>
      <c r="CC374" s="1"/>
      <c r="CD374" s="1"/>
      <c r="CE374" s="1"/>
      <c r="CF374" s="1"/>
      <c r="CG374" s="1"/>
    </row>
    <row r="375" spans="1:85" ht="15.75" customHeight="1">
      <c r="A375" s="56"/>
      <c r="B375" s="426"/>
      <c r="C375" s="394" t="s">
        <v>550</v>
      </c>
      <c r="D375" s="44" t="s">
        <v>727</v>
      </c>
      <c r="E375" s="45">
        <v>46000</v>
      </c>
      <c r="F375" s="80">
        <v>7568.19</v>
      </c>
      <c r="G375" s="46">
        <f t="shared" si="622"/>
        <v>38431.81</v>
      </c>
      <c r="H375" s="46"/>
      <c r="I375" s="47">
        <f t="shared" si="585"/>
        <v>0</v>
      </c>
      <c r="J375" s="47">
        <f t="shared" si="586"/>
        <v>0</v>
      </c>
      <c r="K375" s="146"/>
      <c r="L375" s="149"/>
      <c r="M375" s="148"/>
      <c r="N375" s="147"/>
      <c r="O375" s="51">
        <f t="shared" si="623"/>
        <v>0</v>
      </c>
      <c r="P375" s="51">
        <f t="shared" si="624"/>
        <v>0</v>
      </c>
      <c r="Q375" s="51">
        <f t="shared" si="625"/>
        <v>0</v>
      </c>
      <c r="R375" s="52">
        <f t="shared" si="626"/>
        <v>0</v>
      </c>
      <c r="S375" s="52">
        <f t="shared" si="627"/>
        <v>0</v>
      </c>
      <c r="T375" s="52">
        <f t="shared" si="628"/>
        <v>0</v>
      </c>
      <c r="U375" s="369">
        <f t="shared" si="629"/>
        <v>0</v>
      </c>
      <c r="V375" s="369">
        <f t="shared" si="630"/>
        <v>0</v>
      </c>
      <c r="W375" s="369">
        <f t="shared" si="631"/>
        <v>0</v>
      </c>
      <c r="X375" s="53">
        <f t="shared" si="617"/>
        <v>0</v>
      </c>
      <c r="Y375" s="53">
        <f t="shared" si="618"/>
        <v>0</v>
      </c>
      <c r="Z375" s="53">
        <f t="shared" si="515"/>
        <v>0</v>
      </c>
      <c r="AA375" s="148"/>
      <c r="AB375" s="148"/>
      <c r="AC375" s="148"/>
      <c r="AD375" s="148"/>
      <c r="AE375" s="132"/>
      <c r="AF375" s="132"/>
      <c r="AG375" s="132"/>
      <c r="AH375" s="132"/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  <c r="BI375" s="148"/>
      <c r="BJ375" s="148"/>
      <c r="BK375" s="148"/>
      <c r="BL375" s="148"/>
      <c r="BM375" s="148"/>
      <c r="BN375" s="54">
        <f t="shared" si="642"/>
        <v>0</v>
      </c>
      <c r="BO375" s="58">
        <f t="shared" si="643"/>
        <v>0</v>
      </c>
      <c r="BP375" s="54">
        <f t="shared" si="644"/>
        <v>0</v>
      </c>
      <c r="BQ375" s="54">
        <f t="shared" si="645"/>
        <v>0</v>
      </c>
      <c r="BR375" s="54">
        <f t="shared" si="646"/>
        <v>0</v>
      </c>
      <c r="BS375" s="54">
        <f t="shared" si="647"/>
        <v>0</v>
      </c>
      <c r="BT375" s="54">
        <f t="shared" si="648"/>
        <v>0</v>
      </c>
      <c r="BU375" s="54">
        <f t="shared" si="649"/>
        <v>0</v>
      </c>
      <c r="BV375" s="54">
        <f t="shared" si="650"/>
        <v>0</v>
      </c>
      <c r="BW375" s="54">
        <f t="shared" si="651"/>
        <v>0</v>
      </c>
      <c r="BX375" s="1"/>
      <c r="BY375" s="1"/>
      <c r="BZ375" s="1"/>
      <c r="CA375" s="1"/>
      <c r="CB375" s="1"/>
      <c r="CC375" s="1"/>
      <c r="CD375" s="1"/>
      <c r="CE375" s="1"/>
      <c r="CF375" s="1"/>
      <c r="CG375" s="1"/>
    </row>
    <row r="376" spans="1:85" ht="15.75" customHeight="1">
      <c r="A376" s="43" t="s">
        <v>728</v>
      </c>
      <c r="B376" s="426" t="s">
        <v>729</v>
      </c>
      <c r="C376" s="394" t="s">
        <v>290</v>
      </c>
      <c r="D376" s="44" t="s">
        <v>730</v>
      </c>
      <c r="E376" s="45"/>
      <c r="F376" s="46"/>
      <c r="G376" s="46">
        <f t="shared" si="622"/>
        <v>0</v>
      </c>
      <c r="H376" s="46"/>
      <c r="I376" s="47">
        <f t="shared" si="585"/>
        <v>0</v>
      </c>
      <c r="J376" s="47">
        <f t="shared" si="586"/>
        <v>0</v>
      </c>
      <c r="K376" s="202">
        <v>6356</v>
      </c>
      <c r="L376" s="146">
        <v>1488</v>
      </c>
      <c r="M376" s="152">
        <v>1488</v>
      </c>
      <c r="N376" s="147"/>
      <c r="O376" s="51">
        <f t="shared" si="623"/>
        <v>0</v>
      </c>
      <c r="P376" s="51">
        <f t="shared" si="624"/>
        <v>0</v>
      </c>
      <c r="Q376" s="51">
        <f t="shared" si="625"/>
        <v>0</v>
      </c>
      <c r="R376" s="52">
        <f t="shared" si="626"/>
        <v>0</v>
      </c>
      <c r="S376" s="52">
        <f t="shared" si="627"/>
        <v>0</v>
      </c>
      <c r="T376" s="52">
        <f t="shared" si="628"/>
        <v>0</v>
      </c>
      <c r="U376" s="369">
        <f t="shared" si="629"/>
        <v>6356</v>
      </c>
      <c r="V376" s="369">
        <f t="shared" si="630"/>
        <v>0</v>
      </c>
      <c r="W376" s="369">
        <f t="shared" si="631"/>
        <v>0</v>
      </c>
      <c r="X376" s="53">
        <f t="shared" si="617"/>
        <v>0</v>
      </c>
      <c r="Y376" s="53">
        <f t="shared" si="618"/>
        <v>0</v>
      </c>
      <c r="Z376" s="53">
        <f t="shared" si="515"/>
        <v>0</v>
      </c>
      <c r="AA376" s="148"/>
      <c r="AB376" s="148"/>
      <c r="AC376" s="148"/>
      <c r="AD376" s="148"/>
      <c r="AE376" s="132"/>
      <c r="AF376" s="132"/>
      <c r="AG376" s="132"/>
      <c r="AH376" s="132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  <c r="BI376" s="148"/>
      <c r="BJ376" s="148"/>
      <c r="BK376" s="148"/>
      <c r="BL376" s="148"/>
      <c r="BM376" s="148"/>
      <c r="BN376" s="54">
        <f t="shared" si="642"/>
        <v>0</v>
      </c>
      <c r="BO376" s="58">
        <f t="shared" si="643"/>
        <v>0</v>
      </c>
      <c r="BP376" s="54">
        <f t="shared" si="644"/>
        <v>0</v>
      </c>
      <c r="BQ376" s="54">
        <f t="shared" si="645"/>
        <v>6356</v>
      </c>
      <c r="BR376" s="54">
        <f t="shared" si="646"/>
        <v>0</v>
      </c>
      <c r="BS376" s="54">
        <f t="shared" si="647"/>
        <v>6356</v>
      </c>
      <c r="BT376" s="54">
        <f t="shared" si="648"/>
        <v>0</v>
      </c>
      <c r="BU376" s="54">
        <f t="shared" si="649"/>
        <v>0</v>
      </c>
      <c r="BV376" s="54">
        <f t="shared" si="650"/>
        <v>6356</v>
      </c>
      <c r="BW376" s="54">
        <f t="shared" si="651"/>
        <v>0</v>
      </c>
      <c r="BX376" s="1"/>
      <c r="BY376" s="1"/>
      <c r="BZ376" s="1"/>
      <c r="CA376" s="1"/>
      <c r="CB376" s="1"/>
      <c r="CC376" s="1"/>
      <c r="CD376" s="1"/>
      <c r="CE376" s="1"/>
      <c r="CF376" s="1"/>
      <c r="CG376" s="1"/>
    </row>
    <row r="377" spans="1:85" ht="15.75" customHeight="1">
      <c r="A377" s="43" t="s">
        <v>731</v>
      </c>
      <c r="B377" s="426"/>
      <c r="C377" s="394" t="s">
        <v>290</v>
      </c>
      <c r="D377" s="73" t="s">
        <v>732</v>
      </c>
      <c r="E377" s="45"/>
      <c r="F377" s="46"/>
      <c r="G377" s="46"/>
      <c r="H377" s="46"/>
      <c r="I377" s="47"/>
      <c r="J377" s="47"/>
      <c r="K377" s="202">
        <v>3195</v>
      </c>
      <c r="L377" s="149"/>
      <c r="M377" s="148"/>
      <c r="N377" s="147"/>
      <c r="O377" s="51">
        <f t="shared" si="623"/>
        <v>525</v>
      </c>
      <c r="P377" s="51">
        <f t="shared" si="624"/>
        <v>0</v>
      </c>
      <c r="Q377" s="51">
        <f t="shared" si="625"/>
        <v>0</v>
      </c>
      <c r="R377" s="52">
        <f t="shared" si="626"/>
        <v>525</v>
      </c>
      <c r="S377" s="52">
        <f t="shared" si="627"/>
        <v>0</v>
      </c>
      <c r="T377" s="52">
        <f t="shared" si="628"/>
        <v>0</v>
      </c>
      <c r="U377" s="369">
        <f t="shared" si="629"/>
        <v>2670</v>
      </c>
      <c r="V377" s="369">
        <f t="shared" si="630"/>
        <v>0</v>
      </c>
      <c r="W377" s="369">
        <f t="shared" si="631"/>
        <v>0</v>
      </c>
      <c r="X377" s="53">
        <f t="shared" si="617"/>
        <v>0.16431924882629109</v>
      </c>
      <c r="Y377" s="53">
        <f t="shared" si="618"/>
        <v>0</v>
      </c>
      <c r="Z377" s="53">
        <f t="shared" si="515"/>
        <v>0</v>
      </c>
      <c r="AA377" s="148"/>
      <c r="AB377" s="148"/>
      <c r="AC377" s="148"/>
      <c r="AD377" s="148"/>
      <c r="AE377" s="132"/>
      <c r="AF377" s="132"/>
      <c r="AG377" s="132"/>
      <c r="AH377" s="132"/>
      <c r="AI377" s="148"/>
      <c r="AJ377" s="148"/>
      <c r="AK377" s="148"/>
      <c r="AL377" s="148"/>
      <c r="AM377" s="148"/>
      <c r="AN377" s="148"/>
      <c r="AO377" s="148"/>
      <c r="AP377" s="152"/>
      <c r="AQ377" s="148"/>
      <c r="AR377" s="148"/>
      <c r="AS377" s="148"/>
      <c r="AT377" s="148"/>
      <c r="AU377" s="148"/>
      <c r="AV377" s="148">
        <f>525</f>
        <v>525</v>
      </c>
      <c r="AW377" s="148"/>
      <c r="AX377" s="148"/>
      <c r="AY377" s="148"/>
      <c r="AZ377" s="148"/>
      <c r="BA377" s="148"/>
      <c r="BB377" s="148"/>
      <c r="BC377" s="148"/>
      <c r="BD377" s="148"/>
      <c r="BE377" s="148"/>
      <c r="BF377" s="148"/>
      <c r="BG377" s="148"/>
      <c r="BH377" s="148"/>
      <c r="BI377" s="148"/>
      <c r="BJ377" s="148"/>
      <c r="BK377" s="148"/>
      <c r="BL377" s="148"/>
      <c r="BM377" s="148"/>
      <c r="BN377" s="54">
        <f t="shared" si="642"/>
        <v>525</v>
      </c>
      <c r="BO377" s="58">
        <f t="shared" si="643"/>
        <v>0</v>
      </c>
      <c r="BP377" s="54">
        <f t="shared" si="644"/>
        <v>525</v>
      </c>
      <c r="BQ377" s="54">
        <f t="shared" si="645"/>
        <v>2670</v>
      </c>
      <c r="BR377" s="54">
        <f t="shared" si="646"/>
        <v>0</v>
      </c>
      <c r="BS377" s="54">
        <f t="shared" si="647"/>
        <v>2670</v>
      </c>
      <c r="BT377" s="54">
        <f t="shared" si="648"/>
        <v>0</v>
      </c>
      <c r="BU377" s="54">
        <f t="shared" si="649"/>
        <v>525</v>
      </c>
      <c r="BV377" s="54">
        <f t="shared" si="650"/>
        <v>2670</v>
      </c>
      <c r="BW377" s="54">
        <f t="shared" si="651"/>
        <v>525</v>
      </c>
      <c r="BX377" s="1"/>
      <c r="BY377" s="1"/>
      <c r="BZ377" s="1"/>
      <c r="CA377" s="1"/>
      <c r="CB377" s="1"/>
      <c r="CC377" s="1"/>
      <c r="CD377" s="1"/>
      <c r="CE377" s="1"/>
      <c r="CF377" s="1"/>
      <c r="CG377" s="1"/>
    </row>
    <row r="378" spans="1:85" ht="15.75" customHeight="1">
      <c r="A378" s="43" t="s">
        <v>733</v>
      </c>
      <c r="B378" s="426"/>
      <c r="C378" s="394" t="s">
        <v>704</v>
      </c>
      <c r="D378" s="73" t="s">
        <v>734</v>
      </c>
      <c r="E378" s="45">
        <v>10000</v>
      </c>
      <c r="F378" s="46"/>
      <c r="G378" s="46">
        <f>E378-F378</f>
        <v>10000</v>
      </c>
      <c r="H378" s="46"/>
      <c r="I378" s="47">
        <f t="shared" ref="I378:I384" si="652">IF(G378&gt;0,K378/G378,0)</f>
        <v>0.15</v>
      </c>
      <c r="J378" s="47">
        <f t="shared" ref="J378:J384" si="653">IF(G378&gt;0,O378/G378,0)</f>
        <v>0.15</v>
      </c>
      <c r="K378" s="202">
        <v>1500</v>
      </c>
      <c r="L378" s="149"/>
      <c r="M378" s="148"/>
      <c r="N378" s="147"/>
      <c r="O378" s="51">
        <f t="shared" si="623"/>
        <v>1500</v>
      </c>
      <c r="P378" s="51">
        <f t="shared" si="624"/>
        <v>0</v>
      </c>
      <c r="Q378" s="51">
        <f t="shared" si="625"/>
        <v>0</v>
      </c>
      <c r="R378" s="52">
        <f t="shared" si="626"/>
        <v>1500</v>
      </c>
      <c r="S378" s="52">
        <f t="shared" si="627"/>
        <v>0</v>
      </c>
      <c r="T378" s="52">
        <f t="shared" si="628"/>
        <v>0</v>
      </c>
      <c r="U378" s="369">
        <f t="shared" si="629"/>
        <v>0</v>
      </c>
      <c r="V378" s="369">
        <f t="shared" si="630"/>
        <v>0</v>
      </c>
      <c r="W378" s="369">
        <f t="shared" si="631"/>
        <v>0</v>
      </c>
      <c r="X378" s="53">
        <f t="shared" si="617"/>
        <v>1</v>
      </c>
      <c r="Y378" s="53">
        <f t="shared" si="618"/>
        <v>0</v>
      </c>
      <c r="Z378" s="53">
        <f t="shared" si="515"/>
        <v>0</v>
      </c>
      <c r="AA378" s="148"/>
      <c r="AB378" s="148"/>
      <c r="AC378" s="148"/>
      <c r="AD378" s="148"/>
      <c r="AE378" s="132"/>
      <c r="AF378" s="132"/>
      <c r="AG378" s="132"/>
      <c r="AH378" s="132"/>
      <c r="AI378" s="148"/>
      <c r="AJ378" s="148"/>
      <c r="AK378" s="148"/>
      <c r="AL378" s="148"/>
      <c r="AM378" s="148"/>
      <c r="AN378" s="148"/>
      <c r="AO378" s="148"/>
      <c r="AP378" s="152">
        <v>1500</v>
      </c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8"/>
      <c r="BG378" s="148"/>
      <c r="BH378" s="148"/>
      <c r="BI378" s="148"/>
      <c r="BJ378" s="148"/>
      <c r="BK378" s="148"/>
      <c r="BL378" s="148"/>
      <c r="BM378" s="148"/>
      <c r="BN378" s="54">
        <f t="shared" si="642"/>
        <v>1500</v>
      </c>
      <c r="BO378" s="58">
        <f t="shared" si="643"/>
        <v>0</v>
      </c>
      <c r="BP378" s="54">
        <f t="shared" si="644"/>
        <v>1500</v>
      </c>
      <c r="BQ378" s="54">
        <f t="shared" si="645"/>
        <v>0</v>
      </c>
      <c r="BR378" s="54">
        <f t="shared" si="646"/>
        <v>0</v>
      </c>
      <c r="BS378" s="54">
        <f t="shared" si="647"/>
        <v>0</v>
      </c>
      <c r="BT378" s="54">
        <f t="shared" si="648"/>
        <v>0</v>
      </c>
      <c r="BU378" s="54">
        <f t="shared" si="649"/>
        <v>1500</v>
      </c>
      <c r="BV378" s="54">
        <f t="shared" si="650"/>
        <v>0</v>
      </c>
      <c r="BW378" s="54">
        <f t="shared" si="651"/>
        <v>1500</v>
      </c>
      <c r="BX378" s="1"/>
      <c r="BY378" s="1"/>
      <c r="BZ378" s="1"/>
      <c r="CA378" s="1"/>
      <c r="CB378" s="1"/>
      <c r="CC378" s="1"/>
      <c r="CD378" s="1"/>
      <c r="CE378" s="1"/>
      <c r="CF378" s="1"/>
      <c r="CG378" s="1"/>
    </row>
    <row r="379" spans="1:85" ht="15.75" customHeight="1">
      <c r="A379" s="182"/>
      <c r="B379" s="446"/>
      <c r="C379" s="404"/>
      <c r="D379" s="183" t="s">
        <v>735</v>
      </c>
      <c r="E379" s="184">
        <f>SUM(E380:E396)</f>
        <v>177000</v>
      </c>
      <c r="F379" s="185">
        <f>SUM(F380:F396)</f>
        <v>120000</v>
      </c>
      <c r="G379" s="185">
        <f>SUM(G380:G396)</f>
        <v>57000</v>
      </c>
      <c r="H379" s="185">
        <f>SUM(H380:H396)</f>
        <v>0</v>
      </c>
      <c r="I379" s="114">
        <f t="shared" si="652"/>
        <v>0.66861754385964911</v>
      </c>
      <c r="J379" s="114">
        <f t="shared" si="653"/>
        <v>0.1128280701754386</v>
      </c>
      <c r="K379" s="185">
        <f t="shared" ref="K379:W379" si="654">SUM(K380:K396)</f>
        <v>38111.199999999997</v>
      </c>
      <c r="L379" s="185">
        <f t="shared" si="654"/>
        <v>0</v>
      </c>
      <c r="M379" s="185">
        <f t="shared" si="654"/>
        <v>0</v>
      </c>
      <c r="N379" s="185">
        <f t="shared" si="654"/>
        <v>0</v>
      </c>
      <c r="O379" s="185">
        <f t="shared" si="654"/>
        <v>6431.2</v>
      </c>
      <c r="P379" s="185">
        <f t="shared" si="654"/>
        <v>0</v>
      </c>
      <c r="Q379" s="185">
        <f t="shared" si="654"/>
        <v>0</v>
      </c>
      <c r="R379" s="185">
        <f t="shared" si="654"/>
        <v>6431.2</v>
      </c>
      <c r="S379" s="185">
        <f t="shared" si="654"/>
        <v>0</v>
      </c>
      <c r="T379" s="185">
        <f t="shared" si="654"/>
        <v>0</v>
      </c>
      <c r="U379" s="376">
        <f t="shared" si="654"/>
        <v>31680</v>
      </c>
      <c r="V379" s="376">
        <f t="shared" si="654"/>
        <v>0</v>
      </c>
      <c r="W379" s="376">
        <f t="shared" si="654"/>
        <v>0</v>
      </c>
      <c r="X379" s="115">
        <f t="shared" si="617"/>
        <v>0.16874829446461934</v>
      </c>
      <c r="Y379" s="115">
        <f t="shared" si="618"/>
        <v>0</v>
      </c>
      <c r="Z379" s="115">
        <f t="shared" si="515"/>
        <v>0</v>
      </c>
      <c r="AA379" s="185">
        <f t="shared" ref="AA379:BW379" si="655">SUM(AA380:AA396)</f>
        <v>0</v>
      </c>
      <c r="AB379" s="185">
        <f t="shared" si="655"/>
        <v>0</v>
      </c>
      <c r="AC379" s="185">
        <f t="shared" si="655"/>
        <v>0</v>
      </c>
      <c r="AD379" s="185">
        <f t="shared" si="655"/>
        <v>0</v>
      </c>
      <c r="AE379" s="185">
        <f t="shared" si="655"/>
        <v>0</v>
      </c>
      <c r="AF379" s="185">
        <f t="shared" si="655"/>
        <v>0</v>
      </c>
      <c r="AG379" s="185">
        <f t="shared" si="655"/>
        <v>0</v>
      </c>
      <c r="AH379" s="185">
        <f t="shared" si="655"/>
        <v>0</v>
      </c>
      <c r="AI379" s="185">
        <f t="shared" si="655"/>
        <v>0</v>
      </c>
      <c r="AJ379" s="185">
        <f t="shared" si="655"/>
        <v>0</v>
      </c>
      <c r="AK379" s="185">
        <f t="shared" si="655"/>
        <v>0</v>
      </c>
      <c r="AL379" s="185">
        <f t="shared" si="655"/>
        <v>0</v>
      </c>
      <c r="AM379" s="185">
        <f t="shared" si="655"/>
        <v>0</v>
      </c>
      <c r="AN379" s="185">
        <f t="shared" si="655"/>
        <v>0</v>
      </c>
      <c r="AO379" s="185">
        <f t="shared" si="655"/>
        <v>0</v>
      </c>
      <c r="AP379" s="185">
        <f t="shared" si="655"/>
        <v>0</v>
      </c>
      <c r="AQ379" s="185">
        <f t="shared" si="655"/>
        <v>0</v>
      </c>
      <c r="AR379" s="185">
        <f t="shared" si="655"/>
        <v>0</v>
      </c>
      <c r="AS379" s="185">
        <f t="shared" si="655"/>
        <v>0</v>
      </c>
      <c r="AT379" s="185">
        <f t="shared" si="655"/>
        <v>0</v>
      </c>
      <c r="AU379" s="185">
        <f t="shared" si="655"/>
        <v>0</v>
      </c>
      <c r="AV379" s="185">
        <f t="shared" si="655"/>
        <v>3500</v>
      </c>
      <c r="AW379" s="185">
        <f t="shared" si="655"/>
        <v>0</v>
      </c>
      <c r="AX379" s="185">
        <f t="shared" si="655"/>
        <v>0</v>
      </c>
      <c r="AY379" s="185">
        <f t="shared" si="655"/>
        <v>2931.2</v>
      </c>
      <c r="AZ379" s="185">
        <f t="shared" si="655"/>
        <v>0</v>
      </c>
      <c r="BA379" s="185">
        <f t="shared" si="655"/>
        <v>0</v>
      </c>
      <c r="BB379" s="185">
        <f t="shared" si="655"/>
        <v>0</v>
      </c>
      <c r="BC379" s="185">
        <f t="shared" si="655"/>
        <v>0</v>
      </c>
      <c r="BD379" s="185">
        <f t="shared" si="655"/>
        <v>0</v>
      </c>
      <c r="BE379" s="185">
        <f t="shared" si="655"/>
        <v>0</v>
      </c>
      <c r="BF379" s="185">
        <f t="shared" si="655"/>
        <v>0</v>
      </c>
      <c r="BG379" s="185">
        <f t="shared" si="655"/>
        <v>0</v>
      </c>
      <c r="BH379" s="185">
        <f t="shared" si="655"/>
        <v>0</v>
      </c>
      <c r="BI379" s="185">
        <f t="shared" si="655"/>
        <v>0</v>
      </c>
      <c r="BJ379" s="185">
        <f t="shared" si="655"/>
        <v>0</v>
      </c>
      <c r="BK379" s="185">
        <f t="shared" si="655"/>
        <v>0</v>
      </c>
      <c r="BL379" s="185">
        <f t="shared" si="655"/>
        <v>0</v>
      </c>
      <c r="BM379" s="185">
        <f t="shared" si="655"/>
        <v>0</v>
      </c>
      <c r="BN379" s="185">
        <f t="shared" si="655"/>
        <v>6431.2</v>
      </c>
      <c r="BO379" s="185">
        <f t="shared" si="655"/>
        <v>0</v>
      </c>
      <c r="BP379" s="185">
        <f>SUM(BP380:BP396)</f>
        <v>6431.2</v>
      </c>
      <c r="BQ379" s="185">
        <f t="shared" si="655"/>
        <v>31680</v>
      </c>
      <c r="BR379" s="185">
        <f t="shared" si="655"/>
        <v>0</v>
      </c>
      <c r="BS379" s="185">
        <f t="shared" si="655"/>
        <v>31680</v>
      </c>
      <c r="BT379" s="185">
        <f t="shared" si="655"/>
        <v>0</v>
      </c>
      <c r="BU379" s="185">
        <f t="shared" si="655"/>
        <v>6431.2</v>
      </c>
      <c r="BV379" s="185">
        <f t="shared" si="655"/>
        <v>31680</v>
      </c>
      <c r="BW379" s="185">
        <f t="shared" si="655"/>
        <v>6431.2</v>
      </c>
      <c r="BX379" s="1"/>
      <c r="BY379" s="1"/>
      <c r="BZ379" s="1"/>
      <c r="CA379" s="1"/>
      <c r="CB379" s="1"/>
      <c r="CC379" s="1"/>
      <c r="CD379" s="1"/>
      <c r="CE379" s="1"/>
      <c r="CF379" s="1"/>
      <c r="CG379" s="1"/>
    </row>
    <row r="380" spans="1:85" ht="15.75" customHeight="1">
      <c r="A380" s="56"/>
      <c r="B380" s="426"/>
      <c r="C380" s="394" t="s">
        <v>117</v>
      </c>
      <c r="D380" s="44" t="s">
        <v>721</v>
      </c>
      <c r="E380" s="45">
        <v>1000</v>
      </c>
      <c r="F380" s="46"/>
      <c r="G380" s="46">
        <f>E380-F380</f>
        <v>1000</v>
      </c>
      <c r="H380" s="46"/>
      <c r="I380" s="47">
        <f t="shared" si="652"/>
        <v>0</v>
      </c>
      <c r="J380" s="47">
        <f t="shared" si="653"/>
        <v>0</v>
      </c>
      <c r="K380" s="146"/>
      <c r="L380" s="149"/>
      <c r="M380" s="148"/>
      <c r="N380" s="147"/>
      <c r="O380" s="51">
        <f t="shared" ref="O380:O396" si="656">AA380+AD380+AG380+AJ380+AM380+AP380+AS380+AV380+AY380+BB380+BE380+BH380</f>
        <v>0</v>
      </c>
      <c r="P380" s="51">
        <f t="shared" ref="P380:P396" si="657">AB380+AE380+AH380+AK380+AN380+AQ380+AT380+AW380+AZ380+BC380+BF380+BI380</f>
        <v>0</v>
      </c>
      <c r="Q380" s="51">
        <f t="shared" ref="Q380:Q396" si="658">AC380+AF380+AI380+AL380+AO380+AR380+AU380+AX380+BA380+BD380+BG380+BJ380</f>
        <v>0</v>
      </c>
      <c r="R380" s="52">
        <f t="shared" ref="R380:R396" si="659">IF(BK380=0,SUM(AA380+AD380+AG380+AJ380+AM380+AP380+AS380+AV380+AY380+BB380+BE380+BH380),BK380)</f>
        <v>0</v>
      </c>
      <c r="S380" s="52">
        <f t="shared" ref="S380:S396" si="660">IF(BL380=0,SUM(AB380+AE380+AH380+AK380+AN380+AQ380+AT380+AW380+AZ380+BC380+BF380+BI380),BL380)</f>
        <v>0</v>
      </c>
      <c r="T380" s="52">
        <f t="shared" ref="T380:T396" si="661">IF(BM380=0,SUM(AC380+AF380+AI380+AL380+AO380+AR380+AU380+AX380+BA380+BD380+BG380+BJ380),BM380)</f>
        <v>0</v>
      </c>
      <c r="U380" s="369">
        <f t="shared" ref="U380:U396" si="662">K380-O380</f>
        <v>0</v>
      </c>
      <c r="V380" s="369">
        <f t="shared" ref="V380:V396" si="663">L380-P380-M380</f>
        <v>0</v>
      </c>
      <c r="W380" s="369">
        <f t="shared" ref="W380:W396" si="664">N380-Q380</f>
        <v>0</v>
      </c>
      <c r="X380" s="53">
        <f t="shared" si="617"/>
        <v>0</v>
      </c>
      <c r="Y380" s="53">
        <f t="shared" si="618"/>
        <v>0</v>
      </c>
      <c r="Z380" s="53">
        <f t="shared" si="515"/>
        <v>0</v>
      </c>
      <c r="AA380" s="148"/>
      <c r="AB380" s="148"/>
      <c r="AC380" s="148"/>
      <c r="AD380" s="148"/>
      <c r="AE380" s="132"/>
      <c r="AF380" s="132"/>
      <c r="AG380" s="132"/>
      <c r="AH380" s="132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  <c r="BI380" s="148"/>
      <c r="BJ380" s="148"/>
      <c r="BK380" s="148"/>
      <c r="BL380" s="148"/>
      <c r="BM380" s="148"/>
      <c r="BN380" s="54">
        <f t="shared" ref="BN380:BN389" si="665">IF(O380-BK380&gt;0,O380-BK380,0)</f>
        <v>0</v>
      </c>
      <c r="BO380" s="58">
        <f t="shared" ref="BO380:BO389" si="666">IF(Q380-BM380&gt;0,Q380-BM380,0)</f>
        <v>0</v>
      </c>
      <c r="BP380" s="54">
        <f t="shared" ref="BP380:BP389" si="667">IF(BN380+BO380&gt;0,BN380+BO380,0)</f>
        <v>0</v>
      </c>
      <c r="BQ380" s="54">
        <f t="shared" ref="BQ380:BQ389" si="668">IF(U380=0,0,U380)</f>
        <v>0</v>
      </c>
      <c r="BR380" s="54">
        <f t="shared" ref="BR380:BR389" si="669">IF(W380=0,0,W380)</f>
        <v>0</v>
      </c>
      <c r="BS380" s="54">
        <f t="shared" ref="BS380:BS389" si="670">IF(BQ380+BR380&gt;0,BQ380+BR380,0)</f>
        <v>0</v>
      </c>
      <c r="BT380" s="54">
        <f t="shared" ref="BT380:BT389" si="671">IF(V380&gt;0,V380,0)</f>
        <v>0</v>
      </c>
      <c r="BU380" s="54">
        <f t="shared" ref="BU380:BU389" si="672">IF(BP380=0,0,BP380)</f>
        <v>0</v>
      </c>
      <c r="BV380" s="54">
        <f t="shared" ref="BV380:BV389" si="673">IF(BS380=0,0,BS380)</f>
        <v>0</v>
      </c>
      <c r="BW380" s="54">
        <f t="shared" ref="BW380:BW389" si="674">IF(BP380+BT380&gt;0,BP380+BT380,0)</f>
        <v>0</v>
      </c>
      <c r="BX380" s="1"/>
      <c r="BY380" s="1"/>
      <c r="BZ380" s="1"/>
      <c r="CA380" s="1"/>
      <c r="CB380" s="1"/>
      <c r="CC380" s="1"/>
      <c r="CD380" s="1"/>
      <c r="CE380" s="1"/>
      <c r="CF380" s="1"/>
      <c r="CG380" s="1"/>
    </row>
    <row r="381" spans="1:85" ht="15.75" customHeight="1">
      <c r="A381" s="56"/>
      <c r="B381" s="426"/>
      <c r="C381" s="394" t="s">
        <v>117</v>
      </c>
      <c r="D381" s="44" t="s">
        <v>736</v>
      </c>
      <c r="E381" s="45">
        <v>1000</v>
      </c>
      <c r="F381" s="46"/>
      <c r="G381" s="46">
        <f>E381-F381</f>
        <v>1000</v>
      </c>
      <c r="H381" s="46"/>
      <c r="I381" s="47">
        <f t="shared" si="652"/>
        <v>0</v>
      </c>
      <c r="J381" s="47">
        <f t="shared" si="653"/>
        <v>0</v>
      </c>
      <c r="K381" s="146"/>
      <c r="L381" s="149"/>
      <c r="M381" s="148"/>
      <c r="N381" s="147"/>
      <c r="O381" s="51">
        <f t="shared" si="656"/>
        <v>0</v>
      </c>
      <c r="P381" s="51">
        <f t="shared" si="657"/>
        <v>0</v>
      </c>
      <c r="Q381" s="51">
        <f t="shared" si="658"/>
        <v>0</v>
      </c>
      <c r="R381" s="52">
        <f t="shared" si="659"/>
        <v>0</v>
      </c>
      <c r="S381" s="52">
        <f t="shared" si="660"/>
        <v>0</v>
      </c>
      <c r="T381" s="52">
        <f t="shared" si="661"/>
        <v>0</v>
      </c>
      <c r="U381" s="369">
        <f t="shared" si="662"/>
        <v>0</v>
      </c>
      <c r="V381" s="369">
        <f t="shared" si="663"/>
        <v>0</v>
      </c>
      <c r="W381" s="369">
        <f t="shared" si="664"/>
        <v>0</v>
      </c>
      <c r="X381" s="53">
        <f t="shared" si="617"/>
        <v>0</v>
      </c>
      <c r="Y381" s="53">
        <f t="shared" si="618"/>
        <v>0</v>
      </c>
      <c r="Z381" s="53">
        <f t="shared" si="515"/>
        <v>0</v>
      </c>
      <c r="AA381" s="148"/>
      <c r="AB381" s="148"/>
      <c r="AC381" s="148"/>
      <c r="AD381" s="148"/>
      <c r="AE381" s="132"/>
      <c r="AF381" s="132"/>
      <c r="AG381" s="132"/>
      <c r="AH381" s="132"/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  <c r="BI381" s="148"/>
      <c r="BJ381" s="148"/>
      <c r="BK381" s="148"/>
      <c r="BL381" s="148"/>
      <c r="BM381" s="148"/>
      <c r="BN381" s="54">
        <f t="shared" si="665"/>
        <v>0</v>
      </c>
      <c r="BO381" s="58">
        <f t="shared" si="666"/>
        <v>0</v>
      </c>
      <c r="BP381" s="54">
        <f t="shared" si="667"/>
        <v>0</v>
      </c>
      <c r="BQ381" s="54">
        <f t="shared" si="668"/>
        <v>0</v>
      </c>
      <c r="BR381" s="54">
        <f t="shared" si="669"/>
        <v>0</v>
      </c>
      <c r="BS381" s="54">
        <f t="shared" si="670"/>
        <v>0</v>
      </c>
      <c r="BT381" s="54">
        <f t="shared" si="671"/>
        <v>0</v>
      </c>
      <c r="BU381" s="54">
        <f t="shared" si="672"/>
        <v>0</v>
      </c>
      <c r="BV381" s="54">
        <f t="shared" si="673"/>
        <v>0</v>
      </c>
      <c r="BW381" s="54">
        <f t="shared" si="674"/>
        <v>0</v>
      </c>
      <c r="BX381" s="1"/>
      <c r="BY381" s="1"/>
      <c r="BZ381" s="1"/>
      <c r="CA381" s="1"/>
      <c r="CB381" s="1"/>
      <c r="CC381" s="1"/>
      <c r="CD381" s="1"/>
      <c r="CE381" s="1"/>
      <c r="CF381" s="1"/>
      <c r="CG381" s="1"/>
    </row>
    <row r="382" spans="1:85" ht="15.75" customHeight="1">
      <c r="A382" s="56"/>
      <c r="B382" s="426"/>
      <c r="C382" s="394" t="s">
        <v>117</v>
      </c>
      <c r="D382" s="44" t="s">
        <v>737</v>
      </c>
      <c r="E382" s="45">
        <v>3000</v>
      </c>
      <c r="F382" s="46"/>
      <c r="G382" s="46">
        <f>E382-F382</f>
        <v>3000</v>
      </c>
      <c r="H382" s="46"/>
      <c r="I382" s="47">
        <f t="shared" si="652"/>
        <v>0</v>
      </c>
      <c r="J382" s="47">
        <f t="shared" si="653"/>
        <v>0</v>
      </c>
      <c r="K382" s="146"/>
      <c r="L382" s="149"/>
      <c r="M382" s="148"/>
      <c r="N382" s="147"/>
      <c r="O382" s="51">
        <f t="shared" si="656"/>
        <v>0</v>
      </c>
      <c r="P382" s="51">
        <f t="shared" si="657"/>
        <v>0</v>
      </c>
      <c r="Q382" s="51">
        <f t="shared" si="658"/>
        <v>0</v>
      </c>
      <c r="R382" s="52">
        <f t="shared" si="659"/>
        <v>0</v>
      </c>
      <c r="S382" s="52">
        <f t="shared" si="660"/>
        <v>0</v>
      </c>
      <c r="T382" s="52">
        <f t="shared" si="661"/>
        <v>0</v>
      </c>
      <c r="U382" s="369">
        <f t="shared" si="662"/>
        <v>0</v>
      </c>
      <c r="V382" s="369">
        <f t="shared" si="663"/>
        <v>0</v>
      </c>
      <c r="W382" s="369">
        <f t="shared" si="664"/>
        <v>0</v>
      </c>
      <c r="X382" s="53">
        <f t="shared" si="617"/>
        <v>0</v>
      </c>
      <c r="Y382" s="53">
        <f t="shared" si="618"/>
        <v>0</v>
      </c>
      <c r="Z382" s="53">
        <f t="shared" si="515"/>
        <v>0</v>
      </c>
      <c r="AA382" s="148"/>
      <c r="AB382" s="148"/>
      <c r="AC382" s="148"/>
      <c r="AD382" s="148"/>
      <c r="AE382" s="132"/>
      <c r="AF382" s="132"/>
      <c r="AG382" s="132"/>
      <c r="AH382" s="132"/>
      <c r="AI382" s="148"/>
      <c r="AJ382" s="148"/>
      <c r="AK382" s="148"/>
      <c r="AL382" s="148"/>
      <c r="AM382" s="148"/>
      <c r="AN382" s="148"/>
      <c r="AO382" s="148"/>
      <c r="AP382" s="148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48"/>
      <c r="BD382" s="148"/>
      <c r="BE382" s="148"/>
      <c r="BF382" s="148"/>
      <c r="BG382" s="148"/>
      <c r="BH382" s="148"/>
      <c r="BI382" s="148"/>
      <c r="BJ382" s="148"/>
      <c r="BK382" s="148"/>
      <c r="BL382" s="148"/>
      <c r="BM382" s="148"/>
      <c r="BN382" s="54">
        <f t="shared" si="665"/>
        <v>0</v>
      </c>
      <c r="BO382" s="58">
        <f t="shared" si="666"/>
        <v>0</v>
      </c>
      <c r="BP382" s="54">
        <f t="shared" si="667"/>
        <v>0</v>
      </c>
      <c r="BQ382" s="54">
        <f t="shared" si="668"/>
        <v>0</v>
      </c>
      <c r="BR382" s="54">
        <f t="shared" si="669"/>
        <v>0</v>
      </c>
      <c r="BS382" s="54">
        <f t="shared" si="670"/>
        <v>0</v>
      </c>
      <c r="BT382" s="54">
        <f t="shared" si="671"/>
        <v>0</v>
      </c>
      <c r="BU382" s="54">
        <f t="shared" si="672"/>
        <v>0</v>
      </c>
      <c r="BV382" s="54">
        <f t="shared" si="673"/>
        <v>0</v>
      </c>
      <c r="BW382" s="54">
        <f t="shared" si="674"/>
        <v>0</v>
      </c>
      <c r="BX382" s="1"/>
      <c r="BY382" s="1"/>
      <c r="BZ382" s="1"/>
      <c r="CA382" s="1"/>
      <c r="CB382" s="1"/>
      <c r="CC382" s="1"/>
      <c r="CD382" s="1"/>
      <c r="CE382" s="1"/>
      <c r="CF382" s="1"/>
      <c r="CG382" s="1"/>
    </row>
    <row r="383" spans="1:85" ht="15.75" customHeight="1">
      <c r="A383" s="56"/>
      <c r="B383" s="426"/>
      <c r="C383" s="394" t="s">
        <v>738</v>
      </c>
      <c r="D383" s="44" t="s">
        <v>739</v>
      </c>
      <c r="E383" s="45">
        <v>20000</v>
      </c>
      <c r="F383" s="57">
        <v>20000</v>
      </c>
      <c r="G383" s="46">
        <f>E383-F383</f>
        <v>0</v>
      </c>
      <c r="H383" s="46"/>
      <c r="I383" s="47">
        <f t="shared" si="652"/>
        <v>0</v>
      </c>
      <c r="J383" s="47">
        <f t="shared" si="653"/>
        <v>0</v>
      </c>
      <c r="K383" s="146"/>
      <c r="L383" s="149"/>
      <c r="M383" s="148"/>
      <c r="N383" s="147"/>
      <c r="O383" s="51">
        <f t="shared" si="656"/>
        <v>0</v>
      </c>
      <c r="P383" s="51">
        <f t="shared" si="657"/>
        <v>0</v>
      </c>
      <c r="Q383" s="51">
        <f t="shared" si="658"/>
        <v>0</v>
      </c>
      <c r="R383" s="52">
        <f t="shared" si="659"/>
        <v>0</v>
      </c>
      <c r="S383" s="52">
        <f t="shared" si="660"/>
        <v>0</v>
      </c>
      <c r="T383" s="52">
        <f t="shared" si="661"/>
        <v>0</v>
      </c>
      <c r="U383" s="369">
        <f t="shared" si="662"/>
        <v>0</v>
      </c>
      <c r="V383" s="369">
        <f t="shared" si="663"/>
        <v>0</v>
      </c>
      <c r="W383" s="369">
        <f t="shared" si="664"/>
        <v>0</v>
      </c>
      <c r="X383" s="53">
        <f t="shared" si="617"/>
        <v>0</v>
      </c>
      <c r="Y383" s="53">
        <f t="shared" si="618"/>
        <v>0</v>
      </c>
      <c r="Z383" s="53">
        <f t="shared" si="515"/>
        <v>0</v>
      </c>
      <c r="AA383" s="148"/>
      <c r="AB383" s="148"/>
      <c r="AC383" s="148"/>
      <c r="AD383" s="148"/>
      <c r="AE383" s="132"/>
      <c r="AF383" s="132"/>
      <c r="AG383" s="132"/>
      <c r="AH383" s="132"/>
      <c r="AI383" s="148"/>
      <c r="AJ383" s="148"/>
      <c r="AK383" s="148"/>
      <c r="AL383" s="148"/>
      <c r="AM383" s="148"/>
      <c r="AN383" s="148"/>
      <c r="AO383" s="148"/>
      <c r="AP383" s="148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48"/>
      <c r="BD383" s="148"/>
      <c r="BE383" s="148"/>
      <c r="BF383" s="148"/>
      <c r="BG383" s="148"/>
      <c r="BH383" s="148"/>
      <c r="BI383" s="148"/>
      <c r="BJ383" s="148"/>
      <c r="BK383" s="148"/>
      <c r="BL383" s="148"/>
      <c r="BM383" s="148"/>
      <c r="BN383" s="54">
        <f t="shared" si="665"/>
        <v>0</v>
      </c>
      <c r="BO383" s="58">
        <f t="shared" si="666"/>
        <v>0</v>
      </c>
      <c r="BP383" s="54">
        <f t="shared" si="667"/>
        <v>0</v>
      </c>
      <c r="BQ383" s="54">
        <f t="shared" si="668"/>
        <v>0</v>
      </c>
      <c r="BR383" s="54">
        <f t="shared" si="669"/>
        <v>0</v>
      </c>
      <c r="BS383" s="54">
        <f t="shared" si="670"/>
        <v>0</v>
      </c>
      <c r="BT383" s="54">
        <f t="shared" si="671"/>
        <v>0</v>
      </c>
      <c r="BU383" s="54">
        <f t="shared" si="672"/>
        <v>0</v>
      </c>
      <c r="BV383" s="54">
        <f t="shared" si="673"/>
        <v>0</v>
      </c>
      <c r="BW383" s="54">
        <f t="shared" si="674"/>
        <v>0</v>
      </c>
      <c r="BX383" s="1"/>
      <c r="BY383" s="1"/>
      <c r="BZ383" s="1"/>
      <c r="CA383" s="1"/>
      <c r="CB383" s="1"/>
      <c r="CC383" s="1"/>
      <c r="CD383" s="1"/>
      <c r="CE383" s="1"/>
      <c r="CF383" s="1"/>
      <c r="CG383" s="1"/>
    </row>
    <row r="384" spans="1:85" ht="15.75" customHeight="1">
      <c r="A384" s="56"/>
      <c r="B384" s="426"/>
      <c r="C384" s="394" t="s">
        <v>166</v>
      </c>
      <c r="D384" s="90" t="s">
        <v>740</v>
      </c>
      <c r="E384" s="91">
        <v>2000</v>
      </c>
      <c r="F384" s="92"/>
      <c r="G384" s="46">
        <f>E384-F384</f>
        <v>2000</v>
      </c>
      <c r="H384" s="46"/>
      <c r="I384" s="47">
        <f t="shared" si="652"/>
        <v>0</v>
      </c>
      <c r="J384" s="47">
        <f t="shared" si="653"/>
        <v>0</v>
      </c>
      <c r="K384" s="146"/>
      <c r="L384" s="149"/>
      <c r="M384" s="148"/>
      <c r="N384" s="147"/>
      <c r="O384" s="51">
        <f t="shared" si="656"/>
        <v>0</v>
      </c>
      <c r="P384" s="51">
        <f t="shared" si="657"/>
        <v>0</v>
      </c>
      <c r="Q384" s="51">
        <f t="shared" si="658"/>
        <v>0</v>
      </c>
      <c r="R384" s="52">
        <f t="shared" si="659"/>
        <v>0</v>
      </c>
      <c r="S384" s="52">
        <f t="shared" si="660"/>
        <v>0</v>
      </c>
      <c r="T384" s="52">
        <f t="shared" si="661"/>
        <v>0</v>
      </c>
      <c r="U384" s="369">
        <f t="shared" si="662"/>
        <v>0</v>
      </c>
      <c r="V384" s="369">
        <f t="shared" si="663"/>
        <v>0</v>
      </c>
      <c r="W384" s="369">
        <f t="shared" si="664"/>
        <v>0</v>
      </c>
      <c r="X384" s="53">
        <f t="shared" si="617"/>
        <v>0</v>
      </c>
      <c r="Y384" s="53">
        <f t="shared" si="618"/>
        <v>0</v>
      </c>
      <c r="Z384" s="53">
        <f t="shared" si="515"/>
        <v>0</v>
      </c>
      <c r="AA384" s="148"/>
      <c r="AB384" s="148"/>
      <c r="AC384" s="148"/>
      <c r="AD384" s="148"/>
      <c r="AE384" s="132"/>
      <c r="AF384" s="132"/>
      <c r="AG384" s="132"/>
      <c r="AH384" s="132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8"/>
      <c r="BG384" s="148"/>
      <c r="BH384" s="148"/>
      <c r="BI384" s="148"/>
      <c r="BJ384" s="148"/>
      <c r="BK384" s="148"/>
      <c r="BL384" s="148"/>
      <c r="BM384" s="148"/>
      <c r="BN384" s="54">
        <f t="shared" si="665"/>
        <v>0</v>
      </c>
      <c r="BO384" s="58">
        <f t="shared" si="666"/>
        <v>0</v>
      </c>
      <c r="BP384" s="54">
        <f t="shared" si="667"/>
        <v>0</v>
      </c>
      <c r="BQ384" s="54">
        <f t="shared" si="668"/>
        <v>0</v>
      </c>
      <c r="BR384" s="54">
        <f t="shared" si="669"/>
        <v>0</v>
      </c>
      <c r="BS384" s="54">
        <f t="shared" si="670"/>
        <v>0</v>
      </c>
      <c r="BT384" s="54">
        <f t="shared" si="671"/>
        <v>0</v>
      </c>
      <c r="BU384" s="54">
        <f t="shared" si="672"/>
        <v>0</v>
      </c>
      <c r="BV384" s="54">
        <f t="shared" si="673"/>
        <v>0</v>
      </c>
      <c r="BW384" s="54">
        <f t="shared" si="674"/>
        <v>0</v>
      </c>
      <c r="BX384" s="1"/>
      <c r="BY384" s="1"/>
      <c r="BZ384" s="1"/>
      <c r="CA384" s="1"/>
      <c r="CB384" s="1"/>
      <c r="CC384" s="1"/>
      <c r="CD384" s="1"/>
      <c r="CE384" s="1"/>
      <c r="CF384" s="1"/>
      <c r="CG384" s="1"/>
    </row>
    <row r="385" spans="1:85" ht="15.75" customHeight="1">
      <c r="A385" s="43" t="s">
        <v>741</v>
      </c>
      <c r="B385" s="426"/>
      <c r="C385" s="394" t="s">
        <v>489</v>
      </c>
      <c r="D385" s="160" t="s">
        <v>742</v>
      </c>
      <c r="E385" s="91"/>
      <c r="F385" s="92"/>
      <c r="G385" s="46"/>
      <c r="H385" s="46"/>
      <c r="I385" s="47"/>
      <c r="J385" s="47"/>
      <c r="K385" s="202">
        <v>2931.2</v>
      </c>
      <c r="L385" s="149"/>
      <c r="M385" s="148"/>
      <c r="N385" s="147"/>
      <c r="O385" s="51">
        <f t="shared" si="656"/>
        <v>2931.2</v>
      </c>
      <c r="P385" s="51">
        <f t="shared" si="657"/>
        <v>0</v>
      </c>
      <c r="Q385" s="51">
        <f t="shared" si="658"/>
        <v>0</v>
      </c>
      <c r="R385" s="52">
        <f t="shared" si="659"/>
        <v>2931.2</v>
      </c>
      <c r="S385" s="52">
        <f t="shared" si="660"/>
        <v>0</v>
      </c>
      <c r="T385" s="52">
        <f t="shared" si="661"/>
        <v>0</v>
      </c>
      <c r="U385" s="369">
        <f t="shared" si="662"/>
        <v>0</v>
      </c>
      <c r="V385" s="369">
        <f t="shared" si="663"/>
        <v>0</v>
      </c>
      <c r="W385" s="369">
        <f t="shared" si="664"/>
        <v>0</v>
      </c>
      <c r="X385" s="53">
        <f t="shared" si="617"/>
        <v>1</v>
      </c>
      <c r="Y385" s="53">
        <f t="shared" si="618"/>
        <v>0</v>
      </c>
      <c r="Z385" s="53">
        <f t="shared" si="515"/>
        <v>0</v>
      </c>
      <c r="AA385" s="148"/>
      <c r="AB385" s="148"/>
      <c r="AC385" s="148"/>
      <c r="AD385" s="148"/>
      <c r="AE385" s="132"/>
      <c r="AF385" s="132"/>
      <c r="AG385" s="132"/>
      <c r="AH385" s="132"/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>
        <f>2931.2</f>
        <v>2931.2</v>
      </c>
      <c r="AZ385" s="148"/>
      <c r="BA385" s="148"/>
      <c r="BB385" s="148"/>
      <c r="BC385" s="148"/>
      <c r="BD385" s="148"/>
      <c r="BE385" s="148"/>
      <c r="BF385" s="148"/>
      <c r="BG385" s="148"/>
      <c r="BH385" s="148"/>
      <c r="BI385" s="148"/>
      <c r="BJ385" s="148"/>
      <c r="BK385" s="148"/>
      <c r="BL385" s="148"/>
      <c r="BM385" s="148"/>
      <c r="BN385" s="54">
        <f t="shared" si="665"/>
        <v>2931.2</v>
      </c>
      <c r="BO385" s="58">
        <f t="shared" si="666"/>
        <v>0</v>
      </c>
      <c r="BP385" s="54">
        <f t="shared" si="667"/>
        <v>2931.2</v>
      </c>
      <c r="BQ385" s="54">
        <f t="shared" si="668"/>
        <v>0</v>
      </c>
      <c r="BR385" s="54">
        <f t="shared" si="669"/>
        <v>0</v>
      </c>
      <c r="BS385" s="54">
        <f t="shared" si="670"/>
        <v>0</v>
      </c>
      <c r="BT385" s="54">
        <f t="shared" si="671"/>
        <v>0</v>
      </c>
      <c r="BU385" s="54">
        <f t="shared" si="672"/>
        <v>2931.2</v>
      </c>
      <c r="BV385" s="54">
        <f t="shared" si="673"/>
        <v>0</v>
      </c>
      <c r="BW385" s="54">
        <f t="shared" si="674"/>
        <v>2931.2</v>
      </c>
      <c r="BX385" s="1"/>
      <c r="BY385" s="1"/>
      <c r="BZ385" s="1"/>
      <c r="CA385" s="1"/>
      <c r="CB385" s="1"/>
      <c r="CC385" s="1"/>
      <c r="CD385" s="1"/>
      <c r="CE385" s="1"/>
      <c r="CF385" s="1"/>
      <c r="CG385" s="1"/>
    </row>
    <row r="386" spans="1:85" ht="15.75" customHeight="1">
      <c r="A386" s="56"/>
      <c r="B386" s="426"/>
      <c r="C386" s="394" t="s">
        <v>224</v>
      </c>
      <c r="D386" s="90" t="s">
        <v>743</v>
      </c>
      <c r="E386" s="91">
        <f>1000+4000</f>
        <v>5000</v>
      </c>
      <c r="F386" s="92">
        <v>0</v>
      </c>
      <c r="G386" s="46">
        <f>E386-F386</f>
        <v>5000</v>
      </c>
      <c r="H386" s="46"/>
      <c r="I386" s="47">
        <f>IF(G386&gt;0,K386/G386,0)</f>
        <v>0</v>
      </c>
      <c r="J386" s="47">
        <f>IF(G386&gt;0,O386/G386,0)</f>
        <v>0</v>
      </c>
      <c r="K386" s="146"/>
      <c r="L386" s="149"/>
      <c r="M386" s="148"/>
      <c r="N386" s="147"/>
      <c r="O386" s="51">
        <f t="shared" si="656"/>
        <v>0</v>
      </c>
      <c r="P386" s="51">
        <f t="shared" si="657"/>
        <v>0</v>
      </c>
      <c r="Q386" s="51">
        <f t="shared" si="658"/>
        <v>0</v>
      </c>
      <c r="R386" s="52">
        <f t="shared" si="659"/>
        <v>0</v>
      </c>
      <c r="S386" s="52">
        <f t="shared" si="660"/>
        <v>0</v>
      </c>
      <c r="T386" s="52">
        <f t="shared" si="661"/>
        <v>0</v>
      </c>
      <c r="U386" s="369">
        <f t="shared" si="662"/>
        <v>0</v>
      </c>
      <c r="V386" s="369">
        <f t="shared" si="663"/>
        <v>0</v>
      </c>
      <c r="W386" s="369">
        <f t="shared" si="664"/>
        <v>0</v>
      </c>
      <c r="X386" s="53">
        <f t="shared" si="617"/>
        <v>0</v>
      </c>
      <c r="Y386" s="53">
        <f t="shared" si="618"/>
        <v>0</v>
      </c>
      <c r="Z386" s="53">
        <f t="shared" si="515"/>
        <v>0</v>
      </c>
      <c r="AA386" s="148"/>
      <c r="AB386" s="148"/>
      <c r="AC386" s="148"/>
      <c r="AD386" s="148"/>
      <c r="AE386" s="132"/>
      <c r="AF386" s="132"/>
      <c r="AG386" s="132"/>
      <c r="AH386" s="132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  <c r="BI386" s="148"/>
      <c r="BJ386" s="148"/>
      <c r="BK386" s="148"/>
      <c r="BL386" s="148"/>
      <c r="BM386" s="148"/>
      <c r="BN386" s="54">
        <f t="shared" si="665"/>
        <v>0</v>
      </c>
      <c r="BO386" s="58">
        <f t="shared" si="666"/>
        <v>0</v>
      </c>
      <c r="BP386" s="54">
        <f t="shared" si="667"/>
        <v>0</v>
      </c>
      <c r="BQ386" s="54">
        <f t="shared" si="668"/>
        <v>0</v>
      </c>
      <c r="BR386" s="54">
        <f t="shared" si="669"/>
        <v>0</v>
      </c>
      <c r="BS386" s="54">
        <f t="shared" si="670"/>
        <v>0</v>
      </c>
      <c r="BT386" s="54">
        <f t="shared" si="671"/>
        <v>0</v>
      </c>
      <c r="BU386" s="54">
        <f t="shared" si="672"/>
        <v>0</v>
      </c>
      <c r="BV386" s="54">
        <f t="shared" si="673"/>
        <v>0</v>
      </c>
      <c r="BW386" s="54">
        <f t="shared" si="674"/>
        <v>0</v>
      </c>
      <c r="BX386" s="1"/>
      <c r="BY386" s="1"/>
      <c r="BZ386" s="1"/>
      <c r="CA386" s="1"/>
      <c r="CB386" s="1"/>
      <c r="CC386" s="1"/>
      <c r="CD386" s="1"/>
      <c r="CE386" s="1"/>
      <c r="CF386" s="1"/>
      <c r="CG386" s="1"/>
    </row>
    <row r="387" spans="1:85" ht="15.75" customHeight="1">
      <c r="A387" s="56"/>
      <c r="B387" s="426"/>
      <c r="C387" s="394" t="s">
        <v>122</v>
      </c>
      <c r="D387" s="44" t="s">
        <v>744</v>
      </c>
      <c r="E387" s="91">
        <v>2000</v>
      </c>
      <c r="F387" s="92"/>
      <c r="G387" s="46">
        <f>E387-F387</f>
        <v>2000</v>
      </c>
      <c r="H387" s="46"/>
      <c r="I387" s="47">
        <f>IF(G387&gt;0,K387/G387,0)</f>
        <v>0</v>
      </c>
      <c r="J387" s="47">
        <f>IF(G387&gt;0,O387/G387,0)</f>
        <v>0</v>
      </c>
      <c r="K387" s="146"/>
      <c r="L387" s="149"/>
      <c r="M387" s="148"/>
      <c r="N387" s="147"/>
      <c r="O387" s="51">
        <f t="shared" si="656"/>
        <v>0</v>
      </c>
      <c r="P387" s="51">
        <f t="shared" si="657"/>
        <v>0</v>
      </c>
      <c r="Q387" s="51">
        <f t="shared" si="658"/>
        <v>0</v>
      </c>
      <c r="R387" s="52">
        <f t="shared" si="659"/>
        <v>0</v>
      </c>
      <c r="S387" s="52">
        <f t="shared" si="660"/>
        <v>0</v>
      </c>
      <c r="T387" s="52">
        <f t="shared" si="661"/>
        <v>0</v>
      </c>
      <c r="U387" s="369">
        <f t="shared" si="662"/>
        <v>0</v>
      </c>
      <c r="V387" s="369">
        <f t="shared" si="663"/>
        <v>0</v>
      </c>
      <c r="W387" s="369">
        <f t="shared" si="664"/>
        <v>0</v>
      </c>
      <c r="X387" s="53">
        <f t="shared" si="617"/>
        <v>0</v>
      </c>
      <c r="Y387" s="53">
        <f t="shared" si="618"/>
        <v>0</v>
      </c>
      <c r="Z387" s="53">
        <f t="shared" si="515"/>
        <v>0</v>
      </c>
      <c r="AA387" s="148"/>
      <c r="AB387" s="148"/>
      <c r="AC387" s="148"/>
      <c r="AD387" s="148"/>
      <c r="AE387" s="132"/>
      <c r="AF387" s="132"/>
      <c r="AG387" s="132"/>
      <c r="AH387" s="132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  <c r="BI387" s="148"/>
      <c r="BJ387" s="148"/>
      <c r="BK387" s="148"/>
      <c r="BL387" s="148"/>
      <c r="BM387" s="148"/>
      <c r="BN387" s="54">
        <f t="shared" si="665"/>
        <v>0</v>
      </c>
      <c r="BO387" s="58">
        <f t="shared" si="666"/>
        <v>0</v>
      </c>
      <c r="BP387" s="54">
        <f t="shared" si="667"/>
        <v>0</v>
      </c>
      <c r="BQ387" s="54">
        <f t="shared" si="668"/>
        <v>0</v>
      </c>
      <c r="BR387" s="54">
        <f t="shared" si="669"/>
        <v>0</v>
      </c>
      <c r="BS387" s="54">
        <f t="shared" si="670"/>
        <v>0</v>
      </c>
      <c r="BT387" s="54">
        <f t="shared" si="671"/>
        <v>0</v>
      </c>
      <c r="BU387" s="54">
        <f t="shared" si="672"/>
        <v>0</v>
      </c>
      <c r="BV387" s="54">
        <f t="shared" si="673"/>
        <v>0</v>
      </c>
      <c r="BW387" s="54">
        <f t="shared" si="674"/>
        <v>0</v>
      </c>
      <c r="BX387" s="1"/>
      <c r="BY387" s="1"/>
      <c r="BZ387" s="1"/>
      <c r="CA387" s="1"/>
      <c r="CB387" s="1"/>
      <c r="CC387" s="1"/>
      <c r="CD387" s="1"/>
      <c r="CE387" s="1"/>
      <c r="CF387" s="1"/>
      <c r="CG387" s="1"/>
    </row>
    <row r="388" spans="1:85" ht="15.75" customHeight="1">
      <c r="A388" s="56"/>
      <c r="B388" s="426"/>
      <c r="C388" s="394" t="s">
        <v>122</v>
      </c>
      <c r="D388" s="44" t="s">
        <v>745</v>
      </c>
      <c r="E388" s="91">
        <f>1000+2000</f>
        <v>3000</v>
      </c>
      <c r="F388" s="92"/>
      <c r="G388" s="46">
        <f>E388-F388</f>
        <v>3000</v>
      </c>
      <c r="H388" s="46"/>
      <c r="I388" s="47">
        <f>IF(G388&gt;0,K388/G388,0)</f>
        <v>0</v>
      </c>
      <c r="J388" s="47">
        <f>IF(G388&gt;0,O388/G388,0)</f>
        <v>0</v>
      </c>
      <c r="K388" s="146"/>
      <c r="L388" s="149"/>
      <c r="M388" s="148"/>
      <c r="N388" s="147"/>
      <c r="O388" s="51">
        <f t="shared" si="656"/>
        <v>0</v>
      </c>
      <c r="P388" s="51">
        <f t="shared" si="657"/>
        <v>0</v>
      </c>
      <c r="Q388" s="51">
        <f t="shared" si="658"/>
        <v>0</v>
      </c>
      <c r="R388" s="52">
        <f t="shared" si="659"/>
        <v>0</v>
      </c>
      <c r="S388" s="52">
        <f t="shared" si="660"/>
        <v>0</v>
      </c>
      <c r="T388" s="52">
        <f t="shared" si="661"/>
        <v>0</v>
      </c>
      <c r="U388" s="369">
        <f t="shared" si="662"/>
        <v>0</v>
      </c>
      <c r="V388" s="369">
        <f t="shared" si="663"/>
        <v>0</v>
      </c>
      <c r="W388" s="369">
        <f t="shared" si="664"/>
        <v>0</v>
      </c>
      <c r="X388" s="53">
        <f t="shared" si="617"/>
        <v>0</v>
      </c>
      <c r="Y388" s="53">
        <f t="shared" si="618"/>
        <v>0</v>
      </c>
      <c r="Z388" s="53">
        <f t="shared" si="515"/>
        <v>0</v>
      </c>
      <c r="AA388" s="148"/>
      <c r="AB388" s="148"/>
      <c r="AC388" s="148"/>
      <c r="AD388" s="148"/>
      <c r="AE388" s="132"/>
      <c r="AF388" s="132"/>
      <c r="AG388" s="132"/>
      <c r="AH388" s="132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  <c r="BI388" s="148"/>
      <c r="BJ388" s="148"/>
      <c r="BK388" s="148"/>
      <c r="BL388" s="148"/>
      <c r="BM388" s="148"/>
      <c r="BN388" s="54">
        <f t="shared" si="665"/>
        <v>0</v>
      </c>
      <c r="BO388" s="58">
        <f t="shared" si="666"/>
        <v>0</v>
      </c>
      <c r="BP388" s="54">
        <f t="shared" si="667"/>
        <v>0</v>
      </c>
      <c r="BQ388" s="54">
        <f t="shared" si="668"/>
        <v>0</v>
      </c>
      <c r="BR388" s="54">
        <f t="shared" si="669"/>
        <v>0</v>
      </c>
      <c r="BS388" s="54">
        <f t="shared" si="670"/>
        <v>0</v>
      </c>
      <c r="BT388" s="54">
        <f t="shared" si="671"/>
        <v>0</v>
      </c>
      <c r="BU388" s="54">
        <f t="shared" si="672"/>
        <v>0</v>
      </c>
      <c r="BV388" s="54">
        <f t="shared" si="673"/>
        <v>0</v>
      </c>
      <c r="BW388" s="54">
        <f t="shared" si="674"/>
        <v>0</v>
      </c>
      <c r="BX388" s="1"/>
      <c r="BY388" s="1"/>
      <c r="BZ388" s="1"/>
      <c r="CA388" s="1"/>
      <c r="CB388" s="1"/>
      <c r="CC388" s="1"/>
      <c r="CD388" s="1"/>
      <c r="CE388" s="1"/>
      <c r="CF388" s="1"/>
      <c r="CG388" s="1"/>
    </row>
    <row r="389" spans="1:85" ht="15.75" customHeight="1">
      <c r="A389" s="56"/>
      <c r="B389" s="426"/>
      <c r="C389" s="394" t="s">
        <v>409</v>
      </c>
      <c r="D389" s="86" t="s">
        <v>746</v>
      </c>
      <c r="E389" s="45">
        <v>0</v>
      </c>
      <c r="F389" s="46"/>
      <c r="G389" s="46">
        <f>E389-F389</f>
        <v>0</v>
      </c>
      <c r="H389" s="46"/>
      <c r="I389" s="47">
        <f>IF(G389&gt;0,K389/G389,0)</f>
        <v>0</v>
      </c>
      <c r="J389" s="47">
        <f>IF(G389&gt;0,O389/G389,0)</f>
        <v>0</v>
      </c>
      <c r="K389" s="146"/>
      <c r="L389" s="149"/>
      <c r="M389" s="148"/>
      <c r="N389" s="147"/>
      <c r="O389" s="51">
        <f t="shared" si="656"/>
        <v>0</v>
      </c>
      <c r="P389" s="51">
        <f t="shared" si="657"/>
        <v>0</v>
      </c>
      <c r="Q389" s="51">
        <f t="shared" si="658"/>
        <v>0</v>
      </c>
      <c r="R389" s="52">
        <f t="shared" si="659"/>
        <v>0</v>
      </c>
      <c r="S389" s="52">
        <f t="shared" si="660"/>
        <v>0</v>
      </c>
      <c r="T389" s="52">
        <f t="shared" si="661"/>
        <v>0</v>
      </c>
      <c r="U389" s="369">
        <f t="shared" si="662"/>
        <v>0</v>
      </c>
      <c r="V389" s="369">
        <f t="shared" si="663"/>
        <v>0</v>
      </c>
      <c r="W389" s="369">
        <f t="shared" si="664"/>
        <v>0</v>
      </c>
      <c r="X389" s="53">
        <f t="shared" si="617"/>
        <v>0</v>
      </c>
      <c r="Y389" s="53">
        <f t="shared" si="618"/>
        <v>0</v>
      </c>
      <c r="Z389" s="53">
        <f t="shared" si="515"/>
        <v>0</v>
      </c>
      <c r="AA389" s="148"/>
      <c r="AB389" s="148"/>
      <c r="AC389" s="148"/>
      <c r="AD389" s="148"/>
      <c r="AE389" s="132"/>
      <c r="AF389" s="132"/>
      <c r="AG389" s="132"/>
      <c r="AH389" s="132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48"/>
      <c r="BJ389" s="148"/>
      <c r="BK389" s="148"/>
      <c r="BL389" s="148"/>
      <c r="BM389" s="148"/>
      <c r="BN389" s="54">
        <f t="shared" si="665"/>
        <v>0</v>
      </c>
      <c r="BO389" s="58">
        <f t="shared" si="666"/>
        <v>0</v>
      </c>
      <c r="BP389" s="54">
        <f t="shared" si="667"/>
        <v>0</v>
      </c>
      <c r="BQ389" s="54">
        <f t="shared" si="668"/>
        <v>0</v>
      </c>
      <c r="BR389" s="54">
        <f t="shared" si="669"/>
        <v>0</v>
      </c>
      <c r="BS389" s="54">
        <f t="shared" si="670"/>
        <v>0</v>
      </c>
      <c r="BT389" s="54">
        <f t="shared" si="671"/>
        <v>0</v>
      </c>
      <c r="BU389" s="54">
        <f t="shared" si="672"/>
        <v>0</v>
      </c>
      <c r="BV389" s="54">
        <f t="shared" si="673"/>
        <v>0</v>
      </c>
      <c r="BW389" s="54">
        <f t="shared" si="674"/>
        <v>0</v>
      </c>
      <c r="BX389" s="1"/>
      <c r="BY389" s="1"/>
      <c r="BZ389" s="1"/>
      <c r="CA389" s="1"/>
      <c r="CB389" s="1"/>
      <c r="CC389" s="1"/>
      <c r="CD389" s="1"/>
      <c r="CE389" s="1"/>
      <c r="CF389" s="1"/>
      <c r="CG389" s="1"/>
    </row>
    <row r="390" spans="1:85" ht="15.75" customHeight="1">
      <c r="A390" s="56"/>
      <c r="B390" s="426"/>
      <c r="C390" s="394" t="s">
        <v>747</v>
      </c>
      <c r="D390" s="90" t="s">
        <v>748</v>
      </c>
      <c r="E390" s="91">
        <v>10000</v>
      </c>
      <c r="F390" s="92">
        <v>0</v>
      </c>
      <c r="G390" s="46">
        <f>E390-F390</f>
        <v>10000</v>
      </c>
      <c r="H390" s="46"/>
      <c r="I390" s="47">
        <f>IF(G390&gt;0,K390/G390,0)</f>
        <v>0</v>
      </c>
      <c r="J390" s="47">
        <f>IF(G390&gt;0,O390/G390,0)</f>
        <v>0</v>
      </c>
      <c r="K390" s="146"/>
      <c r="L390" s="149"/>
      <c r="M390" s="148"/>
      <c r="N390" s="147"/>
      <c r="O390" s="51">
        <f t="shared" si="656"/>
        <v>0</v>
      </c>
      <c r="P390" s="51">
        <f t="shared" si="657"/>
        <v>0</v>
      </c>
      <c r="Q390" s="51">
        <f t="shared" si="658"/>
        <v>0</v>
      </c>
      <c r="R390" s="52">
        <f t="shared" si="659"/>
        <v>0</v>
      </c>
      <c r="S390" s="52">
        <f t="shared" si="660"/>
        <v>0</v>
      </c>
      <c r="T390" s="52">
        <f t="shared" si="661"/>
        <v>0</v>
      </c>
      <c r="U390" s="369">
        <f t="shared" si="662"/>
        <v>0</v>
      </c>
      <c r="V390" s="369">
        <f t="shared" si="663"/>
        <v>0</v>
      </c>
      <c r="W390" s="369">
        <f t="shared" si="664"/>
        <v>0</v>
      </c>
      <c r="X390" s="53">
        <f t="shared" si="617"/>
        <v>0</v>
      </c>
      <c r="Y390" s="53">
        <f t="shared" si="618"/>
        <v>0</v>
      </c>
      <c r="Z390" s="53">
        <f t="shared" si="515"/>
        <v>0</v>
      </c>
      <c r="AA390" s="148"/>
      <c r="AB390" s="148"/>
      <c r="AC390" s="148"/>
      <c r="AD390" s="148"/>
      <c r="AE390" s="132"/>
      <c r="AF390" s="132"/>
      <c r="AG390" s="132"/>
      <c r="AH390" s="132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48"/>
      <c r="BJ390" s="148"/>
      <c r="BK390" s="148"/>
      <c r="BL390" s="148"/>
      <c r="BM390" s="148"/>
      <c r="BN390" s="54">
        <f t="shared" ref="BN390:BN396" si="675">IF(O390-BK390&gt;0,O390-BK390,0)</f>
        <v>0</v>
      </c>
      <c r="BO390" s="58">
        <f t="shared" ref="BO390:BO396" si="676">IF(Q390-BM390&gt;0,Q390-BM390,0)</f>
        <v>0</v>
      </c>
      <c r="BP390" s="54">
        <f t="shared" ref="BP390:BP396" si="677">IF(BN390+BO390&gt;0,BN390+BO390,0)</f>
        <v>0</v>
      </c>
      <c r="BQ390" s="54">
        <f t="shared" ref="BQ390:BQ396" si="678">IF(U390=0,0,U390)</f>
        <v>0</v>
      </c>
      <c r="BR390" s="54">
        <f t="shared" ref="BR390:BR396" si="679">IF(W390=0,0,W390)</f>
        <v>0</v>
      </c>
      <c r="BS390" s="54">
        <f t="shared" ref="BS390:BS396" si="680">IF(BQ390+BR390&gt;0,BQ390+BR390,0)</f>
        <v>0</v>
      </c>
      <c r="BT390" s="54">
        <f t="shared" ref="BT390:BT396" si="681">IF(V390&gt;0,V390,0)</f>
        <v>0</v>
      </c>
      <c r="BU390" s="54">
        <f t="shared" ref="BU390:BU396" si="682">IF(BP390=0,0,BP390)</f>
        <v>0</v>
      </c>
      <c r="BV390" s="54">
        <f t="shared" ref="BV390:BV396" si="683">IF(BS390=0,0,BS390)</f>
        <v>0</v>
      </c>
      <c r="BW390" s="54">
        <f t="shared" ref="BW390:BW396" si="684">IF(BP390+BT390&gt;0,BP390+BT390,0)</f>
        <v>0</v>
      </c>
      <c r="BX390" s="1"/>
      <c r="BY390" s="1"/>
      <c r="BZ390" s="1"/>
      <c r="CA390" s="1"/>
      <c r="CB390" s="1"/>
      <c r="CC390" s="1"/>
      <c r="CD390" s="1"/>
      <c r="CE390" s="1"/>
      <c r="CF390" s="1"/>
      <c r="CG390" s="1"/>
    </row>
    <row r="391" spans="1:85" ht="15.75" customHeight="1">
      <c r="A391" s="43" t="s">
        <v>749</v>
      </c>
      <c r="B391" s="426"/>
      <c r="C391" s="394" t="s">
        <v>240</v>
      </c>
      <c r="D391" s="208" t="s">
        <v>750</v>
      </c>
      <c r="E391" s="104"/>
      <c r="F391" s="209"/>
      <c r="G391" s="46"/>
      <c r="H391" s="46"/>
      <c r="I391" s="47"/>
      <c r="J391" s="47"/>
      <c r="K391" s="202">
        <v>3500</v>
      </c>
      <c r="L391" s="149"/>
      <c r="M391" s="148"/>
      <c r="N391" s="147"/>
      <c r="O391" s="51">
        <f t="shared" si="656"/>
        <v>3500</v>
      </c>
      <c r="P391" s="51">
        <f t="shared" si="657"/>
        <v>0</v>
      </c>
      <c r="Q391" s="51">
        <f t="shared" si="658"/>
        <v>0</v>
      </c>
      <c r="R391" s="52">
        <f t="shared" si="659"/>
        <v>3500</v>
      </c>
      <c r="S391" s="52">
        <f t="shared" si="660"/>
        <v>0</v>
      </c>
      <c r="T391" s="52">
        <f t="shared" si="661"/>
        <v>0</v>
      </c>
      <c r="U391" s="369">
        <f t="shared" si="662"/>
        <v>0</v>
      </c>
      <c r="V391" s="369">
        <f t="shared" si="663"/>
        <v>0</v>
      </c>
      <c r="W391" s="369">
        <f t="shared" si="664"/>
        <v>0</v>
      </c>
      <c r="X391" s="53">
        <f t="shared" si="617"/>
        <v>1</v>
      </c>
      <c r="Y391" s="53">
        <f t="shared" si="618"/>
        <v>0</v>
      </c>
      <c r="Z391" s="53">
        <f t="shared" si="515"/>
        <v>0</v>
      </c>
      <c r="AA391" s="148"/>
      <c r="AB391" s="148"/>
      <c r="AC391" s="148"/>
      <c r="AD391" s="148"/>
      <c r="AE391" s="132"/>
      <c r="AF391" s="132"/>
      <c r="AG391" s="132"/>
      <c r="AH391" s="132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52">
        <v>3500</v>
      </c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148"/>
      <c r="BN391" s="54">
        <f t="shared" si="675"/>
        <v>3500</v>
      </c>
      <c r="BO391" s="58">
        <f t="shared" si="676"/>
        <v>0</v>
      </c>
      <c r="BP391" s="54">
        <f t="shared" si="677"/>
        <v>3500</v>
      </c>
      <c r="BQ391" s="54">
        <f t="shared" si="678"/>
        <v>0</v>
      </c>
      <c r="BR391" s="54">
        <f t="shared" si="679"/>
        <v>0</v>
      </c>
      <c r="BS391" s="54">
        <f t="shared" si="680"/>
        <v>0</v>
      </c>
      <c r="BT391" s="54">
        <f t="shared" si="681"/>
        <v>0</v>
      </c>
      <c r="BU391" s="54">
        <f t="shared" si="682"/>
        <v>3500</v>
      </c>
      <c r="BV391" s="54">
        <f t="shared" si="683"/>
        <v>0</v>
      </c>
      <c r="BW391" s="54">
        <f t="shared" si="684"/>
        <v>3500</v>
      </c>
      <c r="BX391" s="1"/>
      <c r="BY391" s="1"/>
      <c r="BZ391" s="1"/>
      <c r="CA391" s="1"/>
      <c r="CB391" s="1"/>
      <c r="CC391" s="1"/>
      <c r="CD391" s="1"/>
      <c r="CE391" s="1"/>
      <c r="CF391" s="1"/>
      <c r="CG391" s="1"/>
    </row>
    <row r="392" spans="1:85" ht="15.75" customHeight="1">
      <c r="A392" s="43" t="s">
        <v>751</v>
      </c>
      <c r="B392" s="426"/>
      <c r="C392" s="394" t="s">
        <v>240</v>
      </c>
      <c r="D392" s="208" t="s">
        <v>752</v>
      </c>
      <c r="E392" s="104"/>
      <c r="F392" s="209"/>
      <c r="G392" s="46"/>
      <c r="H392" s="46"/>
      <c r="I392" s="47"/>
      <c r="J392" s="47"/>
      <c r="K392" s="202">
        <v>31680</v>
      </c>
      <c r="L392" s="149"/>
      <c r="M392" s="148"/>
      <c r="N392" s="147"/>
      <c r="O392" s="51">
        <f t="shared" si="656"/>
        <v>0</v>
      </c>
      <c r="P392" s="51">
        <f t="shared" si="657"/>
        <v>0</v>
      </c>
      <c r="Q392" s="51">
        <f t="shared" si="658"/>
        <v>0</v>
      </c>
      <c r="R392" s="52">
        <f t="shared" si="659"/>
        <v>0</v>
      </c>
      <c r="S392" s="52">
        <f t="shared" si="660"/>
        <v>0</v>
      </c>
      <c r="T392" s="52">
        <f t="shared" si="661"/>
        <v>0</v>
      </c>
      <c r="U392" s="369">
        <f t="shared" si="662"/>
        <v>31680</v>
      </c>
      <c r="V392" s="369">
        <f t="shared" si="663"/>
        <v>0</v>
      </c>
      <c r="W392" s="369">
        <f t="shared" si="664"/>
        <v>0</v>
      </c>
      <c r="X392" s="53">
        <f t="shared" si="617"/>
        <v>0</v>
      </c>
      <c r="Y392" s="53">
        <f t="shared" si="618"/>
        <v>0</v>
      </c>
      <c r="Z392" s="53">
        <f t="shared" si="515"/>
        <v>0</v>
      </c>
      <c r="AA392" s="148"/>
      <c r="AB392" s="148"/>
      <c r="AC392" s="148"/>
      <c r="AD392" s="148"/>
      <c r="AE392" s="132"/>
      <c r="AF392" s="132"/>
      <c r="AG392" s="132"/>
      <c r="AH392" s="132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48"/>
      <c r="BN392" s="54">
        <f t="shared" si="675"/>
        <v>0</v>
      </c>
      <c r="BO392" s="58">
        <f t="shared" si="676"/>
        <v>0</v>
      </c>
      <c r="BP392" s="54">
        <f t="shared" si="677"/>
        <v>0</v>
      </c>
      <c r="BQ392" s="54">
        <f t="shared" si="678"/>
        <v>31680</v>
      </c>
      <c r="BR392" s="54">
        <f t="shared" si="679"/>
        <v>0</v>
      </c>
      <c r="BS392" s="54">
        <f t="shared" si="680"/>
        <v>31680</v>
      </c>
      <c r="BT392" s="54">
        <f t="shared" si="681"/>
        <v>0</v>
      </c>
      <c r="BU392" s="54">
        <f t="shared" si="682"/>
        <v>0</v>
      </c>
      <c r="BV392" s="54">
        <f t="shared" si="683"/>
        <v>31680</v>
      </c>
      <c r="BW392" s="54">
        <f t="shared" si="684"/>
        <v>0</v>
      </c>
      <c r="BX392" s="1"/>
      <c r="BY392" s="1"/>
      <c r="BZ392" s="1"/>
      <c r="CA392" s="1"/>
      <c r="CB392" s="1"/>
      <c r="CC392" s="1"/>
      <c r="CD392" s="1"/>
      <c r="CE392" s="1"/>
      <c r="CF392" s="1"/>
      <c r="CG392" s="1"/>
    </row>
    <row r="393" spans="1:85" ht="15.75" customHeight="1">
      <c r="A393" s="56"/>
      <c r="B393" s="426"/>
      <c r="C393" s="394" t="s">
        <v>272</v>
      </c>
      <c r="D393" s="86" t="s">
        <v>753</v>
      </c>
      <c r="E393" s="45">
        <v>100000</v>
      </c>
      <c r="F393" s="57">
        <v>100000</v>
      </c>
      <c r="G393" s="46">
        <f>E393-F393</f>
        <v>0</v>
      </c>
      <c r="H393" s="46"/>
      <c r="I393" s="47">
        <f t="shared" ref="I393:I402" si="685">IF(G393&gt;0,K393/G393,0)</f>
        <v>0</v>
      </c>
      <c r="J393" s="47">
        <f t="shared" ref="J393:J402" si="686">IF(G393&gt;0,O393/G393,0)</f>
        <v>0</v>
      </c>
      <c r="K393" s="146"/>
      <c r="L393" s="149"/>
      <c r="M393" s="148"/>
      <c r="N393" s="147"/>
      <c r="O393" s="51">
        <f t="shared" si="656"/>
        <v>0</v>
      </c>
      <c r="P393" s="51">
        <f t="shared" si="657"/>
        <v>0</v>
      </c>
      <c r="Q393" s="51">
        <f t="shared" si="658"/>
        <v>0</v>
      </c>
      <c r="R393" s="52">
        <f t="shared" si="659"/>
        <v>0</v>
      </c>
      <c r="S393" s="52">
        <f t="shared" si="660"/>
        <v>0</v>
      </c>
      <c r="T393" s="52">
        <f t="shared" si="661"/>
        <v>0</v>
      </c>
      <c r="U393" s="369">
        <f t="shared" si="662"/>
        <v>0</v>
      </c>
      <c r="V393" s="369">
        <f t="shared" si="663"/>
        <v>0</v>
      </c>
      <c r="W393" s="369">
        <f t="shared" si="664"/>
        <v>0</v>
      </c>
      <c r="X393" s="53">
        <f t="shared" si="617"/>
        <v>0</v>
      </c>
      <c r="Y393" s="53">
        <f t="shared" si="618"/>
        <v>0</v>
      </c>
      <c r="Z393" s="53">
        <f t="shared" si="515"/>
        <v>0</v>
      </c>
      <c r="AA393" s="148"/>
      <c r="AB393" s="148"/>
      <c r="AC393" s="148"/>
      <c r="AD393" s="148"/>
      <c r="AE393" s="132"/>
      <c r="AF393" s="132"/>
      <c r="AG393" s="132"/>
      <c r="AH393" s="132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48"/>
      <c r="BN393" s="54">
        <f t="shared" si="675"/>
        <v>0</v>
      </c>
      <c r="BO393" s="58">
        <f t="shared" si="676"/>
        <v>0</v>
      </c>
      <c r="BP393" s="54">
        <f t="shared" si="677"/>
        <v>0</v>
      </c>
      <c r="BQ393" s="54">
        <f t="shared" si="678"/>
        <v>0</v>
      </c>
      <c r="BR393" s="54">
        <f t="shared" si="679"/>
        <v>0</v>
      </c>
      <c r="BS393" s="54">
        <f t="shared" si="680"/>
        <v>0</v>
      </c>
      <c r="BT393" s="54">
        <f t="shared" si="681"/>
        <v>0</v>
      </c>
      <c r="BU393" s="54">
        <f t="shared" si="682"/>
        <v>0</v>
      </c>
      <c r="BV393" s="54">
        <f t="shared" si="683"/>
        <v>0</v>
      </c>
      <c r="BW393" s="54">
        <f t="shared" si="684"/>
        <v>0</v>
      </c>
      <c r="BX393" s="1"/>
      <c r="BY393" s="1"/>
      <c r="BZ393" s="1"/>
      <c r="CA393" s="1"/>
      <c r="CB393" s="1"/>
      <c r="CC393" s="1"/>
      <c r="CD393" s="1"/>
      <c r="CE393" s="1"/>
      <c r="CF393" s="1"/>
      <c r="CG393" s="1"/>
    </row>
    <row r="394" spans="1:85" ht="15.75" customHeight="1">
      <c r="A394" s="56"/>
      <c r="B394" s="426"/>
      <c r="C394" s="394" t="s">
        <v>565</v>
      </c>
      <c r="D394" s="90" t="s">
        <v>754</v>
      </c>
      <c r="E394" s="91">
        <v>10000</v>
      </c>
      <c r="F394" s="92"/>
      <c r="G394" s="46">
        <f>E394-F394</f>
        <v>10000</v>
      </c>
      <c r="H394" s="46"/>
      <c r="I394" s="47">
        <f t="shared" si="685"/>
        <v>0</v>
      </c>
      <c r="J394" s="47">
        <f t="shared" si="686"/>
        <v>0</v>
      </c>
      <c r="K394" s="146"/>
      <c r="L394" s="149"/>
      <c r="M394" s="148"/>
      <c r="N394" s="147"/>
      <c r="O394" s="51">
        <f t="shared" si="656"/>
        <v>0</v>
      </c>
      <c r="P394" s="51">
        <f t="shared" si="657"/>
        <v>0</v>
      </c>
      <c r="Q394" s="51">
        <f t="shared" si="658"/>
        <v>0</v>
      </c>
      <c r="R394" s="52">
        <f t="shared" si="659"/>
        <v>0</v>
      </c>
      <c r="S394" s="52">
        <f t="shared" si="660"/>
        <v>0</v>
      </c>
      <c r="T394" s="52">
        <f t="shared" si="661"/>
        <v>0</v>
      </c>
      <c r="U394" s="369">
        <f t="shared" si="662"/>
        <v>0</v>
      </c>
      <c r="V394" s="369">
        <f t="shared" si="663"/>
        <v>0</v>
      </c>
      <c r="W394" s="369">
        <f t="shared" si="664"/>
        <v>0</v>
      </c>
      <c r="X394" s="53">
        <f t="shared" si="617"/>
        <v>0</v>
      </c>
      <c r="Y394" s="53">
        <f t="shared" si="618"/>
        <v>0</v>
      </c>
      <c r="Z394" s="53">
        <f t="shared" si="515"/>
        <v>0</v>
      </c>
      <c r="AA394" s="148"/>
      <c r="AB394" s="148"/>
      <c r="AC394" s="148"/>
      <c r="AD394" s="148"/>
      <c r="AE394" s="132"/>
      <c r="AF394" s="132"/>
      <c r="AG394" s="132"/>
      <c r="AH394" s="132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148"/>
      <c r="BN394" s="54">
        <f t="shared" si="675"/>
        <v>0</v>
      </c>
      <c r="BO394" s="58">
        <f t="shared" si="676"/>
        <v>0</v>
      </c>
      <c r="BP394" s="54">
        <f t="shared" si="677"/>
        <v>0</v>
      </c>
      <c r="BQ394" s="54">
        <f t="shared" si="678"/>
        <v>0</v>
      </c>
      <c r="BR394" s="54">
        <f t="shared" si="679"/>
        <v>0</v>
      </c>
      <c r="BS394" s="54">
        <f t="shared" si="680"/>
        <v>0</v>
      </c>
      <c r="BT394" s="54">
        <f t="shared" si="681"/>
        <v>0</v>
      </c>
      <c r="BU394" s="54">
        <f t="shared" si="682"/>
        <v>0</v>
      </c>
      <c r="BV394" s="54">
        <f t="shared" si="683"/>
        <v>0</v>
      </c>
      <c r="BW394" s="54">
        <f t="shared" si="684"/>
        <v>0</v>
      </c>
      <c r="BX394" s="1"/>
      <c r="BY394" s="1"/>
      <c r="BZ394" s="1"/>
      <c r="CA394" s="1"/>
      <c r="CB394" s="1"/>
      <c r="CC394" s="1"/>
      <c r="CD394" s="1"/>
      <c r="CE394" s="1"/>
      <c r="CF394" s="1"/>
      <c r="CG394" s="1"/>
    </row>
    <row r="395" spans="1:85" ht="15.75" customHeight="1">
      <c r="A395" s="56"/>
      <c r="B395" s="426"/>
      <c r="C395" s="394" t="s">
        <v>755</v>
      </c>
      <c r="D395" s="90" t="s">
        <v>756</v>
      </c>
      <c r="E395" s="91">
        <v>10000</v>
      </c>
      <c r="F395" s="92"/>
      <c r="G395" s="46">
        <f>E395-F395</f>
        <v>10000</v>
      </c>
      <c r="H395" s="46"/>
      <c r="I395" s="47">
        <f t="shared" si="685"/>
        <v>0</v>
      </c>
      <c r="J395" s="47">
        <f t="shared" si="686"/>
        <v>0</v>
      </c>
      <c r="K395" s="146"/>
      <c r="L395" s="149"/>
      <c r="M395" s="148"/>
      <c r="N395" s="147"/>
      <c r="O395" s="51">
        <f t="shared" si="656"/>
        <v>0</v>
      </c>
      <c r="P395" s="51">
        <f t="shared" si="657"/>
        <v>0</v>
      </c>
      <c r="Q395" s="51">
        <f t="shared" si="658"/>
        <v>0</v>
      </c>
      <c r="R395" s="52">
        <f t="shared" si="659"/>
        <v>0</v>
      </c>
      <c r="S395" s="52">
        <f t="shared" si="660"/>
        <v>0</v>
      </c>
      <c r="T395" s="52">
        <f t="shared" si="661"/>
        <v>0</v>
      </c>
      <c r="U395" s="369">
        <f t="shared" si="662"/>
        <v>0</v>
      </c>
      <c r="V395" s="369">
        <f t="shared" si="663"/>
        <v>0</v>
      </c>
      <c r="W395" s="369">
        <f t="shared" si="664"/>
        <v>0</v>
      </c>
      <c r="X395" s="53">
        <f t="shared" si="617"/>
        <v>0</v>
      </c>
      <c r="Y395" s="53">
        <f t="shared" si="618"/>
        <v>0</v>
      </c>
      <c r="Z395" s="53">
        <f t="shared" si="515"/>
        <v>0</v>
      </c>
      <c r="AA395" s="148"/>
      <c r="AB395" s="148"/>
      <c r="AC395" s="148"/>
      <c r="AD395" s="148"/>
      <c r="AE395" s="132"/>
      <c r="AF395" s="132"/>
      <c r="AG395" s="132"/>
      <c r="AH395" s="132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148"/>
      <c r="BN395" s="54">
        <f t="shared" si="675"/>
        <v>0</v>
      </c>
      <c r="BO395" s="58">
        <f t="shared" si="676"/>
        <v>0</v>
      </c>
      <c r="BP395" s="54">
        <f t="shared" si="677"/>
        <v>0</v>
      </c>
      <c r="BQ395" s="54">
        <f t="shared" si="678"/>
        <v>0</v>
      </c>
      <c r="BR395" s="54">
        <f t="shared" si="679"/>
        <v>0</v>
      </c>
      <c r="BS395" s="54">
        <f t="shared" si="680"/>
        <v>0</v>
      </c>
      <c r="BT395" s="54">
        <f t="shared" si="681"/>
        <v>0</v>
      </c>
      <c r="BU395" s="54">
        <f t="shared" si="682"/>
        <v>0</v>
      </c>
      <c r="BV395" s="54">
        <f t="shared" si="683"/>
        <v>0</v>
      </c>
      <c r="BW395" s="54">
        <f t="shared" si="684"/>
        <v>0</v>
      </c>
      <c r="BX395" s="1"/>
      <c r="BY395" s="1"/>
      <c r="BZ395" s="1"/>
      <c r="CA395" s="1"/>
      <c r="CB395" s="1"/>
      <c r="CC395" s="1"/>
      <c r="CD395" s="1"/>
      <c r="CE395" s="1"/>
      <c r="CF395" s="1"/>
      <c r="CG395" s="1"/>
    </row>
    <row r="396" spans="1:85" ht="15.75" customHeight="1">
      <c r="A396" s="56"/>
      <c r="B396" s="426"/>
      <c r="C396" s="394" t="s">
        <v>290</v>
      </c>
      <c r="D396" s="44" t="s">
        <v>291</v>
      </c>
      <c r="E396" s="45">
        <v>10000</v>
      </c>
      <c r="F396" s="46"/>
      <c r="G396" s="46">
        <f>E396-F396</f>
        <v>10000</v>
      </c>
      <c r="H396" s="46"/>
      <c r="I396" s="47">
        <f t="shared" si="685"/>
        <v>0</v>
      </c>
      <c r="J396" s="47">
        <f t="shared" si="686"/>
        <v>0</v>
      </c>
      <c r="K396" s="146"/>
      <c r="L396" s="149"/>
      <c r="M396" s="148"/>
      <c r="N396" s="147"/>
      <c r="O396" s="51">
        <f t="shared" si="656"/>
        <v>0</v>
      </c>
      <c r="P396" s="51">
        <f t="shared" si="657"/>
        <v>0</v>
      </c>
      <c r="Q396" s="51">
        <f t="shared" si="658"/>
        <v>0</v>
      </c>
      <c r="R396" s="52">
        <f t="shared" si="659"/>
        <v>0</v>
      </c>
      <c r="S396" s="52">
        <f t="shared" si="660"/>
        <v>0</v>
      </c>
      <c r="T396" s="52">
        <f t="shared" si="661"/>
        <v>0</v>
      </c>
      <c r="U396" s="369">
        <f t="shared" si="662"/>
        <v>0</v>
      </c>
      <c r="V396" s="369">
        <f t="shared" si="663"/>
        <v>0</v>
      </c>
      <c r="W396" s="369">
        <f t="shared" si="664"/>
        <v>0</v>
      </c>
      <c r="X396" s="53">
        <f t="shared" si="617"/>
        <v>0</v>
      </c>
      <c r="Y396" s="53">
        <f t="shared" si="618"/>
        <v>0</v>
      </c>
      <c r="Z396" s="53">
        <f t="shared" si="515"/>
        <v>0</v>
      </c>
      <c r="AA396" s="148"/>
      <c r="AB396" s="148"/>
      <c r="AC396" s="148"/>
      <c r="AD396" s="148"/>
      <c r="AE396" s="132"/>
      <c r="AF396" s="132"/>
      <c r="AG396" s="132"/>
      <c r="AH396" s="132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148"/>
      <c r="BN396" s="54">
        <f t="shared" si="675"/>
        <v>0</v>
      </c>
      <c r="BO396" s="58">
        <f t="shared" si="676"/>
        <v>0</v>
      </c>
      <c r="BP396" s="54">
        <f t="shared" si="677"/>
        <v>0</v>
      </c>
      <c r="BQ396" s="54">
        <f t="shared" si="678"/>
        <v>0</v>
      </c>
      <c r="BR396" s="54">
        <f t="shared" si="679"/>
        <v>0</v>
      </c>
      <c r="BS396" s="54">
        <f t="shared" si="680"/>
        <v>0</v>
      </c>
      <c r="BT396" s="54">
        <f t="shared" si="681"/>
        <v>0</v>
      </c>
      <c r="BU396" s="54">
        <f t="shared" si="682"/>
        <v>0</v>
      </c>
      <c r="BV396" s="54">
        <f t="shared" si="683"/>
        <v>0</v>
      </c>
      <c r="BW396" s="54">
        <f t="shared" si="684"/>
        <v>0</v>
      </c>
      <c r="BX396" s="1"/>
      <c r="BY396" s="1"/>
      <c r="BZ396" s="1"/>
      <c r="CA396" s="1"/>
      <c r="CB396" s="1"/>
      <c r="CC396" s="1"/>
      <c r="CD396" s="1"/>
      <c r="CE396" s="1"/>
      <c r="CF396" s="1"/>
      <c r="CG396" s="1"/>
    </row>
    <row r="397" spans="1:85" ht="15.75" customHeight="1">
      <c r="A397" s="182"/>
      <c r="B397" s="446"/>
      <c r="C397" s="404"/>
      <c r="D397" s="183" t="s">
        <v>757</v>
      </c>
      <c r="E397" s="184">
        <f>SUM(E398:E472)</f>
        <v>961100</v>
      </c>
      <c r="F397" s="185">
        <f>SUM(F398:F472)</f>
        <v>0</v>
      </c>
      <c r="G397" s="185">
        <f>SUM(G398:G472)</f>
        <v>961100</v>
      </c>
      <c r="H397" s="185">
        <f>SUM(H398:H472)</f>
        <v>570000</v>
      </c>
      <c r="I397" s="114">
        <f t="shared" si="685"/>
        <v>1.0963425762147541</v>
      </c>
      <c r="J397" s="114">
        <f t="shared" si="686"/>
        <v>0.7314976589324732</v>
      </c>
      <c r="K397" s="185">
        <f t="shared" ref="K397:W397" si="687">SUM(K398:K472)</f>
        <v>1053694.8500000001</v>
      </c>
      <c r="L397" s="185">
        <f t="shared" si="687"/>
        <v>184840.27999999997</v>
      </c>
      <c r="M397" s="185">
        <f t="shared" si="687"/>
        <v>1096.6400000000001</v>
      </c>
      <c r="N397" s="185">
        <f t="shared" si="687"/>
        <v>0</v>
      </c>
      <c r="O397" s="185">
        <f t="shared" si="687"/>
        <v>703042.4</v>
      </c>
      <c r="P397" s="185">
        <f t="shared" si="687"/>
        <v>167986.24</v>
      </c>
      <c r="Q397" s="185">
        <f t="shared" si="687"/>
        <v>0</v>
      </c>
      <c r="R397" s="185">
        <f t="shared" si="687"/>
        <v>703042.4</v>
      </c>
      <c r="S397" s="185">
        <f t="shared" si="687"/>
        <v>167986.24</v>
      </c>
      <c r="T397" s="185">
        <f t="shared" si="687"/>
        <v>0</v>
      </c>
      <c r="U397" s="376">
        <f t="shared" si="687"/>
        <v>350652.45</v>
      </c>
      <c r="V397" s="376">
        <f t="shared" si="687"/>
        <v>15757.4</v>
      </c>
      <c r="W397" s="376">
        <f t="shared" si="687"/>
        <v>0</v>
      </c>
      <c r="X397" s="115">
        <f t="shared" si="617"/>
        <v>0.6672163197912564</v>
      </c>
      <c r="Y397" s="115">
        <f t="shared" si="618"/>
        <v>0.9088183592883543</v>
      </c>
      <c r="Z397" s="115">
        <f t="shared" si="515"/>
        <v>0</v>
      </c>
      <c r="AA397" s="185">
        <f t="shared" ref="AA397:BW397" si="688">SUM(AA398:AA472)</f>
        <v>0</v>
      </c>
      <c r="AB397" s="185">
        <f t="shared" si="688"/>
        <v>96787.5</v>
      </c>
      <c r="AC397" s="185">
        <f t="shared" si="688"/>
        <v>0</v>
      </c>
      <c r="AD397" s="185">
        <f t="shared" si="688"/>
        <v>11279.15</v>
      </c>
      <c r="AE397" s="185">
        <f t="shared" si="688"/>
        <v>10703.24</v>
      </c>
      <c r="AF397" s="185">
        <f t="shared" si="688"/>
        <v>0</v>
      </c>
      <c r="AG397" s="185">
        <f t="shared" si="688"/>
        <v>126733.01999999999</v>
      </c>
      <c r="AH397" s="185">
        <f t="shared" si="688"/>
        <v>39224</v>
      </c>
      <c r="AI397" s="185">
        <f t="shared" si="688"/>
        <v>0</v>
      </c>
      <c r="AJ397" s="185">
        <f t="shared" si="688"/>
        <v>55674.000000000007</v>
      </c>
      <c r="AK397" s="185">
        <f t="shared" si="688"/>
        <v>0</v>
      </c>
      <c r="AL397" s="185">
        <f t="shared" si="688"/>
        <v>0</v>
      </c>
      <c r="AM397" s="185">
        <f t="shared" si="688"/>
        <v>99888.81</v>
      </c>
      <c r="AN397" s="185">
        <f t="shared" si="688"/>
        <v>115</v>
      </c>
      <c r="AO397" s="185">
        <f t="shared" si="688"/>
        <v>0</v>
      </c>
      <c r="AP397" s="185">
        <f t="shared" si="688"/>
        <v>121798.98</v>
      </c>
      <c r="AQ397" s="185">
        <f t="shared" si="688"/>
        <v>1431.5</v>
      </c>
      <c r="AR397" s="185">
        <f t="shared" si="688"/>
        <v>0</v>
      </c>
      <c r="AS397" s="185">
        <f t="shared" si="688"/>
        <v>66916.34</v>
      </c>
      <c r="AT397" s="185">
        <f t="shared" si="688"/>
        <v>14952.5</v>
      </c>
      <c r="AU397" s="185">
        <f t="shared" si="688"/>
        <v>0</v>
      </c>
      <c r="AV397" s="185">
        <f t="shared" si="688"/>
        <v>142205.19</v>
      </c>
      <c r="AW397" s="185">
        <f t="shared" si="688"/>
        <v>4772.5</v>
      </c>
      <c r="AX397" s="185">
        <f t="shared" si="688"/>
        <v>0</v>
      </c>
      <c r="AY397" s="185">
        <f t="shared" si="688"/>
        <v>78546.91</v>
      </c>
      <c r="AZ397" s="185">
        <f t="shared" si="688"/>
        <v>0</v>
      </c>
      <c r="BA397" s="185">
        <f t="shared" si="688"/>
        <v>0</v>
      </c>
      <c r="BB397" s="185">
        <f t="shared" si="688"/>
        <v>0</v>
      </c>
      <c r="BC397" s="185">
        <f t="shared" si="688"/>
        <v>0</v>
      </c>
      <c r="BD397" s="185">
        <f t="shared" si="688"/>
        <v>0</v>
      </c>
      <c r="BE397" s="185">
        <f t="shared" si="688"/>
        <v>0</v>
      </c>
      <c r="BF397" s="185">
        <f t="shared" si="688"/>
        <v>0</v>
      </c>
      <c r="BG397" s="185">
        <f t="shared" si="688"/>
        <v>0</v>
      </c>
      <c r="BH397" s="185">
        <f t="shared" si="688"/>
        <v>0</v>
      </c>
      <c r="BI397" s="185">
        <f t="shared" si="688"/>
        <v>0</v>
      </c>
      <c r="BJ397" s="185">
        <f t="shared" si="688"/>
        <v>0</v>
      </c>
      <c r="BK397" s="185">
        <f t="shared" si="688"/>
        <v>0</v>
      </c>
      <c r="BL397" s="185">
        <f t="shared" si="688"/>
        <v>0</v>
      </c>
      <c r="BM397" s="185">
        <f t="shared" si="688"/>
        <v>0</v>
      </c>
      <c r="BN397" s="185">
        <f t="shared" si="688"/>
        <v>703042.4</v>
      </c>
      <c r="BO397" s="185">
        <f t="shared" si="688"/>
        <v>0</v>
      </c>
      <c r="BP397" s="185">
        <f>SUM(BP398:BP472)</f>
        <v>703042.4</v>
      </c>
      <c r="BQ397" s="185">
        <f t="shared" si="688"/>
        <v>350652.45</v>
      </c>
      <c r="BR397" s="185">
        <f t="shared" si="688"/>
        <v>0</v>
      </c>
      <c r="BS397" s="185">
        <f t="shared" si="688"/>
        <v>350652.45</v>
      </c>
      <c r="BT397" s="185">
        <f t="shared" si="688"/>
        <v>15757.4</v>
      </c>
      <c r="BU397" s="185">
        <f t="shared" si="688"/>
        <v>703042.4</v>
      </c>
      <c r="BV397" s="185">
        <f t="shared" si="688"/>
        <v>350652.45</v>
      </c>
      <c r="BW397" s="185">
        <f t="shared" si="688"/>
        <v>718799.8</v>
      </c>
      <c r="BX397" s="1"/>
      <c r="BY397" s="1"/>
      <c r="BZ397" s="1"/>
      <c r="CA397" s="1"/>
      <c r="CB397" s="1"/>
      <c r="CC397" s="1"/>
      <c r="CD397" s="1"/>
      <c r="CE397" s="1"/>
      <c r="CF397" s="1"/>
      <c r="CG397" s="1"/>
    </row>
    <row r="398" spans="1:85" ht="15.75" customHeight="1">
      <c r="A398" s="56"/>
      <c r="B398" s="426"/>
      <c r="C398" s="394" t="s">
        <v>117</v>
      </c>
      <c r="D398" s="44" t="s">
        <v>118</v>
      </c>
      <c r="E398" s="45">
        <v>4000</v>
      </c>
      <c r="F398" s="46"/>
      <c r="G398" s="46">
        <f>E398-F398</f>
        <v>4000</v>
      </c>
      <c r="H398" s="46"/>
      <c r="I398" s="47">
        <f t="shared" si="685"/>
        <v>0</v>
      </c>
      <c r="J398" s="47">
        <f t="shared" si="686"/>
        <v>0</v>
      </c>
      <c r="K398" s="146"/>
      <c r="L398" s="149"/>
      <c r="M398" s="148"/>
      <c r="N398" s="147"/>
      <c r="O398" s="51">
        <f t="shared" ref="O398:O429" si="689">AA398+AD398+AG398+AJ398+AM398+AP398+AS398+AV398+AY398+BB398+BE398+BH398</f>
        <v>0</v>
      </c>
      <c r="P398" s="51">
        <f t="shared" ref="P398:P429" si="690">AB398+AE398+AH398+AK398+AN398+AQ398+AT398+AW398+AZ398+BC398+BF398+BI398</f>
        <v>0</v>
      </c>
      <c r="Q398" s="51">
        <f t="shared" ref="Q398:Q429" si="691">AC398+AF398+AI398+AL398+AO398+AR398+AU398+AX398+BA398+BD398+BG398+BJ398</f>
        <v>0</v>
      </c>
      <c r="R398" s="52">
        <f t="shared" ref="R398:R429" si="692">IF(BK398=0,SUM(AA398+AD398+AG398+AJ398+AM398+AP398+AS398+AV398+AY398+BB398+BE398+BH398),BK398)</f>
        <v>0</v>
      </c>
      <c r="S398" s="52">
        <f t="shared" ref="S398:S429" si="693">IF(BL398=0,SUM(AB398+AE398+AH398+AK398+AN398+AQ398+AT398+AW398+AZ398+BC398+BF398+BI398),BL398)</f>
        <v>0</v>
      </c>
      <c r="T398" s="52">
        <f t="shared" ref="T398:T429" si="694">IF(BM398=0,SUM(AC398+AF398+AI398+AL398+AO398+AR398+AU398+AX398+BA398+BD398+BG398+BJ398),BM398)</f>
        <v>0</v>
      </c>
      <c r="U398" s="369">
        <f t="shared" ref="U398:U472" si="695">K398-O398</f>
        <v>0</v>
      </c>
      <c r="V398" s="369">
        <f t="shared" ref="V398:V472" si="696">L398-P398-M398</f>
        <v>0</v>
      </c>
      <c r="W398" s="369">
        <f t="shared" ref="W398:W472" si="697">N398-Q398</f>
        <v>0</v>
      </c>
      <c r="X398" s="53">
        <f t="shared" si="617"/>
        <v>0</v>
      </c>
      <c r="Y398" s="53">
        <f t="shared" si="618"/>
        <v>0</v>
      </c>
      <c r="Z398" s="53">
        <f t="shared" si="515"/>
        <v>0</v>
      </c>
      <c r="AA398" s="148"/>
      <c r="AB398" s="148"/>
      <c r="AC398" s="148"/>
      <c r="AD398" s="148"/>
      <c r="AE398" s="132"/>
      <c r="AF398" s="132"/>
      <c r="AG398" s="132"/>
      <c r="AH398" s="132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48"/>
      <c r="BJ398" s="148"/>
      <c r="BK398" s="148"/>
      <c r="BL398" s="148"/>
      <c r="BM398" s="148"/>
      <c r="BN398" s="54">
        <f t="shared" ref="BN398:BN414" si="698">IF(O398-BK398&gt;0,O398-BK398,0)</f>
        <v>0</v>
      </c>
      <c r="BO398" s="58">
        <f t="shared" ref="BO398:BO414" si="699">IF(Q398-BM398&gt;0,Q398-BM398,0)</f>
        <v>0</v>
      </c>
      <c r="BP398" s="54">
        <f t="shared" ref="BP398:BP414" si="700">IF(BN398+BO398&gt;0,BN398+BO398,0)</f>
        <v>0</v>
      </c>
      <c r="BQ398" s="54">
        <f t="shared" ref="BQ398:BQ414" si="701">IF(U398=0,0,U398)</f>
        <v>0</v>
      </c>
      <c r="BR398" s="54">
        <f t="shared" ref="BR398:BR414" si="702">IF(W398=0,0,W398)</f>
        <v>0</v>
      </c>
      <c r="BS398" s="54">
        <f t="shared" ref="BS398:BS414" si="703">IF(BQ398+BR398&gt;0,BQ398+BR398,0)</f>
        <v>0</v>
      </c>
      <c r="BT398" s="54">
        <f t="shared" ref="BT398:BT414" si="704">IF(V398&gt;0,V398,0)</f>
        <v>0</v>
      </c>
      <c r="BU398" s="54">
        <f t="shared" ref="BU398:BU414" si="705">IF(BP398=0,0,BP398)</f>
        <v>0</v>
      </c>
      <c r="BV398" s="54">
        <f t="shared" ref="BV398:BV414" si="706">IF(BS398=0,0,BS398)</f>
        <v>0</v>
      </c>
      <c r="BW398" s="54">
        <f t="shared" ref="BW398:BW414" si="707">IF(BP398+BT398&gt;0,BP398+BT398,0)</f>
        <v>0</v>
      </c>
      <c r="BX398" s="1"/>
      <c r="BY398" s="1"/>
      <c r="BZ398" s="1"/>
      <c r="CA398" s="1"/>
      <c r="CB398" s="1"/>
      <c r="CC398" s="1"/>
      <c r="CD398" s="1"/>
      <c r="CE398" s="1"/>
      <c r="CF398" s="1"/>
      <c r="CG398" s="1"/>
    </row>
    <row r="399" spans="1:85" ht="15.75" customHeight="1">
      <c r="A399" s="43" t="s">
        <v>758</v>
      </c>
      <c r="B399" s="426"/>
      <c r="C399" s="394" t="s">
        <v>704</v>
      </c>
      <c r="D399" s="77" t="s">
        <v>705</v>
      </c>
      <c r="E399" s="104"/>
      <c r="F399" s="105"/>
      <c r="G399" s="46">
        <f>E399-F399</f>
        <v>0</v>
      </c>
      <c r="H399" s="46"/>
      <c r="I399" s="47">
        <f t="shared" si="685"/>
        <v>0</v>
      </c>
      <c r="J399" s="47">
        <f t="shared" si="686"/>
        <v>0</v>
      </c>
      <c r="K399" s="202">
        <f>14000-10000</f>
        <v>4000</v>
      </c>
      <c r="L399" s="146"/>
      <c r="M399" s="148"/>
      <c r="N399" s="148"/>
      <c r="O399" s="51">
        <f t="shared" si="689"/>
        <v>1960</v>
      </c>
      <c r="P399" s="51">
        <f t="shared" si="690"/>
        <v>0</v>
      </c>
      <c r="Q399" s="51">
        <f t="shared" si="691"/>
        <v>0</v>
      </c>
      <c r="R399" s="52">
        <f t="shared" si="692"/>
        <v>1960</v>
      </c>
      <c r="S399" s="52">
        <f t="shared" si="693"/>
        <v>0</v>
      </c>
      <c r="T399" s="52">
        <f t="shared" si="694"/>
        <v>0</v>
      </c>
      <c r="U399" s="368">
        <f t="shared" si="695"/>
        <v>2040</v>
      </c>
      <c r="V399" s="369">
        <f t="shared" si="696"/>
        <v>0</v>
      </c>
      <c r="W399" s="369">
        <f t="shared" si="697"/>
        <v>0</v>
      </c>
      <c r="X399" s="53">
        <f t="shared" ref="X399:X430" si="708">IF(O399&gt;0,O399/K399,0)</f>
        <v>0.49</v>
      </c>
      <c r="Y399" s="53">
        <f t="shared" ref="Y399:Y430" si="709">IF(P399&gt;0,P399/L399,0)</f>
        <v>0</v>
      </c>
      <c r="Z399" s="53">
        <f t="shared" si="515"/>
        <v>0</v>
      </c>
      <c r="AA399" s="148"/>
      <c r="AB399" s="148"/>
      <c r="AC399" s="148"/>
      <c r="AD399" s="152"/>
      <c r="AE399" s="132"/>
      <c r="AF399" s="132"/>
      <c r="AG399" s="134"/>
      <c r="AH399" s="132"/>
      <c r="AI399" s="148"/>
      <c r="AJ399" s="148"/>
      <c r="AK399" s="148"/>
      <c r="AL399" s="148"/>
      <c r="AM399" s="148"/>
      <c r="AN399" s="148"/>
      <c r="AO399" s="148"/>
      <c r="AP399" s="148">
        <f>590+980+390</f>
        <v>1960</v>
      </c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48"/>
      <c r="BJ399" s="148"/>
      <c r="BK399" s="148"/>
      <c r="BL399" s="148"/>
      <c r="BM399" s="148"/>
      <c r="BN399" s="54">
        <f t="shared" si="698"/>
        <v>1960</v>
      </c>
      <c r="BO399" s="58">
        <f t="shared" si="699"/>
        <v>0</v>
      </c>
      <c r="BP399" s="54">
        <f t="shared" si="700"/>
        <v>1960</v>
      </c>
      <c r="BQ399" s="54">
        <f t="shared" si="701"/>
        <v>2040</v>
      </c>
      <c r="BR399" s="54">
        <f t="shared" si="702"/>
        <v>0</v>
      </c>
      <c r="BS399" s="54">
        <f t="shared" si="703"/>
        <v>2040</v>
      </c>
      <c r="BT399" s="54">
        <f t="shared" si="704"/>
        <v>0</v>
      </c>
      <c r="BU399" s="54">
        <f t="shared" si="705"/>
        <v>1960</v>
      </c>
      <c r="BV399" s="54">
        <f t="shared" si="706"/>
        <v>2040</v>
      </c>
      <c r="BW399" s="54">
        <f t="shared" si="707"/>
        <v>1960</v>
      </c>
      <c r="BX399" s="1"/>
      <c r="BY399" s="1"/>
      <c r="BZ399" s="1"/>
      <c r="CA399" s="1"/>
      <c r="CB399" s="1"/>
      <c r="CC399" s="1"/>
      <c r="CD399" s="1"/>
      <c r="CE399" s="1"/>
      <c r="CF399" s="1"/>
      <c r="CG399" s="1"/>
    </row>
    <row r="400" spans="1:85" ht="15.75" customHeight="1">
      <c r="A400" s="43" t="s">
        <v>759</v>
      </c>
      <c r="B400" s="426"/>
      <c r="C400" s="394" t="s">
        <v>127</v>
      </c>
      <c r="D400" s="73" t="s">
        <v>760</v>
      </c>
      <c r="E400" s="91"/>
      <c r="F400" s="92"/>
      <c r="G400" s="46">
        <f>E400-F400</f>
        <v>0</v>
      </c>
      <c r="H400" s="46"/>
      <c r="I400" s="47">
        <f t="shared" si="685"/>
        <v>0</v>
      </c>
      <c r="J400" s="47">
        <f t="shared" si="686"/>
        <v>0</v>
      </c>
      <c r="K400" s="202">
        <f>3000+3000+1000</f>
        <v>7000</v>
      </c>
      <c r="L400" s="146"/>
      <c r="M400" s="148"/>
      <c r="N400" s="148"/>
      <c r="O400" s="51">
        <f t="shared" si="689"/>
        <v>6300.2099999999991</v>
      </c>
      <c r="P400" s="51">
        <f t="shared" si="690"/>
        <v>0</v>
      </c>
      <c r="Q400" s="51">
        <f t="shared" si="691"/>
        <v>0</v>
      </c>
      <c r="R400" s="52">
        <f t="shared" si="692"/>
        <v>6300.2099999999991</v>
      </c>
      <c r="S400" s="52">
        <f t="shared" si="693"/>
        <v>0</v>
      </c>
      <c r="T400" s="52">
        <f t="shared" si="694"/>
        <v>0</v>
      </c>
      <c r="U400" s="368">
        <f t="shared" si="695"/>
        <v>699.79000000000087</v>
      </c>
      <c r="V400" s="369">
        <f t="shared" si="696"/>
        <v>0</v>
      </c>
      <c r="W400" s="369">
        <f t="shared" si="697"/>
        <v>0</v>
      </c>
      <c r="X400" s="53">
        <f t="shared" si="708"/>
        <v>0.90002999999999989</v>
      </c>
      <c r="Y400" s="53">
        <f t="shared" si="709"/>
        <v>0</v>
      </c>
      <c r="Z400" s="53">
        <f t="shared" si="515"/>
        <v>0</v>
      </c>
      <c r="AA400" s="148"/>
      <c r="AB400" s="148"/>
      <c r="AC400" s="148"/>
      <c r="AD400" s="152">
        <v>340</v>
      </c>
      <c r="AE400" s="132"/>
      <c r="AF400" s="132"/>
      <c r="AG400" s="134">
        <v>48.45</v>
      </c>
      <c r="AH400" s="132"/>
      <c r="AI400" s="148"/>
      <c r="AJ400" s="148">
        <f>167.5+880</f>
        <v>1047.5</v>
      </c>
      <c r="AK400" s="148"/>
      <c r="AL400" s="148"/>
      <c r="AM400" s="148">
        <f>805.5+680.7</f>
        <v>1486.2</v>
      </c>
      <c r="AN400" s="148"/>
      <c r="AO400" s="148"/>
      <c r="AP400" s="152">
        <v>986.44</v>
      </c>
      <c r="AQ400" s="148"/>
      <c r="AR400" s="148"/>
      <c r="AS400" s="148">
        <f>649.74+349.95+213.68+449.03</f>
        <v>1662.4</v>
      </c>
      <c r="AT400" s="148"/>
      <c r="AU400" s="148"/>
      <c r="AV400" s="148">
        <f>120.7+246</f>
        <v>366.7</v>
      </c>
      <c r="AW400" s="148"/>
      <c r="AX400" s="148"/>
      <c r="AY400" s="148">
        <f>-123.98+486.5</f>
        <v>362.52</v>
      </c>
      <c r="AZ400" s="148"/>
      <c r="BA400" s="148"/>
      <c r="BB400" s="148"/>
      <c r="BC400" s="148"/>
      <c r="BD400" s="148"/>
      <c r="BE400" s="148"/>
      <c r="BF400" s="148"/>
      <c r="BG400" s="148"/>
      <c r="BH400" s="148"/>
      <c r="BI400" s="148"/>
      <c r="BJ400" s="148"/>
      <c r="BK400" s="148"/>
      <c r="BL400" s="148"/>
      <c r="BM400" s="148"/>
      <c r="BN400" s="54">
        <f t="shared" si="698"/>
        <v>6300.2099999999991</v>
      </c>
      <c r="BO400" s="58">
        <f t="shared" si="699"/>
        <v>0</v>
      </c>
      <c r="BP400" s="54">
        <f t="shared" si="700"/>
        <v>6300.2099999999991</v>
      </c>
      <c r="BQ400" s="54">
        <f t="shared" si="701"/>
        <v>699.79000000000087</v>
      </c>
      <c r="BR400" s="54">
        <f t="shared" si="702"/>
        <v>0</v>
      </c>
      <c r="BS400" s="54">
        <f t="shared" si="703"/>
        <v>699.79000000000087</v>
      </c>
      <c r="BT400" s="54">
        <f t="shared" si="704"/>
        <v>0</v>
      </c>
      <c r="BU400" s="54">
        <f t="shared" si="705"/>
        <v>6300.2099999999991</v>
      </c>
      <c r="BV400" s="54">
        <f t="shared" si="706"/>
        <v>699.79000000000087</v>
      </c>
      <c r="BW400" s="54">
        <f t="shared" si="707"/>
        <v>6300.2099999999991</v>
      </c>
      <c r="BX400" s="1"/>
      <c r="BY400" s="1"/>
      <c r="BZ400" s="1"/>
      <c r="CA400" s="1"/>
      <c r="CB400" s="1"/>
      <c r="CC400" s="1"/>
      <c r="CD400" s="1"/>
      <c r="CE400" s="1"/>
      <c r="CF400" s="1"/>
      <c r="CG400" s="1"/>
    </row>
    <row r="401" spans="1:85" ht="15.75" customHeight="1">
      <c r="A401" s="56"/>
      <c r="B401" s="426"/>
      <c r="C401" s="394" t="s">
        <v>129</v>
      </c>
      <c r="D401" s="78" t="s">
        <v>555</v>
      </c>
      <c r="E401" s="91">
        <f>100000+15000</f>
        <v>115000</v>
      </c>
      <c r="F401" s="92"/>
      <c r="G401" s="46">
        <f>E401-F401</f>
        <v>115000</v>
      </c>
      <c r="H401" s="46"/>
      <c r="I401" s="47">
        <f t="shared" si="685"/>
        <v>0</v>
      </c>
      <c r="J401" s="47">
        <f t="shared" si="686"/>
        <v>0</v>
      </c>
      <c r="K401" s="146"/>
      <c r="L401" s="146"/>
      <c r="M401" s="148"/>
      <c r="N401" s="148"/>
      <c r="O401" s="51">
        <f t="shared" si="689"/>
        <v>0</v>
      </c>
      <c r="P401" s="51">
        <f t="shared" si="690"/>
        <v>0</v>
      </c>
      <c r="Q401" s="51">
        <f t="shared" si="691"/>
        <v>0</v>
      </c>
      <c r="R401" s="52">
        <f t="shared" si="692"/>
        <v>0</v>
      </c>
      <c r="S401" s="52">
        <f t="shared" si="693"/>
        <v>0</v>
      </c>
      <c r="T401" s="52">
        <f t="shared" si="694"/>
        <v>0</v>
      </c>
      <c r="U401" s="369">
        <f t="shared" si="695"/>
        <v>0</v>
      </c>
      <c r="V401" s="369">
        <f t="shared" si="696"/>
        <v>0</v>
      </c>
      <c r="W401" s="369">
        <f t="shared" si="697"/>
        <v>0</v>
      </c>
      <c r="X401" s="53">
        <f t="shared" si="708"/>
        <v>0</v>
      </c>
      <c r="Y401" s="53">
        <f t="shared" si="709"/>
        <v>0</v>
      </c>
      <c r="Z401" s="53">
        <f t="shared" si="515"/>
        <v>0</v>
      </c>
      <c r="AA401" s="148"/>
      <c r="AB401" s="148"/>
      <c r="AC401" s="148"/>
      <c r="AD401" s="148"/>
      <c r="AE401" s="132"/>
      <c r="AF401" s="132"/>
      <c r="AG401" s="132"/>
      <c r="AH401" s="132"/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  <c r="BI401" s="148"/>
      <c r="BJ401" s="148"/>
      <c r="BK401" s="148"/>
      <c r="BL401" s="148"/>
      <c r="BM401" s="148"/>
      <c r="BN401" s="54">
        <f t="shared" si="698"/>
        <v>0</v>
      </c>
      <c r="BO401" s="58">
        <f t="shared" si="699"/>
        <v>0</v>
      </c>
      <c r="BP401" s="54">
        <f t="shared" si="700"/>
        <v>0</v>
      </c>
      <c r="BQ401" s="54">
        <f t="shared" si="701"/>
        <v>0</v>
      </c>
      <c r="BR401" s="54">
        <f t="shared" si="702"/>
        <v>0</v>
      </c>
      <c r="BS401" s="54">
        <f t="shared" si="703"/>
        <v>0</v>
      </c>
      <c r="BT401" s="54">
        <f t="shared" si="704"/>
        <v>0</v>
      </c>
      <c r="BU401" s="54">
        <f t="shared" si="705"/>
        <v>0</v>
      </c>
      <c r="BV401" s="54">
        <f t="shared" si="706"/>
        <v>0</v>
      </c>
      <c r="BW401" s="54">
        <f t="shared" si="707"/>
        <v>0</v>
      </c>
      <c r="BX401" s="1"/>
      <c r="BY401" s="1"/>
      <c r="BZ401" s="1"/>
      <c r="CA401" s="1"/>
      <c r="CB401" s="1"/>
      <c r="CC401" s="1"/>
      <c r="CD401" s="1"/>
      <c r="CE401" s="1"/>
      <c r="CF401" s="1"/>
      <c r="CG401" s="1"/>
    </row>
    <row r="402" spans="1:85" ht="15.75" customHeight="1">
      <c r="A402" s="85" t="s">
        <v>761</v>
      </c>
      <c r="B402" s="426"/>
      <c r="C402" s="394" t="s">
        <v>131</v>
      </c>
      <c r="D402" s="78" t="s">
        <v>132</v>
      </c>
      <c r="E402" s="91">
        <v>30000</v>
      </c>
      <c r="F402" s="92"/>
      <c r="G402" s="46">
        <f>E402-F402</f>
        <v>30000</v>
      </c>
      <c r="H402" s="46"/>
      <c r="I402" s="47">
        <f t="shared" si="685"/>
        <v>0.16</v>
      </c>
      <c r="J402" s="47">
        <f t="shared" si="686"/>
        <v>5.6533333333333331E-2</v>
      </c>
      <c r="K402" s="202">
        <v>4800</v>
      </c>
      <c r="L402" s="146"/>
      <c r="M402" s="148"/>
      <c r="N402" s="148"/>
      <c r="O402" s="51">
        <f t="shared" si="689"/>
        <v>1696</v>
      </c>
      <c r="P402" s="51">
        <f t="shared" si="690"/>
        <v>0</v>
      </c>
      <c r="Q402" s="51">
        <f t="shared" si="691"/>
        <v>0</v>
      </c>
      <c r="R402" s="52">
        <f t="shared" si="692"/>
        <v>1696</v>
      </c>
      <c r="S402" s="52">
        <f t="shared" si="693"/>
        <v>0</v>
      </c>
      <c r="T402" s="52">
        <f t="shared" si="694"/>
        <v>0</v>
      </c>
      <c r="U402" s="368">
        <f t="shared" si="695"/>
        <v>3104</v>
      </c>
      <c r="V402" s="369">
        <f t="shared" si="696"/>
        <v>0</v>
      </c>
      <c r="W402" s="369">
        <f t="shared" si="697"/>
        <v>0</v>
      </c>
      <c r="X402" s="53">
        <f t="shared" si="708"/>
        <v>0.35333333333333333</v>
      </c>
      <c r="Y402" s="53">
        <f t="shared" si="709"/>
        <v>0</v>
      </c>
      <c r="Z402" s="53">
        <f t="shared" si="515"/>
        <v>0</v>
      </c>
      <c r="AA402" s="148"/>
      <c r="AB402" s="148"/>
      <c r="AC402" s="148"/>
      <c r="AD402" s="148"/>
      <c r="AE402" s="132"/>
      <c r="AF402" s="132"/>
      <c r="AG402" s="132"/>
      <c r="AH402" s="132"/>
      <c r="AI402" s="148"/>
      <c r="AJ402" s="152">
        <v>384</v>
      </c>
      <c r="AK402" s="148"/>
      <c r="AL402" s="148"/>
      <c r="AM402" s="152">
        <v>448</v>
      </c>
      <c r="AN402" s="148"/>
      <c r="AO402" s="148"/>
      <c r="AP402" s="148"/>
      <c r="AQ402" s="148"/>
      <c r="AR402" s="148"/>
      <c r="AS402" s="152">
        <v>448</v>
      </c>
      <c r="AT402" s="148"/>
      <c r="AU402" s="148"/>
      <c r="AV402" s="148"/>
      <c r="AW402" s="148"/>
      <c r="AX402" s="148"/>
      <c r="AY402" s="152">
        <v>416</v>
      </c>
      <c r="AZ402" s="148"/>
      <c r="BA402" s="148"/>
      <c r="BB402" s="148"/>
      <c r="BC402" s="148"/>
      <c r="BD402" s="148"/>
      <c r="BE402" s="148"/>
      <c r="BF402" s="148"/>
      <c r="BG402" s="148"/>
      <c r="BH402" s="148"/>
      <c r="BI402" s="148"/>
      <c r="BJ402" s="148"/>
      <c r="BK402" s="148"/>
      <c r="BL402" s="148"/>
      <c r="BM402" s="148"/>
      <c r="BN402" s="54">
        <f t="shared" si="698"/>
        <v>1696</v>
      </c>
      <c r="BO402" s="58">
        <f t="shared" si="699"/>
        <v>0</v>
      </c>
      <c r="BP402" s="54">
        <f t="shared" si="700"/>
        <v>1696</v>
      </c>
      <c r="BQ402" s="54">
        <f t="shared" si="701"/>
        <v>3104</v>
      </c>
      <c r="BR402" s="54">
        <f t="shared" si="702"/>
        <v>0</v>
      </c>
      <c r="BS402" s="54">
        <f t="shared" si="703"/>
        <v>3104</v>
      </c>
      <c r="BT402" s="54">
        <f t="shared" si="704"/>
        <v>0</v>
      </c>
      <c r="BU402" s="54">
        <f t="shared" si="705"/>
        <v>1696</v>
      </c>
      <c r="BV402" s="54">
        <f t="shared" si="706"/>
        <v>3104</v>
      </c>
      <c r="BW402" s="54">
        <f t="shared" si="707"/>
        <v>1696</v>
      </c>
      <c r="BX402" s="1"/>
      <c r="BY402" s="1"/>
      <c r="BZ402" s="1"/>
      <c r="CA402" s="1"/>
      <c r="CB402" s="1"/>
      <c r="CC402" s="1"/>
      <c r="CD402" s="1"/>
      <c r="CE402" s="1"/>
      <c r="CF402" s="1"/>
      <c r="CG402" s="1"/>
    </row>
    <row r="403" spans="1:85" ht="15.75" customHeight="1">
      <c r="A403" s="85" t="s">
        <v>762</v>
      </c>
      <c r="B403" s="426"/>
      <c r="C403" s="394" t="s">
        <v>131</v>
      </c>
      <c r="D403" s="82" t="s">
        <v>763</v>
      </c>
      <c r="E403" s="91"/>
      <c r="F403" s="92"/>
      <c r="G403" s="46"/>
      <c r="H403" s="46"/>
      <c r="I403" s="47"/>
      <c r="J403" s="47"/>
      <c r="K403" s="202">
        <v>8010</v>
      </c>
      <c r="L403" s="146"/>
      <c r="M403" s="148"/>
      <c r="N403" s="148"/>
      <c r="O403" s="51">
        <f t="shared" si="689"/>
        <v>8010</v>
      </c>
      <c r="P403" s="51">
        <f t="shared" si="690"/>
        <v>0</v>
      </c>
      <c r="Q403" s="51">
        <f t="shared" si="691"/>
        <v>0</v>
      </c>
      <c r="R403" s="52">
        <f t="shared" si="692"/>
        <v>8010</v>
      </c>
      <c r="S403" s="52">
        <f t="shared" si="693"/>
        <v>0</v>
      </c>
      <c r="T403" s="52">
        <f t="shared" si="694"/>
        <v>0</v>
      </c>
      <c r="U403" s="368">
        <f t="shared" si="695"/>
        <v>0</v>
      </c>
      <c r="V403" s="369">
        <f t="shared" si="696"/>
        <v>0</v>
      </c>
      <c r="W403" s="369">
        <f t="shared" si="697"/>
        <v>0</v>
      </c>
      <c r="X403" s="53">
        <f t="shared" si="708"/>
        <v>1</v>
      </c>
      <c r="Y403" s="53">
        <f t="shared" si="709"/>
        <v>0</v>
      </c>
      <c r="Z403" s="53">
        <f t="shared" si="515"/>
        <v>0</v>
      </c>
      <c r="AA403" s="148"/>
      <c r="AB403" s="148"/>
      <c r="AC403" s="148"/>
      <c r="AD403" s="148"/>
      <c r="AE403" s="132"/>
      <c r="AF403" s="132"/>
      <c r="AG403" s="132"/>
      <c r="AH403" s="132"/>
      <c r="AI403" s="148"/>
      <c r="AJ403" s="148"/>
      <c r="AK403" s="148"/>
      <c r="AL403" s="148"/>
      <c r="AM403" s="152"/>
      <c r="AN403" s="148"/>
      <c r="AO403" s="148"/>
      <c r="AP403" s="152"/>
      <c r="AQ403" s="148"/>
      <c r="AR403" s="148"/>
      <c r="AS403" s="148"/>
      <c r="AT403" s="148"/>
      <c r="AU403" s="148"/>
      <c r="AV403" s="148"/>
      <c r="AW403" s="148"/>
      <c r="AX403" s="148"/>
      <c r="AY403" s="152">
        <v>8010</v>
      </c>
      <c r="AZ403" s="148"/>
      <c r="BA403" s="148"/>
      <c r="BB403" s="148"/>
      <c r="BC403" s="148"/>
      <c r="BD403" s="148"/>
      <c r="BE403" s="148"/>
      <c r="BF403" s="148"/>
      <c r="BG403" s="148"/>
      <c r="BH403" s="148"/>
      <c r="BI403" s="148"/>
      <c r="BJ403" s="148"/>
      <c r="BK403" s="148"/>
      <c r="BL403" s="148"/>
      <c r="BM403" s="148"/>
      <c r="BN403" s="54">
        <f t="shared" si="698"/>
        <v>8010</v>
      </c>
      <c r="BO403" s="58">
        <f t="shared" si="699"/>
        <v>0</v>
      </c>
      <c r="BP403" s="54">
        <f t="shared" si="700"/>
        <v>8010</v>
      </c>
      <c r="BQ403" s="54">
        <f t="shared" si="701"/>
        <v>0</v>
      </c>
      <c r="BR403" s="54">
        <f t="shared" si="702"/>
        <v>0</v>
      </c>
      <c r="BS403" s="54">
        <f t="shared" si="703"/>
        <v>0</v>
      </c>
      <c r="BT403" s="54">
        <f t="shared" si="704"/>
        <v>0</v>
      </c>
      <c r="BU403" s="54">
        <f t="shared" si="705"/>
        <v>8010</v>
      </c>
      <c r="BV403" s="54">
        <f t="shared" si="706"/>
        <v>0</v>
      </c>
      <c r="BW403" s="54">
        <f t="shared" si="707"/>
        <v>8010</v>
      </c>
      <c r="BX403" s="1"/>
      <c r="BY403" s="1"/>
      <c r="BZ403" s="1"/>
      <c r="CA403" s="1"/>
      <c r="CB403" s="1"/>
      <c r="CC403" s="1"/>
      <c r="CD403" s="1"/>
      <c r="CE403" s="1"/>
      <c r="CF403" s="1"/>
      <c r="CG403" s="1"/>
    </row>
    <row r="404" spans="1:85" ht="15.75" customHeight="1">
      <c r="A404" s="43" t="s">
        <v>764</v>
      </c>
      <c r="B404" s="426"/>
      <c r="C404" s="394" t="s">
        <v>765</v>
      </c>
      <c r="D404" s="82" t="s">
        <v>766</v>
      </c>
      <c r="E404" s="91">
        <v>100000</v>
      </c>
      <c r="F404" s="92">
        <v>0</v>
      </c>
      <c r="G404" s="46">
        <f t="shared" ref="G404:G409" si="710">E404-F404</f>
        <v>100000</v>
      </c>
      <c r="H404" s="46"/>
      <c r="I404" s="47">
        <f t="shared" ref="I404:I409" si="711">IF(G404&gt;0,K404/G404,0)</f>
        <v>9.9747999999999989E-2</v>
      </c>
      <c r="J404" s="47">
        <f t="shared" ref="J404:J409" si="712">IF(G404&gt;0,O404/G404,0)</f>
        <v>9.9747999999999989E-2</v>
      </c>
      <c r="K404" s="202">
        <v>9974.7999999999993</v>
      </c>
      <c r="L404" s="146"/>
      <c r="M404" s="148"/>
      <c r="N404" s="148"/>
      <c r="O404" s="51">
        <f t="shared" si="689"/>
        <v>9974.7999999999993</v>
      </c>
      <c r="P404" s="51">
        <f t="shared" si="690"/>
        <v>0</v>
      </c>
      <c r="Q404" s="51">
        <f t="shared" si="691"/>
        <v>0</v>
      </c>
      <c r="R404" s="52">
        <f t="shared" si="692"/>
        <v>9974.7999999999993</v>
      </c>
      <c r="S404" s="52">
        <f t="shared" si="693"/>
        <v>0</v>
      </c>
      <c r="T404" s="52">
        <f t="shared" si="694"/>
        <v>0</v>
      </c>
      <c r="U404" s="369">
        <f t="shared" si="695"/>
        <v>0</v>
      </c>
      <c r="V404" s="369">
        <f t="shared" si="696"/>
        <v>0</v>
      </c>
      <c r="W404" s="369">
        <f t="shared" si="697"/>
        <v>0</v>
      </c>
      <c r="X404" s="53">
        <f t="shared" si="708"/>
        <v>1</v>
      </c>
      <c r="Y404" s="53">
        <f t="shared" si="709"/>
        <v>0</v>
      </c>
      <c r="Z404" s="53">
        <f t="shared" si="515"/>
        <v>0</v>
      </c>
      <c r="AA404" s="148"/>
      <c r="AB404" s="148"/>
      <c r="AC404" s="148"/>
      <c r="AD404" s="148"/>
      <c r="AE404" s="132"/>
      <c r="AF404" s="132"/>
      <c r="AG404" s="132"/>
      <c r="AH404" s="132"/>
      <c r="AI404" s="148"/>
      <c r="AJ404" s="148"/>
      <c r="AK404" s="148"/>
      <c r="AL404" s="148"/>
      <c r="AM404" s="152">
        <v>4980</v>
      </c>
      <c r="AN404" s="148"/>
      <c r="AO404" s="148"/>
      <c r="AP404" s="152">
        <v>4994.8</v>
      </c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8"/>
      <c r="BG404" s="148"/>
      <c r="BH404" s="148"/>
      <c r="BI404" s="148"/>
      <c r="BJ404" s="148"/>
      <c r="BK404" s="148"/>
      <c r="BL404" s="148"/>
      <c r="BM404" s="148"/>
      <c r="BN404" s="54">
        <f t="shared" si="698"/>
        <v>9974.7999999999993</v>
      </c>
      <c r="BO404" s="58">
        <f t="shared" si="699"/>
        <v>0</v>
      </c>
      <c r="BP404" s="54">
        <f t="shared" si="700"/>
        <v>9974.7999999999993</v>
      </c>
      <c r="BQ404" s="54">
        <f t="shared" si="701"/>
        <v>0</v>
      </c>
      <c r="BR404" s="54">
        <f t="shared" si="702"/>
        <v>0</v>
      </c>
      <c r="BS404" s="54">
        <f t="shared" si="703"/>
        <v>0</v>
      </c>
      <c r="BT404" s="54">
        <f t="shared" si="704"/>
        <v>0</v>
      </c>
      <c r="BU404" s="54">
        <f t="shared" si="705"/>
        <v>9974.7999999999993</v>
      </c>
      <c r="BV404" s="54">
        <f t="shared" si="706"/>
        <v>0</v>
      </c>
      <c r="BW404" s="54">
        <f t="shared" si="707"/>
        <v>9974.7999999999993</v>
      </c>
      <c r="BX404" s="1"/>
      <c r="BY404" s="1"/>
      <c r="BZ404" s="1"/>
      <c r="CA404" s="1"/>
      <c r="CB404" s="1"/>
      <c r="CC404" s="1"/>
      <c r="CD404" s="1"/>
      <c r="CE404" s="1"/>
      <c r="CF404" s="1"/>
      <c r="CG404" s="1"/>
    </row>
    <row r="405" spans="1:85" ht="15.75" customHeight="1">
      <c r="A405" s="81" t="s">
        <v>767</v>
      </c>
      <c r="B405" s="429" t="s">
        <v>768</v>
      </c>
      <c r="C405" s="394" t="s">
        <v>765</v>
      </c>
      <c r="D405" s="82" t="s">
        <v>769</v>
      </c>
      <c r="E405" s="91"/>
      <c r="F405" s="92"/>
      <c r="G405" s="46">
        <f t="shared" si="710"/>
        <v>0</v>
      </c>
      <c r="H405" s="46"/>
      <c r="I405" s="47">
        <f t="shared" si="711"/>
        <v>0</v>
      </c>
      <c r="J405" s="47">
        <f t="shared" si="712"/>
        <v>0</v>
      </c>
      <c r="K405" s="202">
        <f>952-952</f>
        <v>0</v>
      </c>
      <c r="L405" s="146">
        <v>4199.2</v>
      </c>
      <c r="M405" s="148"/>
      <c r="N405" s="148"/>
      <c r="O405" s="51">
        <f t="shared" si="689"/>
        <v>0</v>
      </c>
      <c r="P405" s="51">
        <f t="shared" si="690"/>
        <v>4199.2</v>
      </c>
      <c r="Q405" s="51">
        <f t="shared" si="691"/>
        <v>0</v>
      </c>
      <c r="R405" s="52">
        <f t="shared" si="692"/>
        <v>0</v>
      </c>
      <c r="S405" s="52">
        <f t="shared" si="693"/>
        <v>4199.2</v>
      </c>
      <c r="T405" s="52">
        <f t="shared" si="694"/>
        <v>0</v>
      </c>
      <c r="U405" s="369">
        <f t="shared" si="695"/>
        <v>0</v>
      </c>
      <c r="V405" s="369">
        <f t="shared" si="696"/>
        <v>0</v>
      </c>
      <c r="W405" s="369">
        <f t="shared" si="697"/>
        <v>0</v>
      </c>
      <c r="X405" s="53">
        <f t="shared" si="708"/>
        <v>0</v>
      </c>
      <c r="Y405" s="53">
        <f t="shared" si="709"/>
        <v>1</v>
      </c>
      <c r="Z405" s="53">
        <f t="shared" si="515"/>
        <v>0</v>
      </c>
      <c r="AA405" s="148"/>
      <c r="AB405" s="148"/>
      <c r="AC405" s="148"/>
      <c r="AD405" s="148"/>
      <c r="AE405" s="134">
        <v>4199.2</v>
      </c>
      <c r="AF405" s="132"/>
      <c r="AG405" s="132"/>
      <c r="AH405" s="132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  <c r="BI405" s="148"/>
      <c r="BJ405" s="148"/>
      <c r="BK405" s="148"/>
      <c r="BL405" s="148"/>
      <c r="BM405" s="148"/>
      <c r="BN405" s="54">
        <f t="shared" si="698"/>
        <v>0</v>
      </c>
      <c r="BO405" s="58">
        <f t="shared" si="699"/>
        <v>0</v>
      </c>
      <c r="BP405" s="54">
        <f t="shared" si="700"/>
        <v>0</v>
      </c>
      <c r="BQ405" s="54">
        <f t="shared" si="701"/>
        <v>0</v>
      </c>
      <c r="BR405" s="54">
        <f t="shared" si="702"/>
        <v>0</v>
      </c>
      <c r="BS405" s="54">
        <f t="shared" si="703"/>
        <v>0</v>
      </c>
      <c r="BT405" s="54">
        <f t="shared" si="704"/>
        <v>0</v>
      </c>
      <c r="BU405" s="54">
        <f t="shared" si="705"/>
        <v>0</v>
      </c>
      <c r="BV405" s="54">
        <f t="shared" si="706"/>
        <v>0</v>
      </c>
      <c r="BW405" s="54">
        <f t="shared" si="707"/>
        <v>0</v>
      </c>
      <c r="BX405" s="1"/>
      <c r="BY405" s="1"/>
      <c r="BZ405" s="1"/>
      <c r="CA405" s="1"/>
      <c r="CB405" s="1"/>
      <c r="CC405" s="1"/>
      <c r="CD405" s="1"/>
      <c r="CE405" s="1"/>
      <c r="CF405" s="1"/>
      <c r="CG405" s="1"/>
    </row>
    <row r="406" spans="1:85" ht="15.75" customHeight="1">
      <c r="A406" s="106" t="s">
        <v>770</v>
      </c>
      <c r="B406" s="416" t="s">
        <v>771</v>
      </c>
      <c r="C406" s="394" t="s">
        <v>765</v>
      </c>
      <c r="D406" s="82" t="s">
        <v>772</v>
      </c>
      <c r="E406" s="91"/>
      <c r="F406" s="92"/>
      <c r="G406" s="46">
        <f t="shared" si="710"/>
        <v>0</v>
      </c>
      <c r="H406" s="46"/>
      <c r="I406" s="47">
        <f t="shared" si="711"/>
        <v>0</v>
      </c>
      <c r="J406" s="47">
        <f t="shared" si="712"/>
        <v>0</v>
      </c>
      <c r="K406" s="202">
        <v>2960</v>
      </c>
      <c r="L406" s="146">
        <v>45612</v>
      </c>
      <c r="M406" s="148"/>
      <c r="N406" s="148"/>
      <c r="O406" s="51">
        <f t="shared" si="689"/>
        <v>2960</v>
      </c>
      <c r="P406" s="51">
        <f t="shared" si="690"/>
        <v>45612</v>
      </c>
      <c r="Q406" s="51">
        <f t="shared" si="691"/>
        <v>0</v>
      </c>
      <c r="R406" s="52">
        <f t="shared" si="692"/>
        <v>2960</v>
      </c>
      <c r="S406" s="52">
        <f t="shared" si="693"/>
        <v>45612</v>
      </c>
      <c r="T406" s="52">
        <f t="shared" si="694"/>
        <v>0</v>
      </c>
      <c r="U406" s="369">
        <f t="shared" si="695"/>
        <v>0</v>
      </c>
      <c r="V406" s="369">
        <f t="shared" si="696"/>
        <v>0</v>
      </c>
      <c r="W406" s="369">
        <f t="shared" si="697"/>
        <v>0</v>
      </c>
      <c r="X406" s="53">
        <f t="shared" si="708"/>
        <v>1</v>
      </c>
      <c r="Y406" s="53">
        <f t="shared" si="709"/>
        <v>1</v>
      </c>
      <c r="Z406" s="53">
        <f t="shared" si="515"/>
        <v>0</v>
      </c>
      <c r="AA406" s="148"/>
      <c r="AB406" s="152">
        <v>15928</v>
      </c>
      <c r="AC406" s="148"/>
      <c r="AD406" s="148"/>
      <c r="AE406" s="132"/>
      <c r="AF406" s="132"/>
      <c r="AG406" s="134">
        <f>1480+1480</f>
        <v>2960</v>
      </c>
      <c r="AH406" s="152">
        <v>29684</v>
      </c>
      <c r="AI406" s="152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  <c r="BI406" s="148"/>
      <c r="BJ406" s="148"/>
      <c r="BK406" s="148"/>
      <c r="BL406" s="148"/>
      <c r="BM406" s="148"/>
      <c r="BN406" s="54">
        <f t="shared" si="698"/>
        <v>2960</v>
      </c>
      <c r="BO406" s="58">
        <f t="shared" si="699"/>
        <v>0</v>
      </c>
      <c r="BP406" s="54">
        <f t="shared" si="700"/>
        <v>2960</v>
      </c>
      <c r="BQ406" s="54">
        <f t="shared" si="701"/>
        <v>0</v>
      </c>
      <c r="BR406" s="54">
        <f t="shared" si="702"/>
        <v>0</v>
      </c>
      <c r="BS406" s="54">
        <f t="shared" si="703"/>
        <v>0</v>
      </c>
      <c r="BT406" s="54">
        <f t="shared" si="704"/>
        <v>0</v>
      </c>
      <c r="BU406" s="54">
        <f t="shared" si="705"/>
        <v>2960</v>
      </c>
      <c r="BV406" s="54">
        <f t="shared" si="706"/>
        <v>0</v>
      </c>
      <c r="BW406" s="54">
        <f t="shared" si="707"/>
        <v>2960</v>
      </c>
      <c r="BX406" s="1"/>
      <c r="BY406" s="1"/>
      <c r="BZ406" s="1"/>
      <c r="CA406" s="1"/>
      <c r="CB406" s="1"/>
      <c r="CC406" s="1"/>
      <c r="CD406" s="1"/>
      <c r="CE406" s="1"/>
      <c r="CF406" s="1"/>
      <c r="CG406" s="1"/>
    </row>
    <row r="407" spans="1:85" ht="15.75" customHeight="1">
      <c r="A407" s="81" t="s">
        <v>773</v>
      </c>
      <c r="B407" s="416"/>
      <c r="C407" s="394" t="s">
        <v>765</v>
      </c>
      <c r="D407" s="82" t="s">
        <v>772</v>
      </c>
      <c r="E407" s="91"/>
      <c r="F407" s="92"/>
      <c r="G407" s="46">
        <f t="shared" si="710"/>
        <v>0</v>
      </c>
      <c r="H407" s="46"/>
      <c r="I407" s="47">
        <f t="shared" si="711"/>
        <v>0</v>
      </c>
      <c r="J407" s="47">
        <f t="shared" si="712"/>
        <v>0</v>
      </c>
      <c r="K407" s="202">
        <v>2220</v>
      </c>
      <c r="L407" s="146"/>
      <c r="M407" s="148"/>
      <c r="N407" s="148"/>
      <c r="O407" s="51">
        <f t="shared" si="689"/>
        <v>2220</v>
      </c>
      <c r="P407" s="51">
        <f t="shared" si="690"/>
        <v>0</v>
      </c>
      <c r="Q407" s="51">
        <f t="shared" si="691"/>
        <v>0</v>
      </c>
      <c r="R407" s="52">
        <f t="shared" si="692"/>
        <v>2220</v>
      </c>
      <c r="S407" s="52">
        <f t="shared" si="693"/>
        <v>0</v>
      </c>
      <c r="T407" s="52">
        <f t="shared" si="694"/>
        <v>0</v>
      </c>
      <c r="U407" s="369">
        <f t="shared" si="695"/>
        <v>0</v>
      </c>
      <c r="V407" s="369">
        <f t="shared" si="696"/>
        <v>0</v>
      </c>
      <c r="W407" s="369">
        <f t="shared" si="697"/>
        <v>0</v>
      </c>
      <c r="X407" s="53">
        <f t="shared" si="708"/>
        <v>1</v>
      </c>
      <c r="Y407" s="53">
        <f t="shared" si="709"/>
        <v>0</v>
      </c>
      <c r="Z407" s="53">
        <f t="shared" si="515"/>
        <v>0</v>
      </c>
      <c r="AA407" s="148"/>
      <c r="AB407" s="152"/>
      <c r="AC407" s="148"/>
      <c r="AD407" s="148"/>
      <c r="AE407" s="132"/>
      <c r="AF407" s="132"/>
      <c r="AG407" s="134">
        <v>2220</v>
      </c>
      <c r="AH407" s="132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48"/>
      <c r="BJ407" s="148"/>
      <c r="BK407" s="148"/>
      <c r="BL407" s="148"/>
      <c r="BM407" s="148"/>
      <c r="BN407" s="54">
        <f t="shared" si="698"/>
        <v>2220</v>
      </c>
      <c r="BO407" s="58">
        <f t="shared" si="699"/>
        <v>0</v>
      </c>
      <c r="BP407" s="54">
        <f t="shared" si="700"/>
        <v>2220</v>
      </c>
      <c r="BQ407" s="54">
        <f t="shared" si="701"/>
        <v>0</v>
      </c>
      <c r="BR407" s="54">
        <f t="shared" si="702"/>
        <v>0</v>
      </c>
      <c r="BS407" s="54">
        <f t="shared" si="703"/>
        <v>0</v>
      </c>
      <c r="BT407" s="54">
        <f t="shared" si="704"/>
        <v>0</v>
      </c>
      <c r="BU407" s="54">
        <f t="shared" si="705"/>
        <v>2220</v>
      </c>
      <c r="BV407" s="54">
        <f t="shared" si="706"/>
        <v>0</v>
      </c>
      <c r="BW407" s="54">
        <f t="shared" si="707"/>
        <v>2220</v>
      </c>
      <c r="BX407" s="1"/>
      <c r="BY407" s="1"/>
      <c r="BZ407" s="1"/>
      <c r="CA407" s="1"/>
      <c r="CB407" s="1"/>
      <c r="CC407" s="1"/>
      <c r="CD407" s="1"/>
      <c r="CE407" s="1"/>
      <c r="CF407" s="1"/>
      <c r="CG407" s="1"/>
    </row>
    <row r="408" spans="1:85" ht="15.75" customHeight="1">
      <c r="A408" s="81" t="s">
        <v>774</v>
      </c>
      <c r="B408" s="429" t="s">
        <v>775</v>
      </c>
      <c r="C408" s="394" t="s">
        <v>765</v>
      </c>
      <c r="D408" s="82" t="s">
        <v>776</v>
      </c>
      <c r="E408" s="91"/>
      <c r="F408" s="92"/>
      <c r="G408" s="46">
        <f t="shared" si="710"/>
        <v>0</v>
      </c>
      <c r="H408" s="46"/>
      <c r="I408" s="47">
        <f t="shared" si="711"/>
        <v>0</v>
      </c>
      <c r="J408" s="47">
        <f t="shared" si="712"/>
        <v>0</v>
      </c>
      <c r="K408" s="202">
        <v>1848</v>
      </c>
      <c r="L408" s="146">
        <v>10096.6</v>
      </c>
      <c r="M408" s="148"/>
      <c r="N408" s="148"/>
      <c r="O408" s="51">
        <f t="shared" si="689"/>
        <v>1848</v>
      </c>
      <c r="P408" s="51">
        <f t="shared" si="690"/>
        <v>10096.6</v>
      </c>
      <c r="Q408" s="51">
        <f t="shared" si="691"/>
        <v>0</v>
      </c>
      <c r="R408" s="52">
        <f t="shared" si="692"/>
        <v>1848</v>
      </c>
      <c r="S408" s="52">
        <f t="shared" si="693"/>
        <v>10096.6</v>
      </c>
      <c r="T408" s="52">
        <f t="shared" si="694"/>
        <v>0</v>
      </c>
      <c r="U408" s="369">
        <f t="shared" si="695"/>
        <v>0</v>
      </c>
      <c r="V408" s="369">
        <f t="shared" si="696"/>
        <v>0</v>
      </c>
      <c r="W408" s="369">
        <f t="shared" si="697"/>
        <v>0</v>
      </c>
      <c r="X408" s="53">
        <f t="shared" si="708"/>
        <v>1</v>
      </c>
      <c r="Y408" s="53">
        <f t="shared" si="709"/>
        <v>1</v>
      </c>
      <c r="Z408" s="53">
        <f t="shared" si="515"/>
        <v>0</v>
      </c>
      <c r="AA408" s="148"/>
      <c r="AB408" s="152">
        <v>10096.6</v>
      </c>
      <c r="AC408" s="148"/>
      <c r="AD408" s="148"/>
      <c r="AE408" s="132"/>
      <c r="AF408" s="132"/>
      <c r="AG408" s="210">
        <f>1848</f>
        <v>1848</v>
      </c>
      <c r="AH408" s="132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48"/>
      <c r="BJ408" s="148"/>
      <c r="BK408" s="148"/>
      <c r="BL408" s="148"/>
      <c r="BM408" s="148"/>
      <c r="BN408" s="54">
        <f t="shared" si="698"/>
        <v>1848</v>
      </c>
      <c r="BO408" s="58">
        <f t="shared" si="699"/>
        <v>0</v>
      </c>
      <c r="BP408" s="54">
        <f t="shared" si="700"/>
        <v>1848</v>
      </c>
      <c r="BQ408" s="54">
        <f t="shared" si="701"/>
        <v>0</v>
      </c>
      <c r="BR408" s="54">
        <f t="shared" si="702"/>
        <v>0</v>
      </c>
      <c r="BS408" s="54">
        <f t="shared" si="703"/>
        <v>0</v>
      </c>
      <c r="BT408" s="54">
        <f t="shared" si="704"/>
        <v>0</v>
      </c>
      <c r="BU408" s="54">
        <f t="shared" si="705"/>
        <v>1848</v>
      </c>
      <c r="BV408" s="54">
        <f t="shared" si="706"/>
        <v>0</v>
      </c>
      <c r="BW408" s="54">
        <f t="shared" si="707"/>
        <v>1848</v>
      </c>
      <c r="BX408" s="1"/>
      <c r="BY408" s="1"/>
      <c r="BZ408" s="1"/>
      <c r="CA408" s="1"/>
      <c r="CB408" s="1"/>
      <c r="CC408" s="1"/>
      <c r="CD408" s="1"/>
      <c r="CE408" s="1"/>
      <c r="CF408" s="1"/>
      <c r="CG408" s="1"/>
    </row>
    <row r="409" spans="1:85" ht="15.75" customHeight="1">
      <c r="A409" s="156" t="s">
        <v>777</v>
      </c>
      <c r="B409" s="430" t="s">
        <v>778</v>
      </c>
      <c r="C409" s="394" t="s">
        <v>765</v>
      </c>
      <c r="D409" s="78" t="s">
        <v>779</v>
      </c>
      <c r="E409" s="91"/>
      <c r="F409" s="92"/>
      <c r="G409" s="46">
        <f t="shared" si="710"/>
        <v>0</v>
      </c>
      <c r="H409" s="46"/>
      <c r="I409" s="47">
        <f t="shared" si="711"/>
        <v>0</v>
      </c>
      <c r="J409" s="47">
        <f t="shared" si="712"/>
        <v>0</v>
      </c>
      <c r="K409" s="202">
        <f>676.32-0.12</f>
        <v>676.2</v>
      </c>
      <c r="L409" s="146">
        <v>7280</v>
      </c>
      <c r="M409" s="152"/>
      <c r="N409" s="148"/>
      <c r="O409" s="51">
        <f t="shared" si="689"/>
        <v>676.2</v>
      </c>
      <c r="P409" s="51">
        <f t="shared" si="690"/>
        <v>7280</v>
      </c>
      <c r="Q409" s="51">
        <f t="shared" si="691"/>
        <v>0</v>
      </c>
      <c r="R409" s="52">
        <f t="shared" si="692"/>
        <v>676.2</v>
      </c>
      <c r="S409" s="52">
        <f t="shared" si="693"/>
        <v>7280</v>
      </c>
      <c r="T409" s="52">
        <f t="shared" si="694"/>
        <v>0</v>
      </c>
      <c r="U409" s="369">
        <f t="shared" si="695"/>
        <v>0</v>
      </c>
      <c r="V409" s="369">
        <f t="shared" si="696"/>
        <v>0</v>
      </c>
      <c r="W409" s="369">
        <f t="shared" si="697"/>
        <v>0</v>
      </c>
      <c r="X409" s="53">
        <f t="shared" si="708"/>
        <v>1</v>
      </c>
      <c r="Y409" s="53">
        <f t="shared" si="709"/>
        <v>1</v>
      </c>
      <c r="Z409" s="53">
        <f t="shared" si="515"/>
        <v>0</v>
      </c>
      <c r="AA409" s="148"/>
      <c r="AB409" s="152">
        <v>7280</v>
      </c>
      <c r="AC409" s="148"/>
      <c r="AD409" s="148"/>
      <c r="AE409" s="132"/>
      <c r="AF409" s="132"/>
      <c r="AG409" s="132"/>
      <c r="AH409" s="132"/>
      <c r="AI409" s="148"/>
      <c r="AJ409" s="152">
        <v>676.2</v>
      </c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48"/>
      <c r="BN409" s="54">
        <f t="shared" si="698"/>
        <v>676.2</v>
      </c>
      <c r="BO409" s="58">
        <f t="shared" si="699"/>
        <v>0</v>
      </c>
      <c r="BP409" s="54">
        <f t="shared" si="700"/>
        <v>676.2</v>
      </c>
      <c r="BQ409" s="54">
        <f t="shared" si="701"/>
        <v>0</v>
      </c>
      <c r="BR409" s="54">
        <f t="shared" si="702"/>
        <v>0</v>
      </c>
      <c r="BS409" s="54">
        <f t="shared" si="703"/>
        <v>0</v>
      </c>
      <c r="BT409" s="54">
        <f t="shared" si="704"/>
        <v>0</v>
      </c>
      <c r="BU409" s="54">
        <f t="shared" si="705"/>
        <v>676.2</v>
      </c>
      <c r="BV409" s="54">
        <f t="shared" si="706"/>
        <v>0</v>
      </c>
      <c r="BW409" s="54">
        <f t="shared" si="707"/>
        <v>676.2</v>
      </c>
      <c r="BX409" s="1"/>
      <c r="BY409" s="1"/>
      <c r="BZ409" s="1"/>
      <c r="CA409" s="1"/>
      <c r="CB409" s="1"/>
      <c r="CC409" s="1"/>
      <c r="CD409" s="1"/>
      <c r="CE409" s="1"/>
      <c r="CF409" s="1"/>
      <c r="CG409" s="1"/>
    </row>
    <row r="410" spans="1:85" ht="15.75" customHeight="1">
      <c r="A410" s="211" t="s">
        <v>780</v>
      </c>
      <c r="B410" s="430"/>
      <c r="C410" s="394" t="s">
        <v>765</v>
      </c>
      <c r="D410" s="78" t="s">
        <v>779</v>
      </c>
      <c r="E410" s="91"/>
      <c r="F410" s="92"/>
      <c r="G410" s="46"/>
      <c r="H410" s="46"/>
      <c r="I410" s="47"/>
      <c r="J410" s="47"/>
      <c r="K410" s="202">
        <v>1340</v>
      </c>
      <c r="L410" s="146"/>
      <c r="M410" s="148"/>
      <c r="N410" s="148"/>
      <c r="O410" s="51">
        <f t="shared" si="689"/>
        <v>1340</v>
      </c>
      <c r="P410" s="51">
        <f t="shared" si="690"/>
        <v>0</v>
      </c>
      <c r="Q410" s="51">
        <f t="shared" si="691"/>
        <v>0</v>
      </c>
      <c r="R410" s="52">
        <f t="shared" si="692"/>
        <v>1340</v>
      </c>
      <c r="S410" s="52">
        <f t="shared" si="693"/>
        <v>0</v>
      </c>
      <c r="T410" s="52">
        <f t="shared" si="694"/>
        <v>0</v>
      </c>
      <c r="U410" s="369">
        <f t="shared" si="695"/>
        <v>0</v>
      </c>
      <c r="V410" s="369">
        <f t="shared" si="696"/>
        <v>0</v>
      </c>
      <c r="W410" s="369">
        <f t="shared" si="697"/>
        <v>0</v>
      </c>
      <c r="X410" s="53">
        <f t="shared" si="708"/>
        <v>1</v>
      </c>
      <c r="Y410" s="53">
        <f t="shared" si="709"/>
        <v>0</v>
      </c>
      <c r="Z410" s="53">
        <f t="shared" si="515"/>
        <v>0</v>
      </c>
      <c r="AA410" s="148"/>
      <c r="AB410" s="152"/>
      <c r="AC410" s="148"/>
      <c r="AD410" s="148"/>
      <c r="AE410" s="132"/>
      <c r="AF410" s="132"/>
      <c r="AG410" s="134"/>
      <c r="AH410" s="132"/>
      <c r="AI410" s="148"/>
      <c r="AJ410" s="152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52">
        <v>1340</v>
      </c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48"/>
      <c r="BN410" s="54">
        <f t="shared" si="698"/>
        <v>1340</v>
      </c>
      <c r="BO410" s="58">
        <f t="shared" si="699"/>
        <v>0</v>
      </c>
      <c r="BP410" s="54">
        <f t="shared" si="700"/>
        <v>1340</v>
      </c>
      <c r="BQ410" s="54">
        <f t="shared" si="701"/>
        <v>0</v>
      </c>
      <c r="BR410" s="54">
        <f t="shared" si="702"/>
        <v>0</v>
      </c>
      <c r="BS410" s="54">
        <f t="shared" si="703"/>
        <v>0</v>
      </c>
      <c r="BT410" s="54">
        <f t="shared" si="704"/>
        <v>0</v>
      </c>
      <c r="BU410" s="54">
        <f t="shared" si="705"/>
        <v>1340</v>
      </c>
      <c r="BV410" s="54">
        <f t="shared" si="706"/>
        <v>0</v>
      </c>
      <c r="BW410" s="54">
        <f t="shared" si="707"/>
        <v>1340</v>
      </c>
      <c r="BX410" s="1"/>
      <c r="BY410" s="1"/>
      <c r="BZ410" s="1"/>
      <c r="CA410" s="1"/>
      <c r="CB410" s="1"/>
      <c r="CC410" s="1"/>
      <c r="CD410" s="1"/>
      <c r="CE410" s="1"/>
      <c r="CF410" s="1"/>
      <c r="CG410" s="1"/>
    </row>
    <row r="411" spans="1:85" ht="15.75" customHeight="1">
      <c r="A411" s="211" t="s">
        <v>781</v>
      </c>
      <c r="B411" s="430"/>
      <c r="C411" s="394" t="s">
        <v>765</v>
      </c>
      <c r="D411" s="82" t="s">
        <v>782</v>
      </c>
      <c r="E411" s="91"/>
      <c r="F411" s="92"/>
      <c r="G411" s="46"/>
      <c r="H411" s="46"/>
      <c r="I411" s="47"/>
      <c r="J411" s="47"/>
      <c r="K411" s="202">
        <v>2954</v>
      </c>
      <c r="L411" s="146"/>
      <c r="M411" s="148"/>
      <c r="N411" s="148"/>
      <c r="O411" s="51">
        <f t="shared" si="689"/>
        <v>1477</v>
      </c>
      <c r="P411" s="51">
        <f t="shared" si="690"/>
        <v>0</v>
      </c>
      <c r="Q411" s="51">
        <f t="shared" si="691"/>
        <v>0</v>
      </c>
      <c r="R411" s="52">
        <f t="shared" si="692"/>
        <v>1477</v>
      </c>
      <c r="S411" s="52">
        <f t="shared" si="693"/>
        <v>0</v>
      </c>
      <c r="T411" s="52">
        <f t="shared" si="694"/>
        <v>0</v>
      </c>
      <c r="U411" s="369">
        <f t="shared" si="695"/>
        <v>1477</v>
      </c>
      <c r="V411" s="369">
        <f t="shared" si="696"/>
        <v>0</v>
      </c>
      <c r="W411" s="369">
        <f t="shared" si="697"/>
        <v>0</v>
      </c>
      <c r="X411" s="53">
        <f t="shared" si="708"/>
        <v>0.5</v>
      </c>
      <c r="Y411" s="53">
        <f t="shared" si="709"/>
        <v>0</v>
      </c>
      <c r="Z411" s="53">
        <f t="shared" si="515"/>
        <v>0</v>
      </c>
      <c r="AA411" s="148"/>
      <c r="AB411" s="152"/>
      <c r="AC411" s="148"/>
      <c r="AD411" s="148"/>
      <c r="AE411" s="132"/>
      <c r="AF411" s="132"/>
      <c r="AG411" s="134"/>
      <c r="AH411" s="132"/>
      <c r="AI411" s="148"/>
      <c r="AJ411" s="152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52">
        <v>1477</v>
      </c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48"/>
      <c r="BJ411" s="148"/>
      <c r="BK411" s="148"/>
      <c r="BL411" s="148"/>
      <c r="BM411" s="148"/>
      <c r="BN411" s="54">
        <f t="shared" si="698"/>
        <v>1477</v>
      </c>
      <c r="BO411" s="58">
        <f t="shared" si="699"/>
        <v>0</v>
      </c>
      <c r="BP411" s="54">
        <f t="shared" si="700"/>
        <v>1477</v>
      </c>
      <c r="BQ411" s="54">
        <f t="shared" si="701"/>
        <v>1477</v>
      </c>
      <c r="BR411" s="54">
        <f t="shared" si="702"/>
        <v>0</v>
      </c>
      <c r="BS411" s="54">
        <f t="shared" si="703"/>
        <v>1477</v>
      </c>
      <c r="BT411" s="54">
        <f t="shared" si="704"/>
        <v>0</v>
      </c>
      <c r="BU411" s="54">
        <f t="shared" si="705"/>
        <v>1477</v>
      </c>
      <c r="BV411" s="54">
        <f t="shared" si="706"/>
        <v>1477</v>
      </c>
      <c r="BW411" s="54">
        <f t="shared" si="707"/>
        <v>1477</v>
      </c>
      <c r="BX411" s="1"/>
      <c r="BY411" s="1"/>
      <c r="BZ411" s="1"/>
      <c r="CA411" s="1"/>
      <c r="CB411" s="1"/>
      <c r="CC411" s="1"/>
      <c r="CD411" s="1"/>
      <c r="CE411" s="1"/>
      <c r="CF411" s="1"/>
      <c r="CG411" s="1"/>
    </row>
    <row r="412" spans="1:85" ht="15.75" customHeight="1">
      <c r="A412" s="198" t="s">
        <v>783</v>
      </c>
      <c r="B412" s="430"/>
      <c r="C412" s="394" t="s">
        <v>765</v>
      </c>
      <c r="D412" s="82" t="s">
        <v>784</v>
      </c>
      <c r="E412" s="91"/>
      <c r="F412" s="92"/>
      <c r="G412" s="46">
        <f t="shared" ref="G412:G417" si="713">E412-F412</f>
        <v>0</v>
      </c>
      <c r="H412" s="46"/>
      <c r="I412" s="47">
        <f t="shared" ref="I412:I417" si="714">IF(G412&gt;0,K412/G412,0)</f>
        <v>0</v>
      </c>
      <c r="J412" s="47">
        <f t="shared" ref="J412:J417" si="715">IF(G412&gt;0,O412/G412,0)</f>
        <v>0</v>
      </c>
      <c r="K412" s="202">
        <v>7152</v>
      </c>
      <c r="L412" s="146"/>
      <c r="M412" s="148"/>
      <c r="N412" s="148"/>
      <c r="O412" s="51">
        <f t="shared" si="689"/>
        <v>7152</v>
      </c>
      <c r="P412" s="51">
        <f t="shared" si="690"/>
        <v>0</v>
      </c>
      <c r="Q412" s="51">
        <f t="shared" si="691"/>
        <v>0</v>
      </c>
      <c r="R412" s="52">
        <f t="shared" si="692"/>
        <v>7152</v>
      </c>
      <c r="S412" s="52">
        <f t="shared" si="693"/>
        <v>0</v>
      </c>
      <c r="T412" s="52">
        <f t="shared" si="694"/>
        <v>0</v>
      </c>
      <c r="U412" s="369">
        <f t="shared" si="695"/>
        <v>0</v>
      </c>
      <c r="V412" s="369">
        <f t="shared" si="696"/>
        <v>0</v>
      </c>
      <c r="W412" s="369">
        <f t="shared" si="697"/>
        <v>0</v>
      </c>
      <c r="X412" s="53">
        <f t="shared" si="708"/>
        <v>1</v>
      </c>
      <c r="Y412" s="53">
        <f t="shared" si="709"/>
        <v>0</v>
      </c>
      <c r="Z412" s="53">
        <f t="shared" si="515"/>
        <v>0</v>
      </c>
      <c r="AA412" s="148"/>
      <c r="AB412" s="152"/>
      <c r="AC412" s="148"/>
      <c r="AD412" s="148"/>
      <c r="AE412" s="132"/>
      <c r="AF412" s="132"/>
      <c r="AG412" s="134"/>
      <c r="AH412" s="132"/>
      <c r="AI412" s="148"/>
      <c r="AJ412" s="152">
        <v>7152</v>
      </c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148"/>
      <c r="BN412" s="54">
        <f t="shared" si="698"/>
        <v>7152</v>
      </c>
      <c r="BO412" s="58">
        <f t="shared" si="699"/>
        <v>0</v>
      </c>
      <c r="BP412" s="54">
        <f t="shared" si="700"/>
        <v>7152</v>
      </c>
      <c r="BQ412" s="54">
        <f t="shared" si="701"/>
        <v>0</v>
      </c>
      <c r="BR412" s="54">
        <f t="shared" si="702"/>
        <v>0</v>
      </c>
      <c r="BS412" s="54">
        <f t="shared" si="703"/>
        <v>0</v>
      </c>
      <c r="BT412" s="54">
        <f t="shared" si="704"/>
        <v>0</v>
      </c>
      <c r="BU412" s="54">
        <f t="shared" si="705"/>
        <v>7152</v>
      </c>
      <c r="BV412" s="54">
        <f t="shared" si="706"/>
        <v>0</v>
      </c>
      <c r="BW412" s="54">
        <f t="shared" si="707"/>
        <v>7152</v>
      </c>
      <c r="BX412" s="1"/>
      <c r="BY412" s="1"/>
      <c r="BZ412" s="1"/>
      <c r="CA412" s="1"/>
      <c r="CB412" s="1"/>
      <c r="CC412" s="1"/>
      <c r="CD412" s="1"/>
      <c r="CE412" s="1"/>
      <c r="CF412" s="1"/>
      <c r="CG412" s="1"/>
    </row>
    <row r="413" spans="1:85" ht="15.75" customHeight="1">
      <c r="A413" s="212" t="s">
        <v>785</v>
      </c>
      <c r="B413" s="429" t="s">
        <v>786</v>
      </c>
      <c r="C413" s="394" t="s">
        <v>765</v>
      </c>
      <c r="D413" s="82" t="s">
        <v>787</v>
      </c>
      <c r="E413" s="91"/>
      <c r="F413" s="92"/>
      <c r="G413" s="46">
        <f t="shared" si="713"/>
        <v>0</v>
      </c>
      <c r="H413" s="46"/>
      <c r="I413" s="47">
        <f t="shared" si="714"/>
        <v>0</v>
      </c>
      <c r="J413" s="47">
        <f t="shared" si="715"/>
        <v>0</v>
      </c>
      <c r="K413" s="202">
        <v>4800</v>
      </c>
      <c r="L413" s="146">
        <v>2964</v>
      </c>
      <c r="M413" s="148"/>
      <c r="N413" s="148"/>
      <c r="O413" s="51">
        <f t="shared" si="689"/>
        <v>4800</v>
      </c>
      <c r="P413" s="51">
        <f t="shared" si="690"/>
        <v>2964</v>
      </c>
      <c r="Q413" s="51">
        <f t="shared" si="691"/>
        <v>0</v>
      </c>
      <c r="R413" s="52">
        <f t="shared" si="692"/>
        <v>4800</v>
      </c>
      <c r="S413" s="52">
        <f t="shared" si="693"/>
        <v>2964</v>
      </c>
      <c r="T413" s="52">
        <f t="shared" si="694"/>
        <v>0</v>
      </c>
      <c r="U413" s="369">
        <f t="shared" si="695"/>
        <v>0</v>
      </c>
      <c r="V413" s="369">
        <f t="shared" si="696"/>
        <v>0</v>
      </c>
      <c r="W413" s="369">
        <f t="shared" si="697"/>
        <v>0</v>
      </c>
      <c r="X413" s="53">
        <f t="shared" si="708"/>
        <v>1</v>
      </c>
      <c r="Y413" s="53">
        <f t="shared" si="709"/>
        <v>1</v>
      </c>
      <c r="Z413" s="53">
        <f t="shared" si="515"/>
        <v>0</v>
      </c>
      <c r="AA413" s="148"/>
      <c r="AB413" s="152">
        <v>2964</v>
      </c>
      <c r="AC413" s="148"/>
      <c r="AD413" s="148"/>
      <c r="AE413" s="132"/>
      <c r="AF413" s="132"/>
      <c r="AG413" s="134">
        <v>4800</v>
      </c>
      <c r="AH413" s="132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148"/>
      <c r="BN413" s="54">
        <f t="shared" si="698"/>
        <v>4800</v>
      </c>
      <c r="BO413" s="58">
        <f t="shared" si="699"/>
        <v>0</v>
      </c>
      <c r="BP413" s="54">
        <f t="shared" si="700"/>
        <v>4800</v>
      </c>
      <c r="BQ413" s="54">
        <f t="shared" si="701"/>
        <v>0</v>
      </c>
      <c r="BR413" s="54">
        <f t="shared" si="702"/>
        <v>0</v>
      </c>
      <c r="BS413" s="54">
        <f t="shared" si="703"/>
        <v>0</v>
      </c>
      <c r="BT413" s="54">
        <f t="shared" si="704"/>
        <v>0</v>
      </c>
      <c r="BU413" s="54">
        <f t="shared" si="705"/>
        <v>4800</v>
      </c>
      <c r="BV413" s="54">
        <f t="shared" si="706"/>
        <v>0</v>
      </c>
      <c r="BW413" s="54">
        <f t="shared" si="707"/>
        <v>4800</v>
      </c>
      <c r="BX413" s="1"/>
      <c r="BY413" s="1"/>
      <c r="BZ413" s="1"/>
      <c r="CA413" s="1"/>
      <c r="CB413" s="1"/>
      <c r="CC413" s="1"/>
      <c r="CD413" s="1"/>
      <c r="CE413" s="1"/>
      <c r="CF413" s="1"/>
      <c r="CG413" s="1"/>
    </row>
    <row r="414" spans="1:85" ht="15.75" customHeight="1">
      <c r="A414" s="84" t="s">
        <v>788</v>
      </c>
      <c r="B414" s="439"/>
      <c r="C414" s="394" t="s">
        <v>765</v>
      </c>
      <c r="D414" s="82" t="s">
        <v>789</v>
      </c>
      <c r="E414" s="91"/>
      <c r="F414" s="92"/>
      <c r="G414" s="46">
        <f t="shared" si="713"/>
        <v>0</v>
      </c>
      <c r="H414" s="46"/>
      <c r="I414" s="47">
        <f t="shared" si="714"/>
        <v>0</v>
      </c>
      <c r="J414" s="47">
        <f t="shared" si="715"/>
        <v>0</v>
      </c>
      <c r="K414" s="202">
        <v>10976</v>
      </c>
      <c r="L414" s="146"/>
      <c r="M414" s="148"/>
      <c r="N414" s="148"/>
      <c r="O414" s="51">
        <f t="shared" si="689"/>
        <v>10976</v>
      </c>
      <c r="P414" s="51">
        <f t="shared" si="690"/>
        <v>0</v>
      </c>
      <c r="Q414" s="51">
        <f t="shared" si="691"/>
        <v>0</v>
      </c>
      <c r="R414" s="52">
        <f t="shared" si="692"/>
        <v>10976</v>
      </c>
      <c r="S414" s="52">
        <f t="shared" si="693"/>
        <v>0</v>
      </c>
      <c r="T414" s="52">
        <f t="shared" si="694"/>
        <v>0</v>
      </c>
      <c r="U414" s="369">
        <f t="shared" si="695"/>
        <v>0</v>
      </c>
      <c r="V414" s="369">
        <f t="shared" si="696"/>
        <v>0</v>
      </c>
      <c r="W414" s="369">
        <f t="shared" si="697"/>
        <v>0</v>
      </c>
      <c r="X414" s="53">
        <f t="shared" si="708"/>
        <v>1</v>
      </c>
      <c r="Y414" s="53">
        <f t="shared" si="709"/>
        <v>0</v>
      </c>
      <c r="Z414" s="53">
        <f t="shared" si="515"/>
        <v>0</v>
      </c>
      <c r="AA414" s="148"/>
      <c r="AB414" s="148"/>
      <c r="AC414" s="148"/>
      <c r="AD414" s="148"/>
      <c r="AE414" s="132"/>
      <c r="AF414" s="132"/>
      <c r="AG414" s="134"/>
      <c r="AH414" s="132"/>
      <c r="AI414" s="148"/>
      <c r="AJ414" s="148"/>
      <c r="AK414" s="148"/>
      <c r="AL414" s="148"/>
      <c r="AM414" s="152">
        <v>8232</v>
      </c>
      <c r="AN414" s="148"/>
      <c r="AO414" s="148"/>
      <c r="AP414" s="152">
        <v>2744</v>
      </c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48"/>
      <c r="BJ414" s="148"/>
      <c r="BK414" s="148"/>
      <c r="BL414" s="148"/>
      <c r="BM414" s="148"/>
      <c r="BN414" s="54">
        <f t="shared" si="698"/>
        <v>10976</v>
      </c>
      <c r="BO414" s="58">
        <f t="shared" si="699"/>
        <v>0</v>
      </c>
      <c r="BP414" s="54">
        <f t="shared" si="700"/>
        <v>10976</v>
      </c>
      <c r="BQ414" s="54">
        <f t="shared" si="701"/>
        <v>0</v>
      </c>
      <c r="BR414" s="54">
        <f t="shared" si="702"/>
        <v>0</v>
      </c>
      <c r="BS414" s="54">
        <f t="shared" si="703"/>
        <v>0</v>
      </c>
      <c r="BT414" s="54">
        <f t="shared" si="704"/>
        <v>0</v>
      </c>
      <c r="BU414" s="54">
        <f t="shared" si="705"/>
        <v>10976</v>
      </c>
      <c r="BV414" s="54">
        <f t="shared" si="706"/>
        <v>0</v>
      </c>
      <c r="BW414" s="54">
        <f t="shared" si="707"/>
        <v>10976</v>
      </c>
      <c r="BX414" s="1"/>
      <c r="BY414" s="1"/>
      <c r="BZ414" s="1"/>
      <c r="CA414" s="1"/>
      <c r="CB414" s="1"/>
      <c r="CC414" s="1"/>
      <c r="CD414" s="1"/>
      <c r="CE414" s="1"/>
      <c r="CF414" s="1"/>
      <c r="CG414" s="1"/>
    </row>
    <row r="415" spans="1:85" ht="15.75" customHeight="1">
      <c r="A415" s="213" t="s">
        <v>790</v>
      </c>
      <c r="B415" s="439"/>
      <c r="C415" s="394" t="s">
        <v>765</v>
      </c>
      <c r="D415" s="82" t="s">
        <v>789</v>
      </c>
      <c r="E415" s="91"/>
      <c r="F415" s="92"/>
      <c r="G415" s="46">
        <f t="shared" si="713"/>
        <v>0</v>
      </c>
      <c r="H415" s="46"/>
      <c r="I415" s="47">
        <f t="shared" si="714"/>
        <v>0</v>
      </c>
      <c r="J415" s="47">
        <f t="shared" si="715"/>
        <v>0</v>
      </c>
      <c r="K415" s="202">
        <v>14220</v>
      </c>
      <c r="L415" s="146"/>
      <c r="M415" s="148"/>
      <c r="N415" s="148"/>
      <c r="O415" s="51">
        <f t="shared" si="689"/>
        <v>14220</v>
      </c>
      <c r="P415" s="51">
        <f t="shared" si="690"/>
        <v>0</v>
      </c>
      <c r="Q415" s="51">
        <f t="shared" si="691"/>
        <v>0</v>
      </c>
      <c r="R415" s="52">
        <f t="shared" si="692"/>
        <v>14220</v>
      </c>
      <c r="S415" s="52">
        <f t="shared" si="693"/>
        <v>0</v>
      </c>
      <c r="T415" s="52">
        <f t="shared" si="694"/>
        <v>0</v>
      </c>
      <c r="U415" s="369">
        <f t="shared" si="695"/>
        <v>0</v>
      </c>
      <c r="V415" s="369">
        <f t="shared" si="696"/>
        <v>0</v>
      </c>
      <c r="W415" s="369">
        <f t="shared" si="697"/>
        <v>0</v>
      </c>
      <c r="X415" s="53">
        <f t="shared" si="708"/>
        <v>1</v>
      </c>
      <c r="Y415" s="53">
        <f t="shared" si="709"/>
        <v>0</v>
      </c>
      <c r="Z415" s="53">
        <f t="shared" si="515"/>
        <v>0</v>
      </c>
      <c r="AA415" s="148"/>
      <c r="AB415" s="148"/>
      <c r="AC415" s="148"/>
      <c r="AD415" s="148"/>
      <c r="AE415" s="132"/>
      <c r="AF415" s="132"/>
      <c r="AG415" s="134"/>
      <c r="AH415" s="132"/>
      <c r="AI415" s="148"/>
      <c r="AJ415" s="148"/>
      <c r="AK415" s="148"/>
      <c r="AL415" s="148"/>
      <c r="AM415" s="148"/>
      <c r="AN415" s="148"/>
      <c r="AO415" s="148"/>
      <c r="AP415" s="152">
        <v>14220</v>
      </c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48"/>
      <c r="BJ415" s="148"/>
      <c r="BK415" s="148"/>
      <c r="BL415" s="148"/>
      <c r="BM415" s="148"/>
      <c r="BN415" s="54">
        <f t="shared" ref="BN415:BN472" si="716">IF(O415-BK415&gt;0,O415-BK415,0)</f>
        <v>14220</v>
      </c>
      <c r="BO415" s="58">
        <f t="shared" ref="BO415:BO472" si="717">IF(Q415-BM415&gt;0,Q415-BM415,0)</f>
        <v>0</v>
      </c>
      <c r="BP415" s="54">
        <f t="shared" ref="BP415:BP472" si="718">IF(BN415+BO415&gt;0,BN415+BO415,0)</f>
        <v>14220</v>
      </c>
      <c r="BQ415" s="54">
        <f t="shared" ref="BQ415:BQ472" si="719">IF(U415=0,0,U415)</f>
        <v>0</v>
      </c>
      <c r="BR415" s="54">
        <f t="shared" ref="BR415:BR472" si="720">IF(W415=0,0,W415)</f>
        <v>0</v>
      </c>
      <c r="BS415" s="54">
        <f t="shared" ref="BS415:BS472" si="721">IF(BQ415+BR415&gt;0,BQ415+BR415,0)</f>
        <v>0</v>
      </c>
      <c r="BT415" s="54">
        <f t="shared" ref="BT415:BT472" si="722">IF(V415&gt;0,V415,0)</f>
        <v>0</v>
      </c>
      <c r="BU415" s="54">
        <f t="shared" ref="BU415:BU472" si="723">IF(BP415=0,0,BP415)</f>
        <v>14220</v>
      </c>
      <c r="BV415" s="54">
        <f t="shared" ref="BV415:BV472" si="724">IF(BS415=0,0,BS415)</f>
        <v>0</v>
      </c>
      <c r="BW415" s="54">
        <f t="shared" ref="BW415:BW472" si="725">IF(BP415+BT415&gt;0,BP415+BT415,0)</f>
        <v>14220</v>
      </c>
      <c r="BX415" s="1"/>
      <c r="BY415" s="1"/>
      <c r="BZ415" s="1"/>
      <c r="CA415" s="1"/>
      <c r="CB415" s="1"/>
      <c r="CC415" s="1"/>
      <c r="CD415" s="1"/>
      <c r="CE415" s="1"/>
      <c r="CF415" s="1"/>
      <c r="CG415" s="1"/>
    </row>
    <row r="416" spans="1:85" ht="15.75" customHeight="1">
      <c r="A416" s="214" t="s">
        <v>791</v>
      </c>
      <c r="B416" s="439"/>
      <c r="C416" s="394" t="s">
        <v>765</v>
      </c>
      <c r="D416" s="82" t="s">
        <v>789</v>
      </c>
      <c r="E416" s="91"/>
      <c r="F416" s="92"/>
      <c r="G416" s="46">
        <f t="shared" si="713"/>
        <v>0</v>
      </c>
      <c r="H416" s="46"/>
      <c r="I416" s="47">
        <f t="shared" si="714"/>
        <v>0</v>
      </c>
      <c r="J416" s="47">
        <f t="shared" si="715"/>
        <v>0</v>
      </c>
      <c r="K416" s="202">
        <v>1980</v>
      </c>
      <c r="L416" s="146"/>
      <c r="M416" s="148"/>
      <c r="N416" s="148"/>
      <c r="O416" s="51">
        <f t="shared" si="689"/>
        <v>1980</v>
      </c>
      <c r="P416" s="51">
        <f t="shared" si="690"/>
        <v>0</v>
      </c>
      <c r="Q416" s="51">
        <f t="shared" si="691"/>
        <v>0</v>
      </c>
      <c r="R416" s="52">
        <f t="shared" si="692"/>
        <v>1980</v>
      </c>
      <c r="S416" s="52">
        <f t="shared" si="693"/>
        <v>0</v>
      </c>
      <c r="T416" s="52">
        <f t="shared" si="694"/>
        <v>0</v>
      </c>
      <c r="U416" s="369">
        <f t="shared" si="695"/>
        <v>0</v>
      </c>
      <c r="V416" s="369">
        <f t="shared" si="696"/>
        <v>0</v>
      </c>
      <c r="W416" s="369">
        <f t="shared" si="697"/>
        <v>0</v>
      </c>
      <c r="X416" s="53">
        <f t="shared" si="708"/>
        <v>1</v>
      </c>
      <c r="Y416" s="53">
        <f t="shared" si="709"/>
        <v>0</v>
      </c>
      <c r="Z416" s="53">
        <f t="shared" si="515"/>
        <v>0</v>
      </c>
      <c r="AA416" s="148"/>
      <c r="AB416" s="148"/>
      <c r="AC416" s="148"/>
      <c r="AD416" s="148"/>
      <c r="AE416" s="132"/>
      <c r="AF416" s="132"/>
      <c r="AG416" s="134"/>
      <c r="AH416" s="132"/>
      <c r="AI416" s="148"/>
      <c r="AJ416" s="148"/>
      <c r="AK416" s="148"/>
      <c r="AL416" s="148"/>
      <c r="AM416" s="148"/>
      <c r="AN416" s="148"/>
      <c r="AO416" s="148"/>
      <c r="AP416" s="152">
        <v>1980</v>
      </c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  <c r="BI416" s="148"/>
      <c r="BJ416" s="148"/>
      <c r="BK416" s="148"/>
      <c r="BL416" s="148"/>
      <c r="BM416" s="148"/>
      <c r="BN416" s="54">
        <f t="shared" si="716"/>
        <v>1980</v>
      </c>
      <c r="BO416" s="58">
        <f t="shared" si="717"/>
        <v>0</v>
      </c>
      <c r="BP416" s="54">
        <f t="shared" si="718"/>
        <v>1980</v>
      </c>
      <c r="BQ416" s="54">
        <f t="shared" si="719"/>
        <v>0</v>
      </c>
      <c r="BR416" s="54">
        <f t="shared" si="720"/>
        <v>0</v>
      </c>
      <c r="BS416" s="54">
        <f t="shared" si="721"/>
        <v>0</v>
      </c>
      <c r="BT416" s="54">
        <f t="shared" si="722"/>
        <v>0</v>
      </c>
      <c r="BU416" s="54">
        <f t="shared" si="723"/>
        <v>1980</v>
      </c>
      <c r="BV416" s="54">
        <f t="shared" si="724"/>
        <v>0</v>
      </c>
      <c r="BW416" s="54">
        <f t="shared" si="725"/>
        <v>1980</v>
      </c>
      <c r="BX416" s="1"/>
      <c r="BY416" s="1"/>
      <c r="BZ416" s="1"/>
      <c r="CA416" s="1"/>
      <c r="CB416" s="1"/>
      <c r="CC416" s="1"/>
      <c r="CD416" s="1"/>
      <c r="CE416" s="1"/>
      <c r="CF416" s="1"/>
      <c r="CG416" s="1"/>
    </row>
    <row r="417" spans="1:85" ht="15.75" customHeight="1">
      <c r="A417" s="214" t="s">
        <v>792</v>
      </c>
      <c r="B417" s="439"/>
      <c r="C417" s="394" t="s">
        <v>765</v>
      </c>
      <c r="D417" s="82" t="s">
        <v>793</v>
      </c>
      <c r="E417" s="91"/>
      <c r="F417" s="92"/>
      <c r="G417" s="46">
        <f t="shared" si="713"/>
        <v>0</v>
      </c>
      <c r="H417" s="46"/>
      <c r="I417" s="47">
        <f t="shared" si="714"/>
        <v>0</v>
      </c>
      <c r="J417" s="47">
        <f t="shared" si="715"/>
        <v>0</v>
      </c>
      <c r="K417" s="202">
        <v>34800</v>
      </c>
      <c r="L417" s="146"/>
      <c r="M417" s="148"/>
      <c r="N417" s="148"/>
      <c r="O417" s="51">
        <f t="shared" si="689"/>
        <v>34800</v>
      </c>
      <c r="P417" s="51">
        <f t="shared" si="690"/>
        <v>0</v>
      </c>
      <c r="Q417" s="51">
        <f t="shared" si="691"/>
        <v>0</v>
      </c>
      <c r="R417" s="52">
        <f t="shared" si="692"/>
        <v>34800</v>
      </c>
      <c r="S417" s="52">
        <f t="shared" si="693"/>
        <v>0</v>
      </c>
      <c r="T417" s="52">
        <f t="shared" si="694"/>
        <v>0</v>
      </c>
      <c r="U417" s="368">
        <f t="shared" si="695"/>
        <v>0</v>
      </c>
      <c r="V417" s="369">
        <f t="shared" si="696"/>
        <v>0</v>
      </c>
      <c r="W417" s="369">
        <f t="shared" si="697"/>
        <v>0</v>
      </c>
      <c r="X417" s="53">
        <f t="shared" si="708"/>
        <v>1</v>
      </c>
      <c r="Y417" s="53">
        <f t="shared" si="709"/>
        <v>0</v>
      </c>
      <c r="Z417" s="53">
        <f t="shared" si="515"/>
        <v>0</v>
      </c>
      <c r="AA417" s="148"/>
      <c r="AB417" s="148"/>
      <c r="AC417" s="148"/>
      <c r="AD417" s="148"/>
      <c r="AE417" s="132"/>
      <c r="AF417" s="132"/>
      <c r="AG417" s="134"/>
      <c r="AH417" s="132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>
        <f>28700+6100</f>
        <v>34800</v>
      </c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  <c r="BI417" s="148"/>
      <c r="BJ417" s="148"/>
      <c r="BK417" s="148"/>
      <c r="BL417" s="148"/>
      <c r="BM417" s="148"/>
      <c r="BN417" s="54">
        <f t="shared" si="716"/>
        <v>34800</v>
      </c>
      <c r="BO417" s="58">
        <f t="shared" si="717"/>
        <v>0</v>
      </c>
      <c r="BP417" s="54">
        <f t="shared" si="718"/>
        <v>34800</v>
      </c>
      <c r="BQ417" s="54">
        <f t="shared" si="719"/>
        <v>0</v>
      </c>
      <c r="BR417" s="54">
        <f t="shared" si="720"/>
        <v>0</v>
      </c>
      <c r="BS417" s="54">
        <f t="shared" si="721"/>
        <v>0</v>
      </c>
      <c r="BT417" s="54">
        <f t="shared" si="722"/>
        <v>0</v>
      </c>
      <c r="BU417" s="54">
        <f t="shared" si="723"/>
        <v>34800</v>
      </c>
      <c r="BV417" s="54">
        <f t="shared" si="724"/>
        <v>0</v>
      </c>
      <c r="BW417" s="54">
        <f t="shared" si="725"/>
        <v>34800</v>
      </c>
      <c r="BX417" s="1"/>
      <c r="BY417" s="1"/>
      <c r="BZ417" s="1"/>
      <c r="CA417" s="1"/>
      <c r="CB417" s="1"/>
      <c r="CC417" s="1"/>
      <c r="CD417" s="1"/>
      <c r="CE417" s="1"/>
      <c r="CF417" s="1"/>
      <c r="CG417" s="1"/>
    </row>
    <row r="418" spans="1:85" ht="15.75" customHeight="1">
      <c r="A418" s="214" t="s">
        <v>794</v>
      </c>
      <c r="B418" s="439"/>
      <c r="C418" s="394" t="s">
        <v>765</v>
      </c>
      <c r="D418" s="82" t="s">
        <v>789</v>
      </c>
      <c r="E418" s="91"/>
      <c r="F418" s="92"/>
      <c r="G418" s="46"/>
      <c r="H418" s="46"/>
      <c r="I418" s="47"/>
      <c r="J418" s="47"/>
      <c r="K418" s="202">
        <v>10658.2</v>
      </c>
      <c r="L418" s="146"/>
      <c r="M418" s="148"/>
      <c r="N418" s="148"/>
      <c r="O418" s="51">
        <f t="shared" si="689"/>
        <v>0</v>
      </c>
      <c r="P418" s="51">
        <f t="shared" si="690"/>
        <v>0</v>
      </c>
      <c r="Q418" s="51">
        <f t="shared" si="691"/>
        <v>0</v>
      </c>
      <c r="R418" s="52">
        <f t="shared" si="692"/>
        <v>0</v>
      </c>
      <c r="S418" s="52">
        <f t="shared" si="693"/>
        <v>0</v>
      </c>
      <c r="T418" s="52">
        <f t="shared" si="694"/>
        <v>0</v>
      </c>
      <c r="U418" s="368">
        <f t="shared" si="695"/>
        <v>10658.2</v>
      </c>
      <c r="V418" s="369">
        <f t="shared" si="696"/>
        <v>0</v>
      </c>
      <c r="W418" s="369">
        <f t="shared" si="697"/>
        <v>0</v>
      </c>
      <c r="X418" s="53">
        <f t="shared" si="708"/>
        <v>0</v>
      </c>
      <c r="Y418" s="53">
        <f t="shared" si="709"/>
        <v>0</v>
      </c>
      <c r="Z418" s="53">
        <f t="shared" si="515"/>
        <v>0</v>
      </c>
      <c r="AA418" s="148"/>
      <c r="AB418" s="148"/>
      <c r="AC418" s="148"/>
      <c r="AD418" s="148"/>
      <c r="AE418" s="132"/>
      <c r="AF418" s="132"/>
      <c r="AG418" s="134"/>
      <c r="AH418" s="132"/>
      <c r="AI418" s="148"/>
      <c r="AJ418" s="148"/>
      <c r="AK418" s="148"/>
      <c r="AL418" s="148"/>
      <c r="AM418" s="148"/>
      <c r="AN418" s="148"/>
      <c r="AO418" s="148"/>
      <c r="AP418" s="148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48"/>
      <c r="BD418" s="148"/>
      <c r="BE418" s="148"/>
      <c r="BF418" s="148"/>
      <c r="BG418" s="148"/>
      <c r="BH418" s="148"/>
      <c r="BI418" s="148"/>
      <c r="BJ418" s="148"/>
      <c r="BK418" s="148"/>
      <c r="BL418" s="148"/>
      <c r="BM418" s="148"/>
      <c r="BN418" s="54">
        <f t="shared" si="716"/>
        <v>0</v>
      </c>
      <c r="BO418" s="58">
        <f t="shared" si="717"/>
        <v>0</v>
      </c>
      <c r="BP418" s="54">
        <f t="shared" si="718"/>
        <v>0</v>
      </c>
      <c r="BQ418" s="54">
        <f t="shared" si="719"/>
        <v>10658.2</v>
      </c>
      <c r="BR418" s="54">
        <f t="shared" si="720"/>
        <v>0</v>
      </c>
      <c r="BS418" s="54">
        <f t="shared" si="721"/>
        <v>10658.2</v>
      </c>
      <c r="BT418" s="54">
        <f t="shared" si="722"/>
        <v>0</v>
      </c>
      <c r="BU418" s="54">
        <f t="shared" si="723"/>
        <v>0</v>
      </c>
      <c r="BV418" s="54">
        <f t="shared" si="724"/>
        <v>10658.2</v>
      </c>
      <c r="BW418" s="54">
        <f t="shared" si="725"/>
        <v>0</v>
      </c>
      <c r="BX418" s="1"/>
      <c r="BY418" s="1"/>
      <c r="BZ418" s="1"/>
      <c r="CA418" s="1"/>
      <c r="CB418" s="1"/>
      <c r="CC418" s="1"/>
      <c r="CD418" s="1"/>
      <c r="CE418" s="1"/>
      <c r="CF418" s="1"/>
      <c r="CG418" s="1"/>
    </row>
    <row r="419" spans="1:85" ht="15.75" customHeight="1">
      <c r="A419" s="214" t="s">
        <v>795</v>
      </c>
      <c r="B419" s="439"/>
      <c r="C419" s="394" t="s">
        <v>765</v>
      </c>
      <c r="D419" s="82" t="s">
        <v>789</v>
      </c>
      <c r="E419" s="91"/>
      <c r="F419" s="92"/>
      <c r="G419" s="46"/>
      <c r="H419" s="46"/>
      <c r="I419" s="47"/>
      <c r="J419" s="47"/>
      <c r="K419" s="202">
        <v>2744</v>
      </c>
      <c r="L419" s="146"/>
      <c r="M419" s="148"/>
      <c r="N419" s="148"/>
      <c r="O419" s="51">
        <f t="shared" si="689"/>
        <v>0</v>
      </c>
      <c r="P419" s="51">
        <f t="shared" si="690"/>
        <v>0</v>
      </c>
      <c r="Q419" s="51">
        <f t="shared" si="691"/>
        <v>0</v>
      </c>
      <c r="R419" s="52">
        <f t="shared" si="692"/>
        <v>0</v>
      </c>
      <c r="S419" s="52">
        <f t="shared" si="693"/>
        <v>0</v>
      </c>
      <c r="T419" s="52">
        <f t="shared" si="694"/>
        <v>0</v>
      </c>
      <c r="U419" s="368">
        <f t="shared" si="695"/>
        <v>2744</v>
      </c>
      <c r="V419" s="369">
        <f t="shared" si="696"/>
        <v>0</v>
      </c>
      <c r="W419" s="369">
        <f t="shared" si="697"/>
        <v>0</v>
      </c>
      <c r="X419" s="53">
        <f t="shared" si="708"/>
        <v>0</v>
      </c>
      <c r="Y419" s="53">
        <f t="shared" si="709"/>
        <v>0</v>
      </c>
      <c r="Z419" s="53">
        <f t="shared" si="515"/>
        <v>0</v>
      </c>
      <c r="AA419" s="148"/>
      <c r="AB419" s="148"/>
      <c r="AC419" s="148"/>
      <c r="AD419" s="148"/>
      <c r="AE419" s="132"/>
      <c r="AF419" s="132"/>
      <c r="AG419" s="134"/>
      <c r="AH419" s="132"/>
      <c r="AI419" s="148"/>
      <c r="AJ419" s="148"/>
      <c r="AK419" s="148"/>
      <c r="AL419" s="148"/>
      <c r="AM419" s="148"/>
      <c r="AN419" s="148"/>
      <c r="AO419" s="148"/>
      <c r="AP419" s="148"/>
      <c r="AQ419" s="148"/>
      <c r="AR419" s="148"/>
      <c r="AS419" s="148"/>
      <c r="AT419" s="148"/>
      <c r="AU419" s="148"/>
      <c r="AV419" s="148"/>
      <c r="AW419" s="148"/>
      <c r="AX419" s="148"/>
      <c r="AY419" s="148"/>
      <c r="AZ419" s="148"/>
      <c r="BA419" s="148"/>
      <c r="BB419" s="148"/>
      <c r="BC419" s="148"/>
      <c r="BD419" s="148"/>
      <c r="BE419" s="148"/>
      <c r="BF419" s="148"/>
      <c r="BG419" s="148"/>
      <c r="BH419" s="148"/>
      <c r="BI419" s="148"/>
      <c r="BJ419" s="148"/>
      <c r="BK419" s="148"/>
      <c r="BL419" s="148"/>
      <c r="BM419" s="148"/>
      <c r="BN419" s="54">
        <f t="shared" si="716"/>
        <v>0</v>
      </c>
      <c r="BO419" s="58">
        <f t="shared" si="717"/>
        <v>0</v>
      </c>
      <c r="BP419" s="54">
        <f t="shared" si="718"/>
        <v>0</v>
      </c>
      <c r="BQ419" s="54">
        <f t="shared" si="719"/>
        <v>2744</v>
      </c>
      <c r="BR419" s="54">
        <f t="shared" si="720"/>
        <v>0</v>
      </c>
      <c r="BS419" s="54">
        <f t="shared" si="721"/>
        <v>2744</v>
      </c>
      <c r="BT419" s="54">
        <f t="shared" si="722"/>
        <v>0</v>
      </c>
      <c r="BU419" s="54">
        <f t="shared" si="723"/>
        <v>0</v>
      </c>
      <c r="BV419" s="54">
        <f t="shared" si="724"/>
        <v>2744</v>
      </c>
      <c r="BW419" s="54">
        <f t="shared" si="725"/>
        <v>0</v>
      </c>
      <c r="BX419" s="1"/>
      <c r="BY419" s="1"/>
      <c r="BZ419" s="1"/>
      <c r="CA419" s="1"/>
      <c r="CB419" s="1"/>
      <c r="CC419" s="1"/>
      <c r="CD419" s="1"/>
      <c r="CE419" s="1"/>
      <c r="CF419" s="1"/>
      <c r="CG419" s="1"/>
    </row>
    <row r="420" spans="1:85" ht="15.75" customHeight="1">
      <c r="A420" s="214" t="s">
        <v>796</v>
      </c>
      <c r="B420" s="439"/>
      <c r="C420" s="394" t="s">
        <v>765</v>
      </c>
      <c r="D420" s="82" t="s">
        <v>797</v>
      </c>
      <c r="E420" s="91"/>
      <c r="F420" s="92"/>
      <c r="G420" s="46"/>
      <c r="H420" s="46"/>
      <c r="I420" s="47"/>
      <c r="J420" s="47"/>
      <c r="K420" s="202">
        <v>7152</v>
      </c>
      <c r="L420" s="146"/>
      <c r="M420" s="148"/>
      <c r="N420" s="148"/>
      <c r="O420" s="51">
        <f t="shared" si="689"/>
        <v>0</v>
      </c>
      <c r="P420" s="51">
        <f t="shared" si="690"/>
        <v>0</v>
      </c>
      <c r="Q420" s="51">
        <f t="shared" si="691"/>
        <v>0</v>
      </c>
      <c r="R420" s="52">
        <f t="shared" si="692"/>
        <v>0</v>
      </c>
      <c r="S420" s="52">
        <f t="shared" si="693"/>
        <v>0</v>
      </c>
      <c r="T420" s="52">
        <f t="shared" si="694"/>
        <v>0</v>
      </c>
      <c r="U420" s="368">
        <f t="shared" si="695"/>
        <v>7152</v>
      </c>
      <c r="V420" s="369">
        <f t="shared" si="696"/>
        <v>0</v>
      </c>
      <c r="W420" s="369">
        <f t="shared" si="697"/>
        <v>0</v>
      </c>
      <c r="X420" s="53">
        <f t="shared" si="708"/>
        <v>0</v>
      </c>
      <c r="Y420" s="53">
        <f t="shared" si="709"/>
        <v>0</v>
      </c>
      <c r="Z420" s="53">
        <f t="shared" si="515"/>
        <v>0</v>
      </c>
      <c r="AA420" s="148"/>
      <c r="AB420" s="148"/>
      <c r="AC420" s="148"/>
      <c r="AD420" s="148"/>
      <c r="AE420" s="132"/>
      <c r="AF420" s="132"/>
      <c r="AG420" s="134"/>
      <c r="AH420" s="132"/>
      <c r="AI420" s="148"/>
      <c r="AJ420" s="148"/>
      <c r="AK420" s="148"/>
      <c r="AL420" s="148"/>
      <c r="AM420" s="148"/>
      <c r="AN420" s="148"/>
      <c r="AO420" s="148"/>
      <c r="AP420" s="148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48"/>
      <c r="BD420" s="148"/>
      <c r="BE420" s="148"/>
      <c r="BF420" s="148"/>
      <c r="BG420" s="148"/>
      <c r="BH420" s="148"/>
      <c r="BI420" s="148"/>
      <c r="BJ420" s="148"/>
      <c r="BK420" s="148"/>
      <c r="BL420" s="148"/>
      <c r="BM420" s="148"/>
      <c r="BN420" s="54">
        <f t="shared" si="716"/>
        <v>0</v>
      </c>
      <c r="BO420" s="58">
        <f t="shared" si="717"/>
        <v>0</v>
      </c>
      <c r="BP420" s="54">
        <f t="shared" si="718"/>
        <v>0</v>
      </c>
      <c r="BQ420" s="54">
        <f t="shared" si="719"/>
        <v>7152</v>
      </c>
      <c r="BR420" s="54">
        <f t="shared" si="720"/>
        <v>0</v>
      </c>
      <c r="BS420" s="54">
        <f t="shared" si="721"/>
        <v>7152</v>
      </c>
      <c r="BT420" s="54">
        <f t="shared" si="722"/>
        <v>0</v>
      </c>
      <c r="BU420" s="54">
        <f t="shared" si="723"/>
        <v>0</v>
      </c>
      <c r="BV420" s="54">
        <f t="shared" si="724"/>
        <v>7152</v>
      </c>
      <c r="BW420" s="54">
        <f t="shared" si="725"/>
        <v>0</v>
      </c>
      <c r="BX420" s="1"/>
      <c r="BY420" s="1"/>
      <c r="BZ420" s="1"/>
      <c r="CA420" s="1"/>
      <c r="CB420" s="1"/>
      <c r="CC420" s="1"/>
      <c r="CD420" s="1"/>
      <c r="CE420" s="1"/>
      <c r="CF420" s="1"/>
      <c r="CG420" s="1"/>
    </row>
    <row r="421" spans="1:85" ht="15.75" customHeight="1">
      <c r="A421" s="214" t="s">
        <v>798</v>
      </c>
      <c r="B421" s="439"/>
      <c r="C421" s="394" t="s">
        <v>765</v>
      </c>
      <c r="D421" s="82" t="s">
        <v>793</v>
      </c>
      <c r="E421" s="91"/>
      <c r="F421" s="92"/>
      <c r="G421" s="46">
        <f>E421-F421</f>
        <v>0</v>
      </c>
      <c r="H421" s="46"/>
      <c r="I421" s="47">
        <f>IF(G421&gt;0,K421/G421,0)</f>
        <v>0</v>
      </c>
      <c r="J421" s="47">
        <f>IF(G421&gt;0,O421/G421,0)</f>
        <v>0</v>
      </c>
      <c r="K421" s="202">
        <f>155040-33165-121875</f>
        <v>0</v>
      </c>
      <c r="L421" s="146"/>
      <c r="M421" s="148"/>
      <c r="N421" s="148"/>
      <c r="O421" s="51">
        <f t="shared" si="689"/>
        <v>0</v>
      </c>
      <c r="P421" s="51">
        <f t="shared" si="690"/>
        <v>0</v>
      </c>
      <c r="Q421" s="51">
        <f t="shared" si="691"/>
        <v>0</v>
      </c>
      <c r="R421" s="52">
        <f t="shared" si="692"/>
        <v>0</v>
      </c>
      <c r="S421" s="52">
        <f t="shared" si="693"/>
        <v>0</v>
      </c>
      <c r="T421" s="52">
        <f t="shared" si="694"/>
        <v>0</v>
      </c>
      <c r="U421" s="369">
        <f t="shared" si="695"/>
        <v>0</v>
      </c>
      <c r="V421" s="369">
        <f t="shared" si="696"/>
        <v>0</v>
      </c>
      <c r="W421" s="369">
        <f t="shared" si="697"/>
        <v>0</v>
      </c>
      <c r="X421" s="53">
        <f t="shared" si="708"/>
        <v>0</v>
      </c>
      <c r="Y421" s="53">
        <f t="shared" si="709"/>
        <v>0</v>
      </c>
      <c r="Z421" s="53">
        <f t="shared" si="515"/>
        <v>0</v>
      </c>
      <c r="AA421" s="148"/>
      <c r="AB421" s="148"/>
      <c r="AC421" s="148"/>
      <c r="AD421" s="148"/>
      <c r="AE421" s="132"/>
      <c r="AF421" s="132"/>
      <c r="AG421" s="134">
        <v>33615</v>
      </c>
      <c r="AH421" s="132"/>
      <c r="AI421" s="148"/>
      <c r="AJ421" s="148">
        <f>-33165+-450</f>
        <v>-33615</v>
      </c>
      <c r="AK421" s="148"/>
      <c r="AL421" s="148"/>
      <c r="AM421" s="148"/>
      <c r="AN421" s="148"/>
      <c r="AO421" s="148"/>
      <c r="AP421" s="148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48"/>
      <c r="BD421" s="148"/>
      <c r="BE421" s="148"/>
      <c r="BF421" s="148"/>
      <c r="BG421" s="148"/>
      <c r="BH421" s="148"/>
      <c r="BI421" s="148"/>
      <c r="BJ421" s="148"/>
      <c r="BK421" s="148"/>
      <c r="BL421" s="148"/>
      <c r="BM421" s="148"/>
      <c r="BN421" s="54">
        <f t="shared" si="716"/>
        <v>0</v>
      </c>
      <c r="BO421" s="58">
        <f t="shared" si="717"/>
        <v>0</v>
      </c>
      <c r="BP421" s="54">
        <f t="shared" si="718"/>
        <v>0</v>
      </c>
      <c r="BQ421" s="54">
        <f t="shared" si="719"/>
        <v>0</v>
      </c>
      <c r="BR421" s="54">
        <f t="shared" si="720"/>
        <v>0</v>
      </c>
      <c r="BS421" s="54">
        <f t="shared" si="721"/>
        <v>0</v>
      </c>
      <c r="BT421" s="54">
        <f t="shared" si="722"/>
        <v>0</v>
      </c>
      <c r="BU421" s="54">
        <f t="shared" si="723"/>
        <v>0</v>
      </c>
      <c r="BV421" s="54">
        <f t="shared" si="724"/>
        <v>0</v>
      </c>
      <c r="BW421" s="54">
        <f t="shared" si="725"/>
        <v>0</v>
      </c>
      <c r="BX421" s="1"/>
      <c r="BY421" s="1"/>
      <c r="BZ421" s="1"/>
      <c r="CA421" s="1"/>
      <c r="CB421" s="1"/>
      <c r="CC421" s="1"/>
      <c r="CD421" s="1"/>
      <c r="CE421" s="1"/>
      <c r="CF421" s="1"/>
      <c r="CG421" s="1"/>
    </row>
    <row r="422" spans="1:85" ht="15.75" customHeight="1">
      <c r="A422" s="215" t="s">
        <v>799</v>
      </c>
      <c r="B422" s="439"/>
      <c r="C422" s="394" t="s">
        <v>765</v>
      </c>
      <c r="D422" s="82" t="s">
        <v>766</v>
      </c>
      <c r="E422" s="91"/>
      <c r="F422" s="92"/>
      <c r="G422" s="46">
        <f>E422-F422</f>
        <v>0</v>
      </c>
      <c r="H422" s="46"/>
      <c r="I422" s="47">
        <f>IF(G422&gt;0,K422/G422,0)</f>
        <v>0</v>
      </c>
      <c r="J422" s="47">
        <f>IF(G422&gt;0,O422/G422,0)</f>
        <v>0</v>
      </c>
      <c r="K422" s="202">
        <v>33165</v>
      </c>
      <c r="L422" s="146"/>
      <c r="M422" s="148"/>
      <c r="N422" s="148"/>
      <c r="O422" s="51">
        <f t="shared" si="689"/>
        <v>33165</v>
      </c>
      <c r="P422" s="51">
        <f t="shared" si="690"/>
        <v>0</v>
      </c>
      <c r="Q422" s="51">
        <f t="shared" si="691"/>
        <v>0</v>
      </c>
      <c r="R422" s="52">
        <f t="shared" si="692"/>
        <v>33165</v>
      </c>
      <c r="S422" s="52">
        <f t="shared" si="693"/>
        <v>0</v>
      </c>
      <c r="T422" s="52">
        <f t="shared" si="694"/>
        <v>0</v>
      </c>
      <c r="U422" s="369">
        <f t="shared" si="695"/>
        <v>0</v>
      </c>
      <c r="V422" s="369">
        <f t="shared" si="696"/>
        <v>0</v>
      </c>
      <c r="W422" s="369">
        <f t="shared" si="697"/>
        <v>0</v>
      </c>
      <c r="X422" s="53">
        <f t="shared" si="708"/>
        <v>1</v>
      </c>
      <c r="Y422" s="53">
        <f t="shared" si="709"/>
        <v>0</v>
      </c>
      <c r="Z422" s="53">
        <f t="shared" si="515"/>
        <v>0</v>
      </c>
      <c r="AA422" s="148"/>
      <c r="AB422" s="148"/>
      <c r="AC422" s="148"/>
      <c r="AD422" s="148"/>
      <c r="AE422" s="132"/>
      <c r="AF422" s="132"/>
      <c r="AG422" s="132"/>
      <c r="AH422" s="132"/>
      <c r="AI422" s="148"/>
      <c r="AJ422" s="152">
        <v>33165</v>
      </c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8"/>
      <c r="BG422" s="148"/>
      <c r="BH422" s="148"/>
      <c r="BI422" s="148"/>
      <c r="BJ422" s="148"/>
      <c r="BK422" s="148"/>
      <c r="BL422" s="148"/>
      <c r="BM422" s="148"/>
      <c r="BN422" s="54">
        <f t="shared" si="716"/>
        <v>33165</v>
      </c>
      <c r="BO422" s="58">
        <f t="shared" si="717"/>
        <v>0</v>
      </c>
      <c r="BP422" s="54">
        <f t="shared" si="718"/>
        <v>33165</v>
      </c>
      <c r="BQ422" s="54">
        <f t="shared" si="719"/>
        <v>0</v>
      </c>
      <c r="BR422" s="54">
        <f t="shared" si="720"/>
        <v>0</v>
      </c>
      <c r="BS422" s="54">
        <f t="shared" si="721"/>
        <v>0</v>
      </c>
      <c r="BT422" s="54">
        <f t="shared" si="722"/>
        <v>0</v>
      </c>
      <c r="BU422" s="54">
        <f t="shared" si="723"/>
        <v>33165</v>
      </c>
      <c r="BV422" s="54">
        <f t="shared" si="724"/>
        <v>0</v>
      </c>
      <c r="BW422" s="54">
        <f t="shared" si="725"/>
        <v>33165</v>
      </c>
      <c r="BX422" s="1"/>
      <c r="BY422" s="1"/>
      <c r="BZ422" s="1"/>
      <c r="CA422" s="1"/>
      <c r="CB422" s="1"/>
      <c r="CC422" s="1"/>
      <c r="CD422" s="1"/>
      <c r="CE422" s="1"/>
      <c r="CF422" s="1"/>
      <c r="CG422" s="1"/>
    </row>
    <row r="423" spans="1:85" ht="15.75" customHeight="1">
      <c r="A423" s="215" t="s">
        <v>800</v>
      </c>
      <c r="B423" s="439"/>
      <c r="C423" s="394" t="s">
        <v>765</v>
      </c>
      <c r="D423" s="82" t="s">
        <v>766</v>
      </c>
      <c r="E423" s="91"/>
      <c r="F423" s="92"/>
      <c r="G423" s="46">
        <f>E423-F423</f>
        <v>0</v>
      </c>
      <c r="H423" s="46"/>
      <c r="I423" s="47">
        <f>IF(G423&gt;0,K423/G423,0)</f>
        <v>0</v>
      </c>
      <c r="J423" s="47">
        <f>IF(G423&gt;0,O423/G423,0)</f>
        <v>0</v>
      </c>
      <c r="K423" s="202">
        <v>121875</v>
      </c>
      <c r="L423" s="146"/>
      <c r="M423" s="148"/>
      <c r="N423" s="148"/>
      <c r="O423" s="51">
        <f t="shared" si="689"/>
        <v>97200</v>
      </c>
      <c r="P423" s="51">
        <f t="shared" si="690"/>
        <v>0</v>
      </c>
      <c r="Q423" s="51">
        <f t="shared" si="691"/>
        <v>0</v>
      </c>
      <c r="R423" s="52">
        <f t="shared" si="692"/>
        <v>97200</v>
      </c>
      <c r="S423" s="52">
        <f t="shared" si="693"/>
        <v>0</v>
      </c>
      <c r="T423" s="52">
        <f t="shared" si="694"/>
        <v>0</v>
      </c>
      <c r="U423" s="368">
        <f t="shared" si="695"/>
        <v>24675</v>
      </c>
      <c r="V423" s="369">
        <f t="shared" si="696"/>
        <v>0</v>
      </c>
      <c r="W423" s="369">
        <f t="shared" si="697"/>
        <v>0</v>
      </c>
      <c r="X423" s="53">
        <f t="shared" si="708"/>
        <v>0.79753846153846153</v>
      </c>
      <c r="Y423" s="53">
        <f t="shared" si="709"/>
        <v>0</v>
      </c>
      <c r="Z423" s="53">
        <f t="shared" si="515"/>
        <v>0</v>
      </c>
      <c r="AA423" s="148"/>
      <c r="AB423" s="148"/>
      <c r="AC423" s="148"/>
      <c r="AD423" s="148"/>
      <c r="AE423" s="132"/>
      <c r="AF423" s="132"/>
      <c r="AG423" s="132"/>
      <c r="AH423" s="132"/>
      <c r="AI423" s="148"/>
      <c r="AJ423" s="152">
        <v>450</v>
      </c>
      <c r="AK423" s="148"/>
      <c r="AL423" s="148"/>
      <c r="AM423" s="152">
        <f>17220+17220</f>
        <v>34440</v>
      </c>
      <c r="AN423" s="148"/>
      <c r="AO423" s="148"/>
      <c r="AP423" s="148"/>
      <c r="AQ423" s="148"/>
      <c r="AR423" s="148"/>
      <c r="AS423" s="152">
        <v>62310</v>
      </c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  <c r="BI423" s="148"/>
      <c r="BJ423" s="148"/>
      <c r="BK423" s="148"/>
      <c r="BL423" s="148"/>
      <c r="BM423" s="148"/>
      <c r="BN423" s="54">
        <f t="shared" si="716"/>
        <v>97200</v>
      </c>
      <c r="BO423" s="58">
        <f t="shared" si="717"/>
        <v>0</v>
      </c>
      <c r="BP423" s="54">
        <f t="shared" si="718"/>
        <v>97200</v>
      </c>
      <c r="BQ423" s="54">
        <f t="shared" si="719"/>
        <v>24675</v>
      </c>
      <c r="BR423" s="54">
        <f t="shared" si="720"/>
        <v>0</v>
      </c>
      <c r="BS423" s="54">
        <f t="shared" si="721"/>
        <v>24675</v>
      </c>
      <c r="BT423" s="54">
        <f t="shared" si="722"/>
        <v>0</v>
      </c>
      <c r="BU423" s="54">
        <f t="shared" si="723"/>
        <v>97200</v>
      </c>
      <c r="BV423" s="54">
        <f t="shared" si="724"/>
        <v>24675</v>
      </c>
      <c r="BW423" s="54">
        <f t="shared" si="725"/>
        <v>97200</v>
      </c>
      <c r="BX423" s="1"/>
      <c r="BY423" s="1"/>
      <c r="BZ423" s="1"/>
      <c r="CA423" s="1"/>
      <c r="CB423" s="1"/>
      <c r="CC423" s="1"/>
      <c r="CD423" s="1"/>
      <c r="CE423" s="1"/>
      <c r="CF423" s="1"/>
      <c r="CG423" s="1"/>
    </row>
    <row r="424" spans="1:85" ht="15.75" customHeight="1">
      <c r="A424" s="84" t="s">
        <v>801</v>
      </c>
      <c r="B424" s="426"/>
      <c r="C424" s="394" t="s">
        <v>802</v>
      </c>
      <c r="D424" s="78" t="s">
        <v>803</v>
      </c>
      <c r="E424" s="91">
        <v>15000</v>
      </c>
      <c r="F424" s="92"/>
      <c r="G424" s="46">
        <f>E424-F424</f>
        <v>15000</v>
      </c>
      <c r="H424" s="46"/>
      <c r="I424" s="47">
        <f>IF(G424&gt;0,K424/G424,0)</f>
        <v>0</v>
      </c>
      <c r="J424" s="47">
        <f>IF(G424&gt;0,O424/G424,0)</f>
        <v>0</v>
      </c>
      <c r="K424" s="202"/>
      <c r="L424" s="146"/>
      <c r="M424" s="148"/>
      <c r="N424" s="148"/>
      <c r="O424" s="51">
        <f t="shared" si="689"/>
        <v>0</v>
      </c>
      <c r="P424" s="51">
        <f t="shared" si="690"/>
        <v>0</v>
      </c>
      <c r="Q424" s="51">
        <f t="shared" si="691"/>
        <v>0</v>
      </c>
      <c r="R424" s="52">
        <f t="shared" si="692"/>
        <v>0</v>
      </c>
      <c r="S424" s="52">
        <f t="shared" si="693"/>
        <v>0</v>
      </c>
      <c r="T424" s="52">
        <f t="shared" si="694"/>
        <v>0</v>
      </c>
      <c r="U424" s="369">
        <f t="shared" si="695"/>
        <v>0</v>
      </c>
      <c r="V424" s="369">
        <f t="shared" si="696"/>
        <v>0</v>
      </c>
      <c r="W424" s="369">
        <f t="shared" si="697"/>
        <v>0</v>
      </c>
      <c r="X424" s="53">
        <f t="shared" si="708"/>
        <v>0</v>
      </c>
      <c r="Y424" s="53">
        <f t="shared" si="709"/>
        <v>0</v>
      </c>
      <c r="Z424" s="53">
        <f t="shared" si="515"/>
        <v>0</v>
      </c>
      <c r="AA424" s="148"/>
      <c r="AB424" s="148"/>
      <c r="AC424" s="148"/>
      <c r="AD424" s="148"/>
      <c r="AE424" s="132"/>
      <c r="AF424" s="132"/>
      <c r="AG424" s="132"/>
      <c r="AH424" s="132"/>
      <c r="AI424" s="148"/>
      <c r="AJ424" s="148"/>
      <c r="AK424" s="148"/>
      <c r="AL424" s="148"/>
      <c r="AM424" s="148"/>
      <c r="AN424" s="148"/>
      <c r="AO424" s="148"/>
      <c r="AP424" s="152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  <c r="BI424" s="148"/>
      <c r="BJ424" s="148"/>
      <c r="BK424" s="148"/>
      <c r="BL424" s="148"/>
      <c r="BM424" s="148"/>
      <c r="BN424" s="54">
        <f t="shared" si="716"/>
        <v>0</v>
      </c>
      <c r="BO424" s="58">
        <f t="shared" si="717"/>
        <v>0</v>
      </c>
      <c r="BP424" s="54">
        <f t="shared" si="718"/>
        <v>0</v>
      </c>
      <c r="BQ424" s="54">
        <f t="shared" si="719"/>
        <v>0</v>
      </c>
      <c r="BR424" s="54">
        <f t="shared" si="720"/>
        <v>0</v>
      </c>
      <c r="BS424" s="54">
        <f t="shared" si="721"/>
        <v>0</v>
      </c>
      <c r="BT424" s="54">
        <f t="shared" si="722"/>
        <v>0</v>
      </c>
      <c r="BU424" s="54">
        <f t="shared" si="723"/>
        <v>0</v>
      </c>
      <c r="BV424" s="54">
        <f t="shared" si="724"/>
        <v>0</v>
      </c>
      <c r="BW424" s="54">
        <f t="shared" si="725"/>
        <v>0</v>
      </c>
      <c r="BX424" s="1"/>
      <c r="BY424" s="1"/>
      <c r="BZ424" s="1"/>
      <c r="CA424" s="1"/>
      <c r="CB424" s="1"/>
      <c r="CC424" s="1"/>
      <c r="CD424" s="1"/>
      <c r="CE424" s="1"/>
      <c r="CF424" s="1"/>
      <c r="CG424" s="1"/>
    </row>
    <row r="425" spans="1:85" ht="15.75" customHeight="1">
      <c r="A425" s="83"/>
      <c r="B425" s="429" t="s">
        <v>804</v>
      </c>
      <c r="C425" s="394" t="s">
        <v>802</v>
      </c>
      <c r="D425" s="78" t="s">
        <v>805</v>
      </c>
      <c r="E425" s="91"/>
      <c r="F425" s="92"/>
      <c r="G425" s="46">
        <f>E425-F425</f>
        <v>0</v>
      </c>
      <c r="H425" s="46"/>
      <c r="I425" s="47">
        <f>IF(G425&gt;0,K425/G425,0)</f>
        <v>0</v>
      </c>
      <c r="J425" s="47">
        <f>IF(G425&gt;0,O425/G425,0)</f>
        <v>0</v>
      </c>
      <c r="K425" s="202"/>
      <c r="L425" s="146">
        <v>682.42</v>
      </c>
      <c r="M425" s="148"/>
      <c r="N425" s="148"/>
      <c r="O425" s="51">
        <f t="shared" si="689"/>
        <v>0</v>
      </c>
      <c r="P425" s="51">
        <f t="shared" si="690"/>
        <v>682.42</v>
      </c>
      <c r="Q425" s="51">
        <f t="shared" si="691"/>
        <v>0</v>
      </c>
      <c r="R425" s="52">
        <f t="shared" si="692"/>
        <v>0</v>
      </c>
      <c r="S425" s="52">
        <f t="shared" si="693"/>
        <v>682.42</v>
      </c>
      <c r="T425" s="52">
        <f t="shared" si="694"/>
        <v>0</v>
      </c>
      <c r="U425" s="369">
        <f t="shared" si="695"/>
        <v>0</v>
      </c>
      <c r="V425" s="369">
        <f t="shared" si="696"/>
        <v>0</v>
      </c>
      <c r="W425" s="369">
        <f t="shared" si="697"/>
        <v>0</v>
      </c>
      <c r="X425" s="53">
        <f t="shared" si="708"/>
        <v>0</v>
      </c>
      <c r="Y425" s="53">
        <f t="shared" si="709"/>
        <v>1</v>
      </c>
      <c r="Z425" s="53">
        <f t="shared" si="515"/>
        <v>0</v>
      </c>
      <c r="AA425" s="148"/>
      <c r="AB425" s="152">
        <v>682.42</v>
      </c>
      <c r="AC425" s="148"/>
      <c r="AD425" s="148"/>
      <c r="AE425" s="132"/>
      <c r="AF425" s="132"/>
      <c r="AG425" s="132"/>
      <c r="AH425" s="132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  <c r="BI425" s="148"/>
      <c r="BJ425" s="148"/>
      <c r="BK425" s="148"/>
      <c r="BL425" s="148"/>
      <c r="BM425" s="148"/>
      <c r="BN425" s="54">
        <f t="shared" si="716"/>
        <v>0</v>
      </c>
      <c r="BO425" s="58">
        <f t="shared" si="717"/>
        <v>0</v>
      </c>
      <c r="BP425" s="54">
        <f t="shared" si="718"/>
        <v>0</v>
      </c>
      <c r="BQ425" s="54">
        <f t="shared" si="719"/>
        <v>0</v>
      </c>
      <c r="BR425" s="54">
        <f t="shared" si="720"/>
        <v>0</v>
      </c>
      <c r="BS425" s="54">
        <f t="shared" si="721"/>
        <v>0</v>
      </c>
      <c r="BT425" s="54">
        <f t="shared" si="722"/>
        <v>0</v>
      </c>
      <c r="BU425" s="54">
        <f t="shared" si="723"/>
        <v>0</v>
      </c>
      <c r="BV425" s="54">
        <f t="shared" si="724"/>
        <v>0</v>
      </c>
      <c r="BW425" s="54">
        <f t="shared" si="725"/>
        <v>0</v>
      </c>
      <c r="BX425" s="1"/>
      <c r="BY425" s="1"/>
      <c r="BZ425" s="1"/>
      <c r="CA425" s="1"/>
      <c r="CB425" s="1"/>
      <c r="CC425" s="1"/>
      <c r="CD425" s="1"/>
      <c r="CE425" s="1"/>
      <c r="CF425" s="1"/>
      <c r="CG425" s="1"/>
    </row>
    <row r="426" spans="1:85" ht="15.75" customHeight="1">
      <c r="A426" s="84" t="s">
        <v>806</v>
      </c>
      <c r="B426" s="439"/>
      <c r="C426" s="394" t="s">
        <v>802</v>
      </c>
      <c r="D426" s="82" t="s">
        <v>807</v>
      </c>
      <c r="E426" s="91"/>
      <c r="F426" s="92"/>
      <c r="G426" s="46"/>
      <c r="H426" s="46"/>
      <c r="I426" s="47"/>
      <c r="J426" s="47"/>
      <c r="K426" s="202">
        <v>18515</v>
      </c>
      <c r="L426" s="146"/>
      <c r="M426" s="152"/>
      <c r="N426" s="148"/>
      <c r="O426" s="51">
        <f t="shared" si="689"/>
        <v>18515</v>
      </c>
      <c r="P426" s="51">
        <f t="shared" si="690"/>
        <v>0</v>
      </c>
      <c r="Q426" s="51">
        <f t="shared" si="691"/>
        <v>0</v>
      </c>
      <c r="R426" s="52">
        <f t="shared" si="692"/>
        <v>18515</v>
      </c>
      <c r="S426" s="52">
        <f t="shared" si="693"/>
        <v>0</v>
      </c>
      <c r="T426" s="52">
        <f t="shared" si="694"/>
        <v>0</v>
      </c>
      <c r="U426" s="369">
        <f t="shared" si="695"/>
        <v>0</v>
      </c>
      <c r="V426" s="369">
        <f t="shared" si="696"/>
        <v>0</v>
      </c>
      <c r="W426" s="369">
        <f t="shared" si="697"/>
        <v>0</v>
      </c>
      <c r="X426" s="53">
        <f t="shared" si="708"/>
        <v>1</v>
      </c>
      <c r="Y426" s="53">
        <f t="shared" si="709"/>
        <v>0</v>
      </c>
      <c r="Z426" s="53">
        <f t="shared" si="515"/>
        <v>0</v>
      </c>
      <c r="AA426" s="148"/>
      <c r="AB426" s="148"/>
      <c r="AC426" s="148"/>
      <c r="AD426" s="148"/>
      <c r="AE426" s="132"/>
      <c r="AF426" s="132"/>
      <c r="AG426" s="132"/>
      <c r="AH426" s="132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>
        <f>5290+7935</f>
        <v>13225</v>
      </c>
      <c r="AW426" s="148"/>
      <c r="AX426" s="148"/>
      <c r="AY426" s="152">
        <v>5290</v>
      </c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8"/>
      <c r="BN426" s="54">
        <f t="shared" si="716"/>
        <v>18515</v>
      </c>
      <c r="BO426" s="58">
        <f t="shared" si="717"/>
        <v>0</v>
      </c>
      <c r="BP426" s="54">
        <f t="shared" si="718"/>
        <v>18515</v>
      </c>
      <c r="BQ426" s="54">
        <f t="shared" si="719"/>
        <v>0</v>
      </c>
      <c r="BR426" s="54">
        <f t="shared" si="720"/>
        <v>0</v>
      </c>
      <c r="BS426" s="54">
        <f t="shared" si="721"/>
        <v>0</v>
      </c>
      <c r="BT426" s="54">
        <f t="shared" si="722"/>
        <v>0</v>
      </c>
      <c r="BU426" s="54">
        <f t="shared" si="723"/>
        <v>18515</v>
      </c>
      <c r="BV426" s="54">
        <f t="shared" si="724"/>
        <v>0</v>
      </c>
      <c r="BW426" s="54">
        <f t="shared" si="725"/>
        <v>18515</v>
      </c>
      <c r="BX426" s="1"/>
      <c r="BY426" s="1"/>
      <c r="BZ426" s="1"/>
      <c r="CA426" s="1"/>
      <c r="CB426" s="1"/>
      <c r="CC426" s="1"/>
      <c r="CD426" s="1"/>
      <c r="CE426" s="1"/>
      <c r="CF426" s="1"/>
      <c r="CG426" s="1"/>
    </row>
    <row r="427" spans="1:85" ht="15.75" customHeight="1">
      <c r="A427" s="64"/>
      <c r="B427" s="426" t="s">
        <v>808</v>
      </c>
      <c r="C427" s="394" t="s">
        <v>486</v>
      </c>
      <c r="D427" s="78" t="s">
        <v>809</v>
      </c>
      <c r="E427" s="91">
        <v>40000</v>
      </c>
      <c r="F427" s="92"/>
      <c r="G427" s="46">
        <f t="shared" ref="G427:G433" si="726">E427-F427</f>
        <v>40000</v>
      </c>
      <c r="H427" s="46"/>
      <c r="I427" s="47">
        <f t="shared" ref="I427:I433" si="727">IF(G427&gt;0,K427/G427,0)</f>
        <v>0</v>
      </c>
      <c r="J427" s="47">
        <f t="shared" ref="J427:J433" si="728">IF(G427&gt;0,O427/G427,0)</f>
        <v>0</v>
      </c>
      <c r="K427" s="146"/>
      <c r="L427" s="146">
        <v>6857.41</v>
      </c>
      <c r="M427" s="152">
        <f>6857.41-6857.41</f>
        <v>0</v>
      </c>
      <c r="N427" s="148"/>
      <c r="O427" s="51">
        <f t="shared" si="689"/>
        <v>0</v>
      </c>
      <c r="P427" s="51">
        <f t="shared" si="690"/>
        <v>0</v>
      </c>
      <c r="Q427" s="51">
        <f t="shared" si="691"/>
        <v>0</v>
      </c>
      <c r="R427" s="52">
        <f t="shared" si="692"/>
        <v>0</v>
      </c>
      <c r="S427" s="52">
        <f t="shared" si="693"/>
        <v>0</v>
      </c>
      <c r="T427" s="52">
        <f t="shared" si="694"/>
        <v>0</v>
      </c>
      <c r="U427" s="369">
        <f t="shared" si="695"/>
        <v>0</v>
      </c>
      <c r="V427" s="369">
        <f t="shared" si="696"/>
        <v>6857.41</v>
      </c>
      <c r="W427" s="369">
        <f t="shared" si="697"/>
        <v>0</v>
      </c>
      <c r="X427" s="53">
        <f t="shared" si="708"/>
        <v>0</v>
      </c>
      <c r="Y427" s="53">
        <f t="shared" si="709"/>
        <v>0</v>
      </c>
      <c r="Z427" s="53">
        <f t="shared" si="515"/>
        <v>0</v>
      </c>
      <c r="AA427" s="148"/>
      <c r="AB427" s="148"/>
      <c r="AC427" s="148"/>
      <c r="AD427" s="148"/>
      <c r="AE427" s="132"/>
      <c r="AF427" s="132"/>
      <c r="AG427" s="132"/>
      <c r="AH427" s="132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48"/>
      <c r="BN427" s="54">
        <f t="shared" si="716"/>
        <v>0</v>
      </c>
      <c r="BO427" s="58">
        <f t="shared" si="717"/>
        <v>0</v>
      </c>
      <c r="BP427" s="54">
        <f t="shared" si="718"/>
        <v>0</v>
      </c>
      <c r="BQ427" s="54">
        <f t="shared" si="719"/>
        <v>0</v>
      </c>
      <c r="BR427" s="54">
        <f t="shared" si="720"/>
        <v>0</v>
      </c>
      <c r="BS427" s="54">
        <f t="shared" si="721"/>
        <v>0</v>
      </c>
      <c r="BT427" s="54">
        <f t="shared" si="722"/>
        <v>6857.41</v>
      </c>
      <c r="BU427" s="54">
        <f t="shared" si="723"/>
        <v>0</v>
      </c>
      <c r="BV427" s="54">
        <f t="shared" si="724"/>
        <v>0</v>
      </c>
      <c r="BW427" s="54">
        <f t="shared" si="725"/>
        <v>6857.41</v>
      </c>
      <c r="BX427" s="1"/>
      <c r="BY427" s="1"/>
      <c r="BZ427" s="1"/>
      <c r="CA427" s="1"/>
      <c r="CB427" s="1"/>
      <c r="CC427" s="1"/>
      <c r="CD427" s="1"/>
      <c r="CE427" s="1"/>
      <c r="CF427" s="1"/>
      <c r="CG427" s="1"/>
    </row>
    <row r="428" spans="1:85" ht="15.75" customHeight="1">
      <c r="A428" s="83"/>
      <c r="B428" s="429" t="s">
        <v>810</v>
      </c>
      <c r="C428" s="394" t="s">
        <v>486</v>
      </c>
      <c r="D428" s="78" t="s">
        <v>811</v>
      </c>
      <c r="E428" s="91"/>
      <c r="F428" s="92"/>
      <c r="G428" s="46">
        <f t="shared" si="726"/>
        <v>0</v>
      </c>
      <c r="H428" s="46"/>
      <c r="I428" s="47">
        <f t="shared" si="727"/>
        <v>0</v>
      </c>
      <c r="J428" s="47">
        <f t="shared" si="728"/>
        <v>0</v>
      </c>
      <c r="K428" s="146"/>
      <c r="L428" s="146">
        <v>3275.19</v>
      </c>
      <c r="M428" s="152">
        <v>1088.1600000000001</v>
      </c>
      <c r="N428" s="148"/>
      <c r="O428" s="51">
        <f t="shared" si="689"/>
        <v>0</v>
      </c>
      <c r="P428" s="51">
        <f t="shared" si="690"/>
        <v>2187.0300000000002</v>
      </c>
      <c r="Q428" s="51">
        <f t="shared" si="691"/>
        <v>0</v>
      </c>
      <c r="R428" s="52">
        <f t="shared" si="692"/>
        <v>0</v>
      </c>
      <c r="S428" s="52">
        <f t="shared" si="693"/>
        <v>2187.0300000000002</v>
      </c>
      <c r="T428" s="52">
        <f t="shared" si="694"/>
        <v>0</v>
      </c>
      <c r="U428" s="369">
        <f t="shared" si="695"/>
        <v>0</v>
      </c>
      <c r="V428" s="369">
        <f t="shared" si="696"/>
        <v>0</v>
      </c>
      <c r="W428" s="369">
        <f t="shared" si="697"/>
        <v>0</v>
      </c>
      <c r="X428" s="53">
        <f t="shared" si="708"/>
        <v>0</v>
      </c>
      <c r="Y428" s="53">
        <f t="shared" si="709"/>
        <v>0.66775667976514341</v>
      </c>
      <c r="Z428" s="53">
        <f t="shared" si="515"/>
        <v>0</v>
      </c>
      <c r="AA428" s="148"/>
      <c r="AB428" s="148"/>
      <c r="AC428" s="148"/>
      <c r="AD428" s="148"/>
      <c r="AE428" s="134">
        <v>2187.0300000000002</v>
      </c>
      <c r="AF428" s="132"/>
      <c r="AG428" s="132"/>
      <c r="AH428" s="132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48"/>
      <c r="BN428" s="54">
        <f t="shared" si="716"/>
        <v>0</v>
      </c>
      <c r="BO428" s="58">
        <f t="shared" si="717"/>
        <v>0</v>
      </c>
      <c r="BP428" s="54">
        <f t="shared" si="718"/>
        <v>0</v>
      </c>
      <c r="BQ428" s="54">
        <f t="shared" si="719"/>
        <v>0</v>
      </c>
      <c r="BR428" s="54">
        <f t="shared" si="720"/>
        <v>0</v>
      </c>
      <c r="BS428" s="54">
        <f t="shared" si="721"/>
        <v>0</v>
      </c>
      <c r="BT428" s="54">
        <f t="shared" si="722"/>
        <v>0</v>
      </c>
      <c r="BU428" s="54">
        <f t="shared" si="723"/>
        <v>0</v>
      </c>
      <c r="BV428" s="54">
        <f t="shared" si="724"/>
        <v>0</v>
      </c>
      <c r="BW428" s="54">
        <f t="shared" si="725"/>
        <v>0</v>
      </c>
      <c r="BX428" s="1"/>
      <c r="BY428" s="1"/>
      <c r="BZ428" s="1"/>
      <c r="CA428" s="1"/>
      <c r="CB428" s="1"/>
      <c r="CC428" s="1"/>
      <c r="CD428" s="1"/>
      <c r="CE428" s="1"/>
      <c r="CF428" s="1"/>
      <c r="CG428" s="1"/>
    </row>
    <row r="429" spans="1:85" ht="15.75" customHeight="1">
      <c r="A429" s="43" t="s">
        <v>812</v>
      </c>
      <c r="B429" s="426"/>
      <c r="C429" s="394" t="s">
        <v>813</v>
      </c>
      <c r="D429" s="82" t="s">
        <v>814</v>
      </c>
      <c r="E429" s="91">
        <v>8000</v>
      </c>
      <c r="F429" s="92"/>
      <c r="G429" s="46">
        <f t="shared" si="726"/>
        <v>8000</v>
      </c>
      <c r="H429" s="46"/>
      <c r="I429" s="47">
        <f t="shared" si="727"/>
        <v>0.54029250000000006</v>
      </c>
      <c r="J429" s="47">
        <f t="shared" si="728"/>
        <v>0.54029250000000006</v>
      </c>
      <c r="K429" s="202">
        <v>4322.34</v>
      </c>
      <c r="L429" s="146"/>
      <c r="M429" s="148"/>
      <c r="N429" s="148"/>
      <c r="O429" s="51">
        <f t="shared" si="689"/>
        <v>4322.34</v>
      </c>
      <c r="P429" s="51">
        <f t="shared" si="690"/>
        <v>0</v>
      </c>
      <c r="Q429" s="51">
        <f t="shared" si="691"/>
        <v>0</v>
      </c>
      <c r="R429" s="52">
        <f t="shared" si="692"/>
        <v>4322.34</v>
      </c>
      <c r="S429" s="52">
        <f t="shared" si="693"/>
        <v>0</v>
      </c>
      <c r="T429" s="52">
        <f t="shared" si="694"/>
        <v>0</v>
      </c>
      <c r="U429" s="369">
        <f t="shared" si="695"/>
        <v>0</v>
      </c>
      <c r="V429" s="369">
        <f t="shared" si="696"/>
        <v>0</v>
      </c>
      <c r="W429" s="369">
        <f t="shared" si="697"/>
        <v>0</v>
      </c>
      <c r="X429" s="53">
        <f t="shared" si="708"/>
        <v>1</v>
      </c>
      <c r="Y429" s="53">
        <f t="shared" si="709"/>
        <v>0</v>
      </c>
      <c r="Z429" s="53">
        <f t="shared" si="515"/>
        <v>0</v>
      </c>
      <c r="AA429" s="148"/>
      <c r="AB429" s="148"/>
      <c r="AC429" s="148"/>
      <c r="AD429" s="148"/>
      <c r="AE429" s="132"/>
      <c r="AF429" s="132"/>
      <c r="AG429" s="132"/>
      <c r="AH429" s="132"/>
      <c r="AI429" s="148"/>
      <c r="AJ429" s="152">
        <v>4322.34</v>
      </c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48"/>
      <c r="BN429" s="54">
        <f t="shared" si="716"/>
        <v>4322.34</v>
      </c>
      <c r="BO429" s="58">
        <f t="shared" si="717"/>
        <v>0</v>
      </c>
      <c r="BP429" s="54">
        <f t="shared" si="718"/>
        <v>4322.34</v>
      </c>
      <c r="BQ429" s="54">
        <f t="shared" si="719"/>
        <v>0</v>
      </c>
      <c r="BR429" s="54">
        <f t="shared" si="720"/>
        <v>0</v>
      </c>
      <c r="BS429" s="54">
        <f t="shared" si="721"/>
        <v>0</v>
      </c>
      <c r="BT429" s="54">
        <f t="shared" si="722"/>
        <v>0</v>
      </c>
      <c r="BU429" s="54">
        <f t="shared" si="723"/>
        <v>4322.34</v>
      </c>
      <c r="BV429" s="54">
        <f t="shared" si="724"/>
        <v>0</v>
      </c>
      <c r="BW429" s="54">
        <f t="shared" si="725"/>
        <v>4322.34</v>
      </c>
      <c r="BX429" s="1"/>
      <c r="BY429" s="1"/>
      <c r="BZ429" s="1"/>
      <c r="CA429" s="1"/>
      <c r="CB429" s="1"/>
      <c r="CC429" s="1"/>
      <c r="CD429" s="1"/>
      <c r="CE429" s="1"/>
      <c r="CF429" s="1"/>
      <c r="CG429" s="1"/>
    </row>
    <row r="430" spans="1:85" ht="15.75" customHeight="1">
      <c r="A430" s="56"/>
      <c r="B430" s="426"/>
      <c r="C430" s="394" t="s">
        <v>738</v>
      </c>
      <c r="D430" s="78" t="s">
        <v>815</v>
      </c>
      <c r="E430" s="91">
        <v>20000</v>
      </c>
      <c r="F430" s="92"/>
      <c r="G430" s="46">
        <f t="shared" si="726"/>
        <v>20000</v>
      </c>
      <c r="H430" s="46"/>
      <c r="I430" s="47">
        <f t="shared" si="727"/>
        <v>0</v>
      </c>
      <c r="J430" s="47">
        <f t="shared" si="728"/>
        <v>0</v>
      </c>
      <c r="K430" s="146"/>
      <c r="L430" s="146"/>
      <c r="M430" s="148"/>
      <c r="N430" s="148"/>
      <c r="O430" s="51">
        <f t="shared" ref="O430:O461" si="729">AA430+AD430+AG430+AJ430+AM430+AP430+AS430+AV430+AY430+BB430+BE430+BH430</f>
        <v>0</v>
      </c>
      <c r="P430" s="51">
        <f t="shared" ref="P430:P461" si="730">AB430+AE430+AH430+AK430+AN430+AQ430+AT430+AW430+AZ430+BC430+BF430+BI430</f>
        <v>0</v>
      </c>
      <c r="Q430" s="51">
        <f t="shared" ref="Q430:Q461" si="731">AC430+AF430+AI430+AL430+AO430+AR430+AU430+AX430+BA430+BD430+BG430+BJ430</f>
        <v>0</v>
      </c>
      <c r="R430" s="52">
        <f t="shared" ref="R430:R461" si="732">IF(BK430=0,SUM(AA430+AD430+AG430+AJ430+AM430+AP430+AS430+AV430+AY430+BB430+BE430+BH430),BK430)</f>
        <v>0</v>
      </c>
      <c r="S430" s="52">
        <f t="shared" ref="S430:S461" si="733">IF(BL430=0,SUM(AB430+AE430+AH430+AK430+AN430+AQ430+AT430+AW430+AZ430+BC430+BF430+BI430),BL430)</f>
        <v>0</v>
      </c>
      <c r="T430" s="52">
        <f t="shared" ref="T430:T461" si="734">IF(BM430=0,SUM(AC430+AF430+AI430+AL430+AO430+AR430+AU430+AX430+BA430+BD430+BG430+BJ430),BM430)</f>
        <v>0</v>
      </c>
      <c r="U430" s="369">
        <f t="shared" si="695"/>
        <v>0</v>
      </c>
      <c r="V430" s="369">
        <f t="shared" si="696"/>
        <v>0</v>
      </c>
      <c r="W430" s="369">
        <f t="shared" si="697"/>
        <v>0</v>
      </c>
      <c r="X430" s="53">
        <f t="shared" si="708"/>
        <v>0</v>
      </c>
      <c r="Y430" s="53">
        <f t="shared" si="709"/>
        <v>0</v>
      </c>
      <c r="Z430" s="53">
        <f t="shared" si="515"/>
        <v>0</v>
      </c>
      <c r="AA430" s="148"/>
      <c r="AB430" s="148"/>
      <c r="AC430" s="148"/>
      <c r="AD430" s="148"/>
      <c r="AE430" s="132"/>
      <c r="AF430" s="132"/>
      <c r="AG430" s="132"/>
      <c r="AH430" s="132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48"/>
      <c r="BN430" s="54">
        <f t="shared" si="716"/>
        <v>0</v>
      </c>
      <c r="BO430" s="58">
        <f t="shared" si="717"/>
        <v>0</v>
      </c>
      <c r="BP430" s="54">
        <f t="shared" si="718"/>
        <v>0</v>
      </c>
      <c r="BQ430" s="54">
        <f t="shared" si="719"/>
        <v>0</v>
      </c>
      <c r="BR430" s="54">
        <f t="shared" si="720"/>
        <v>0</v>
      </c>
      <c r="BS430" s="54">
        <f t="shared" si="721"/>
        <v>0</v>
      </c>
      <c r="BT430" s="54">
        <f t="shared" si="722"/>
        <v>0</v>
      </c>
      <c r="BU430" s="54">
        <f t="shared" si="723"/>
        <v>0</v>
      </c>
      <c r="BV430" s="54">
        <f t="shared" si="724"/>
        <v>0</v>
      </c>
      <c r="BW430" s="54">
        <f t="shared" si="725"/>
        <v>0</v>
      </c>
      <c r="BX430" s="1"/>
      <c r="BY430" s="1"/>
      <c r="BZ430" s="1"/>
      <c r="CA430" s="1"/>
      <c r="CB430" s="1"/>
      <c r="CC430" s="1"/>
      <c r="CD430" s="1"/>
      <c r="CE430" s="1"/>
      <c r="CF430" s="1"/>
      <c r="CG430" s="1"/>
    </row>
    <row r="431" spans="1:85" ht="15.75" customHeight="1">
      <c r="A431" s="56"/>
      <c r="B431" s="426" t="s">
        <v>816</v>
      </c>
      <c r="C431" s="394" t="s">
        <v>738</v>
      </c>
      <c r="D431" s="63" t="s">
        <v>817</v>
      </c>
      <c r="E431" s="91"/>
      <c r="F431" s="92"/>
      <c r="G431" s="46">
        <f t="shared" si="726"/>
        <v>0</v>
      </c>
      <c r="H431" s="46"/>
      <c r="I431" s="47">
        <f t="shared" si="727"/>
        <v>0</v>
      </c>
      <c r="J431" s="47">
        <f t="shared" si="728"/>
        <v>0</v>
      </c>
      <c r="K431" s="146"/>
      <c r="L431" s="146">
        <v>115</v>
      </c>
      <c r="M431" s="148"/>
      <c r="N431" s="148"/>
      <c r="O431" s="51">
        <f t="shared" si="729"/>
        <v>0</v>
      </c>
      <c r="P431" s="51">
        <f t="shared" si="730"/>
        <v>115</v>
      </c>
      <c r="Q431" s="51">
        <f t="shared" si="731"/>
        <v>0</v>
      </c>
      <c r="R431" s="52">
        <f t="shared" si="732"/>
        <v>0</v>
      </c>
      <c r="S431" s="52">
        <f t="shared" si="733"/>
        <v>115</v>
      </c>
      <c r="T431" s="52">
        <f t="shared" si="734"/>
        <v>0</v>
      </c>
      <c r="U431" s="369">
        <f t="shared" si="695"/>
        <v>0</v>
      </c>
      <c r="V431" s="369">
        <f t="shared" si="696"/>
        <v>0</v>
      </c>
      <c r="W431" s="369">
        <f t="shared" si="697"/>
        <v>0</v>
      </c>
      <c r="X431" s="53">
        <f t="shared" ref="X431:X462" si="735">IF(O431&gt;0,O431/K431,0)</f>
        <v>0</v>
      </c>
      <c r="Y431" s="53">
        <f t="shared" ref="Y431:Y462" si="736">IF(P431&gt;0,P431/L431,0)</f>
        <v>1</v>
      </c>
      <c r="Z431" s="53">
        <f t="shared" si="515"/>
        <v>0</v>
      </c>
      <c r="AA431" s="148"/>
      <c r="AB431" s="148"/>
      <c r="AC431" s="148"/>
      <c r="AD431" s="148"/>
      <c r="AE431" s="132"/>
      <c r="AF431" s="132"/>
      <c r="AG431" s="132"/>
      <c r="AH431" s="132"/>
      <c r="AI431" s="148"/>
      <c r="AJ431" s="148"/>
      <c r="AK431" s="148"/>
      <c r="AL431" s="148"/>
      <c r="AM431" s="148"/>
      <c r="AN431" s="152">
        <v>115</v>
      </c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148"/>
      <c r="BN431" s="54">
        <f t="shared" si="716"/>
        <v>0</v>
      </c>
      <c r="BO431" s="58">
        <f t="shared" si="717"/>
        <v>0</v>
      </c>
      <c r="BP431" s="54">
        <f t="shared" si="718"/>
        <v>0</v>
      </c>
      <c r="BQ431" s="54">
        <f t="shared" si="719"/>
        <v>0</v>
      </c>
      <c r="BR431" s="54">
        <f t="shared" si="720"/>
        <v>0</v>
      </c>
      <c r="BS431" s="54">
        <f t="shared" si="721"/>
        <v>0</v>
      </c>
      <c r="BT431" s="54">
        <f t="shared" si="722"/>
        <v>0</v>
      </c>
      <c r="BU431" s="54">
        <f t="shared" si="723"/>
        <v>0</v>
      </c>
      <c r="BV431" s="54">
        <f t="shared" si="724"/>
        <v>0</v>
      </c>
      <c r="BW431" s="54">
        <f t="shared" si="725"/>
        <v>0</v>
      </c>
      <c r="BX431" s="1"/>
      <c r="BY431" s="1"/>
      <c r="BZ431" s="1"/>
      <c r="CA431" s="1"/>
      <c r="CB431" s="1"/>
      <c r="CC431" s="1"/>
      <c r="CD431" s="1"/>
      <c r="CE431" s="1"/>
      <c r="CF431" s="1"/>
      <c r="CG431" s="1"/>
    </row>
    <row r="432" spans="1:85" ht="15.75" customHeight="1">
      <c r="A432" s="79" t="s">
        <v>818</v>
      </c>
      <c r="B432" s="426"/>
      <c r="C432" s="394" t="s">
        <v>137</v>
      </c>
      <c r="D432" s="82" t="s">
        <v>819</v>
      </c>
      <c r="E432" s="91">
        <f>2600+5000</f>
        <v>7600</v>
      </c>
      <c r="F432" s="92"/>
      <c r="G432" s="46">
        <f t="shared" si="726"/>
        <v>7600</v>
      </c>
      <c r="H432" s="46"/>
      <c r="I432" s="47">
        <f t="shared" si="727"/>
        <v>0.55105263157894735</v>
      </c>
      <c r="J432" s="47">
        <f t="shared" si="728"/>
        <v>0.55105263157894735</v>
      </c>
      <c r="K432" s="58">
        <v>4188</v>
      </c>
      <c r="L432" s="146"/>
      <c r="M432" s="148"/>
      <c r="N432" s="148"/>
      <c r="O432" s="51">
        <f t="shared" si="729"/>
        <v>4188</v>
      </c>
      <c r="P432" s="51">
        <f t="shared" si="730"/>
        <v>0</v>
      </c>
      <c r="Q432" s="51">
        <f t="shared" si="731"/>
        <v>0</v>
      </c>
      <c r="R432" s="52">
        <f t="shared" si="732"/>
        <v>4188</v>
      </c>
      <c r="S432" s="52">
        <f t="shared" si="733"/>
        <v>0</v>
      </c>
      <c r="T432" s="52">
        <f t="shared" si="734"/>
        <v>0</v>
      </c>
      <c r="U432" s="369">
        <f t="shared" si="695"/>
        <v>0</v>
      </c>
      <c r="V432" s="369">
        <f t="shared" si="696"/>
        <v>0</v>
      </c>
      <c r="W432" s="369">
        <f t="shared" si="697"/>
        <v>0</v>
      </c>
      <c r="X432" s="53">
        <f t="shared" si="735"/>
        <v>1</v>
      </c>
      <c r="Y432" s="53">
        <f t="shared" si="736"/>
        <v>0</v>
      </c>
      <c r="Z432" s="53">
        <f t="shared" si="515"/>
        <v>0</v>
      </c>
      <c r="AA432" s="148"/>
      <c r="AB432" s="148"/>
      <c r="AC432" s="148"/>
      <c r="AD432" s="148"/>
      <c r="AE432" s="132"/>
      <c r="AF432" s="132"/>
      <c r="AG432" s="132"/>
      <c r="AH432" s="132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52">
        <v>4188</v>
      </c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148"/>
      <c r="BN432" s="54">
        <f t="shared" si="716"/>
        <v>4188</v>
      </c>
      <c r="BO432" s="58">
        <f t="shared" si="717"/>
        <v>0</v>
      </c>
      <c r="BP432" s="54">
        <f t="shared" si="718"/>
        <v>4188</v>
      </c>
      <c r="BQ432" s="54">
        <f t="shared" si="719"/>
        <v>0</v>
      </c>
      <c r="BR432" s="54">
        <f t="shared" si="720"/>
        <v>0</v>
      </c>
      <c r="BS432" s="54">
        <f t="shared" si="721"/>
        <v>0</v>
      </c>
      <c r="BT432" s="54">
        <f t="shared" si="722"/>
        <v>0</v>
      </c>
      <c r="BU432" s="54">
        <f t="shared" si="723"/>
        <v>4188</v>
      </c>
      <c r="BV432" s="54">
        <f t="shared" si="724"/>
        <v>0</v>
      </c>
      <c r="BW432" s="54">
        <f t="shared" si="725"/>
        <v>4188</v>
      </c>
      <c r="BX432" s="1"/>
      <c r="BY432" s="1"/>
      <c r="BZ432" s="1"/>
      <c r="CA432" s="1"/>
      <c r="CB432" s="1"/>
      <c r="CC432" s="1"/>
      <c r="CD432" s="1"/>
      <c r="CE432" s="1"/>
      <c r="CF432" s="1"/>
      <c r="CG432" s="1"/>
    </row>
    <row r="433" spans="1:85" ht="15.75" customHeight="1">
      <c r="A433" s="83"/>
      <c r="B433" s="429" t="s">
        <v>820</v>
      </c>
      <c r="C433" s="394" t="s">
        <v>137</v>
      </c>
      <c r="D433" s="78" t="s">
        <v>821</v>
      </c>
      <c r="E433" s="91"/>
      <c r="F433" s="92"/>
      <c r="G433" s="46">
        <f t="shared" si="726"/>
        <v>0</v>
      </c>
      <c r="H433" s="46"/>
      <c r="I433" s="47">
        <f t="shared" si="727"/>
        <v>0</v>
      </c>
      <c r="J433" s="47">
        <f t="shared" si="728"/>
        <v>0</v>
      </c>
      <c r="K433" s="146"/>
      <c r="L433" s="146">
        <v>9480</v>
      </c>
      <c r="M433" s="148"/>
      <c r="N433" s="148"/>
      <c r="O433" s="51">
        <f t="shared" si="729"/>
        <v>0</v>
      </c>
      <c r="P433" s="51">
        <f t="shared" si="730"/>
        <v>9480</v>
      </c>
      <c r="Q433" s="51">
        <f t="shared" si="731"/>
        <v>0</v>
      </c>
      <c r="R433" s="52">
        <f t="shared" si="732"/>
        <v>0</v>
      </c>
      <c r="S433" s="52">
        <f t="shared" si="733"/>
        <v>9480</v>
      </c>
      <c r="T433" s="52">
        <f t="shared" si="734"/>
        <v>0</v>
      </c>
      <c r="U433" s="369">
        <f t="shared" si="695"/>
        <v>0</v>
      </c>
      <c r="V433" s="369">
        <f t="shared" si="696"/>
        <v>0</v>
      </c>
      <c r="W433" s="369">
        <f t="shared" si="697"/>
        <v>0</v>
      </c>
      <c r="X433" s="53">
        <f t="shared" si="735"/>
        <v>0</v>
      </c>
      <c r="Y433" s="53">
        <f t="shared" si="736"/>
        <v>1</v>
      </c>
      <c r="Z433" s="53">
        <f t="shared" si="515"/>
        <v>0</v>
      </c>
      <c r="AA433" s="148"/>
      <c r="AB433" s="152">
        <v>9480</v>
      </c>
      <c r="AC433" s="148"/>
      <c r="AD433" s="148"/>
      <c r="AE433" s="132"/>
      <c r="AF433" s="132"/>
      <c r="AG433" s="132"/>
      <c r="AH433" s="132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148"/>
      <c r="BN433" s="54">
        <f t="shared" si="716"/>
        <v>0</v>
      </c>
      <c r="BO433" s="58">
        <f t="shared" si="717"/>
        <v>0</v>
      </c>
      <c r="BP433" s="54">
        <f t="shared" si="718"/>
        <v>0</v>
      </c>
      <c r="BQ433" s="54">
        <f t="shared" si="719"/>
        <v>0</v>
      </c>
      <c r="BR433" s="54">
        <f t="shared" si="720"/>
        <v>0</v>
      </c>
      <c r="BS433" s="54">
        <f t="shared" si="721"/>
        <v>0</v>
      </c>
      <c r="BT433" s="54">
        <f t="shared" si="722"/>
        <v>0</v>
      </c>
      <c r="BU433" s="54">
        <f t="shared" si="723"/>
        <v>0</v>
      </c>
      <c r="BV433" s="54">
        <f t="shared" si="724"/>
        <v>0</v>
      </c>
      <c r="BW433" s="54">
        <f t="shared" si="725"/>
        <v>0</v>
      </c>
      <c r="BX433" s="1"/>
      <c r="BY433" s="1"/>
      <c r="BZ433" s="1"/>
      <c r="CA433" s="1"/>
      <c r="CB433" s="1"/>
      <c r="CC433" s="1"/>
      <c r="CD433" s="1"/>
      <c r="CE433" s="1"/>
      <c r="CF433" s="1"/>
      <c r="CG433" s="1"/>
    </row>
    <row r="434" spans="1:85" ht="15.75" customHeight="1">
      <c r="A434" s="43" t="s">
        <v>822</v>
      </c>
      <c r="B434" s="439"/>
      <c r="C434" s="394" t="s">
        <v>137</v>
      </c>
      <c r="D434" s="82" t="s">
        <v>823</v>
      </c>
      <c r="E434" s="91"/>
      <c r="F434" s="92"/>
      <c r="G434" s="46"/>
      <c r="H434" s="46"/>
      <c r="I434" s="47"/>
      <c r="J434" s="47"/>
      <c r="K434" s="202">
        <v>3520</v>
      </c>
      <c r="L434" s="146"/>
      <c r="M434" s="148"/>
      <c r="N434" s="148"/>
      <c r="O434" s="51">
        <f t="shared" si="729"/>
        <v>0</v>
      </c>
      <c r="P434" s="51">
        <f t="shared" si="730"/>
        <v>0</v>
      </c>
      <c r="Q434" s="51">
        <f t="shared" si="731"/>
        <v>0</v>
      </c>
      <c r="R434" s="52">
        <f t="shared" si="732"/>
        <v>0</v>
      </c>
      <c r="S434" s="52">
        <f t="shared" si="733"/>
        <v>0</v>
      </c>
      <c r="T434" s="52">
        <f t="shared" si="734"/>
        <v>0</v>
      </c>
      <c r="U434" s="369">
        <f t="shared" si="695"/>
        <v>3520</v>
      </c>
      <c r="V434" s="369">
        <f t="shared" si="696"/>
        <v>0</v>
      </c>
      <c r="W434" s="369">
        <f t="shared" si="697"/>
        <v>0</v>
      </c>
      <c r="X434" s="53">
        <f t="shared" si="735"/>
        <v>0</v>
      </c>
      <c r="Y434" s="53">
        <f t="shared" si="736"/>
        <v>0</v>
      </c>
      <c r="Z434" s="53">
        <f t="shared" si="515"/>
        <v>0</v>
      </c>
      <c r="AA434" s="148"/>
      <c r="AB434" s="148"/>
      <c r="AC434" s="148"/>
      <c r="AD434" s="148"/>
      <c r="AE434" s="132"/>
      <c r="AF434" s="132"/>
      <c r="AG434" s="132"/>
      <c r="AH434" s="132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148"/>
      <c r="BN434" s="54">
        <f t="shared" si="716"/>
        <v>0</v>
      </c>
      <c r="BO434" s="58">
        <f t="shared" si="717"/>
        <v>0</v>
      </c>
      <c r="BP434" s="54">
        <f t="shared" si="718"/>
        <v>0</v>
      </c>
      <c r="BQ434" s="54">
        <f t="shared" si="719"/>
        <v>3520</v>
      </c>
      <c r="BR434" s="54">
        <f t="shared" si="720"/>
        <v>0</v>
      </c>
      <c r="BS434" s="54">
        <f t="shared" si="721"/>
        <v>3520</v>
      </c>
      <c r="BT434" s="54">
        <f t="shared" si="722"/>
        <v>0</v>
      </c>
      <c r="BU434" s="54">
        <f t="shared" si="723"/>
        <v>0</v>
      </c>
      <c r="BV434" s="54">
        <f t="shared" si="724"/>
        <v>3520</v>
      </c>
      <c r="BW434" s="54">
        <f t="shared" si="725"/>
        <v>0</v>
      </c>
      <c r="BX434" s="1"/>
      <c r="BY434" s="1"/>
      <c r="BZ434" s="1"/>
      <c r="CA434" s="1"/>
      <c r="CB434" s="1"/>
      <c r="CC434" s="1"/>
      <c r="CD434" s="1"/>
      <c r="CE434" s="1"/>
      <c r="CF434" s="1"/>
      <c r="CG434" s="1"/>
    </row>
    <row r="435" spans="1:85" ht="15.75" customHeight="1">
      <c r="A435" s="43" t="s">
        <v>824</v>
      </c>
      <c r="B435" s="439"/>
      <c r="C435" s="394" t="s">
        <v>137</v>
      </c>
      <c r="D435" s="82" t="s">
        <v>825</v>
      </c>
      <c r="E435" s="91"/>
      <c r="F435" s="92"/>
      <c r="G435" s="46"/>
      <c r="H435" s="46"/>
      <c r="I435" s="47"/>
      <c r="J435" s="47"/>
      <c r="K435" s="202">
        <v>6488.4</v>
      </c>
      <c r="L435" s="146"/>
      <c r="M435" s="148"/>
      <c r="N435" s="148"/>
      <c r="O435" s="51">
        <f t="shared" si="729"/>
        <v>0</v>
      </c>
      <c r="P435" s="51">
        <f t="shared" si="730"/>
        <v>0</v>
      </c>
      <c r="Q435" s="51">
        <f t="shared" si="731"/>
        <v>0</v>
      </c>
      <c r="R435" s="52">
        <f t="shared" si="732"/>
        <v>0</v>
      </c>
      <c r="S435" s="52">
        <f t="shared" si="733"/>
        <v>0</v>
      </c>
      <c r="T435" s="52">
        <f t="shared" si="734"/>
        <v>0</v>
      </c>
      <c r="U435" s="369">
        <f t="shared" si="695"/>
        <v>6488.4</v>
      </c>
      <c r="V435" s="369">
        <f t="shared" si="696"/>
        <v>0</v>
      </c>
      <c r="W435" s="369">
        <f t="shared" si="697"/>
        <v>0</v>
      </c>
      <c r="X435" s="53">
        <f t="shared" si="735"/>
        <v>0</v>
      </c>
      <c r="Y435" s="53">
        <f t="shared" si="736"/>
        <v>0</v>
      </c>
      <c r="Z435" s="53">
        <f t="shared" si="515"/>
        <v>0</v>
      </c>
      <c r="AA435" s="148"/>
      <c r="AB435" s="148"/>
      <c r="AC435" s="148"/>
      <c r="AD435" s="148"/>
      <c r="AE435" s="132"/>
      <c r="AF435" s="132"/>
      <c r="AG435" s="132"/>
      <c r="AH435" s="132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48"/>
      <c r="BJ435" s="148"/>
      <c r="BK435" s="148"/>
      <c r="BL435" s="148"/>
      <c r="BM435" s="148"/>
      <c r="BN435" s="54">
        <f t="shared" si="716"/>
        <v>0</v>
      </c>
      <c r="BO435" s="58">
        <f t="shared" si="717"/>
        <v>0</v>
      </c>
      <c r="BP435" s="54">
        <f t="shared" si="718"/>
        <v>0</v>
      </c>
      <c r="BQ435" s="54">
        <f t="shared" si="719"/>
        <v>6488.4</v>
      </c>
      <c r="BR435" s="54">
        <f t="shared" si="720"/>
        <v>0</v>
      </c>
      <c r="BS435" s="54">
        <f t="shared" si="721"/>
        <v>6488.4</v>
      </c>
      <c r="BT435" s="54">
        <f t="shared" si="722"/>
        <v>0</v>
      </c>
      <c r="BU435" s="54">
        <f t="shared" si="723"/>
        <v>0</v>
      </c>
      <c r="BV435" s="54">
        <f t="shared" si="724"/>
        <v>6488.4</v>
      </c>
      <c r="BW435" s="54">
        <f t="shared" si="725"/>
        <v>0</v>
      </c>
      <c r="BX435" s="1"/>
      <c r="BY435" s="1"/>
      <c r="BZ435" s="1"/>
      <c r="CA435" s="1"/>
      <c r="CB435" s="1"/>
      <c r="CC435" s="1"/>
      <c r="CD435" s="1"/>
      <c r="CE435" s="1"/>
      <c r="CF435" s="1"/>
      <c r="CG435" s="1"/>
    </row>
    <row r="436" spans="1:85" ht="15.75" customHeight="1">
      <c r="A436" s="56"/>
      <c r="B436" s="426"/>
      <c r="C436" s="394" t="s">
        <v>146</v>
      </c>
      <c r="D436" s="44" t="s">
        <v>714</v>
      </c>
      <c r="E436" s="91">
        <v>5000</v>
      </c>
      <c r="F436" s="92"/>
      <c r="G436" s="46">
        <f t="shared" ref="G436:G446" si="737">E436-F436</f>
        <v>5000</v>
      </c>
      <c r="H436" s="46"/>
      <c r="I436" s="47">
        <f t="shared" ref="I436:I446" si="738">IF(G436&gt;0,K436/G436,0)</f>
        <v>0</v>
      </c>
      <c r="J436" s="47">
        <f t="shared" ref="J436:J446" si="739">IF(G436&gt;0,O436/G436,0)</f>
        <v>0</v>
      </c>
      <c r="K436" s="146"/>
      <c r="L436" s="146"/>
      <c r="M436" s="148"/>
      <c r="N436" s="148"/>
      <c r="O436" s="51">
        <f t="shared" si="729"/>
        <v>0</v>
      </c>
      <c r="P436" s="51">
        <f t="shared" si="730"/>
        <v>0</v>
      </c>
      <c r="Q436" s="51">
        <f t="shared" si="731"/>
        <v>0</v>
      </c>
      <c r="R436" s="52">
        <f t="shared" si="732"/>
        <v>0</v>
      </c>
      <c r="S436" s="52">
        <f t="shared" si="733"/>
        <v>0</v>
      </c>
      <c r="T436" s="52">
        <f t="shared" si="734"/>
        <v>0</v>
      </c>
      <c r="U436" s="369">
        <f t="shared" si="695"/>
        <v>0</v>
      </c>
      <c r="V436" s="369">
        <f t="shared" si="696"/>
        <v>0</v>
      </c>
      <c r="W436" s="369">
        <f t="shared" si="697"/>
        <v>0</v>
      </c>
      <c r="X436" s="53">
        <f t="shared" si="735"/>
        <v>0</v>
      </c>
      <c r="Y436" s="53">
        <f t="shared" si="736"/>
        <v>0</v>
      </c>
      <c r="Z436" s="53">
        <f t="shared" si="515"/>
        <v>0</v>
      </c>
      <c r="AA436" s="148"/>
      <c r="AB436" s="148"/>
      <c r="AC436" s="148"/>
      <c r="AD436" s="148"/>
      <c r="AE436" s="132"/>
      <c r="AF436" s="132"/>
      <c r="AG436" s="132"/>
      <c r="AH436" s="132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48"/>
      <c r="BJ436" s="148"/>
      <c r="BK436" s="148"/>
      <c r="BL436" s="148"/>
      <c r="BM436" s="148"/>
      <c r="BN436" s="54">
        <f t="shared" si="716"/>
        <v>0</v>
      </c>
      <c r="BO436" s="58">
        <f t="shared" si="717"/>
        <v>0</v>
      </c>
      <c r="BP436" s="54">
        <f t="shared" si="718"/>
        <v>0</v>
      </c>
      <c r="BQ436" s="54">
        <f t="shared" si="719"/>
        <v>0</v>
      </c>
      <c r="BR436" s="54">
        <f t="shared" si="720"/>
        <v>0</v>
      </c>
      <c r="BS436" s="54">
        <f t="shared" si="721"/>
        <v>0</v>
      </c>
      <c r="BT436" s="54">
        <f t="shared" si="722"/>
        <v>0</v>
      </c>
      <c r="BU436" s="54">
        <f t="shared" si="723"/>
        <v>0</v>
      </c>
      <c r="BV436" s="54">
        <f t="shared" si="724"/>
        <v>0</v>
      </c>
      <c r="BW436" s="54">
        <f t="shared" si="725"/>
        <v>0</v>
      </c>
      <c r="BX436" s="1"/>
      <c r="BY436" s="1"/>
      <c r="BZ436" s="1"/>
      <c r="CA436" s="1"/>
      <c r="CB436" s="1"/>
      <c r="CC436" s="1"/>
      <c r="CD436" s="1"/>
      <c r="CE436" s="1"/>
      <c r="CF436" s="1"/>
      <c r="CG436" s="1"/>
    </row>
    <row r="437" spans="1:85" ht="15.75" customHeight="1">
      <c r="A437" s="108"/>
      <c r="B437" s="416" t="s">
        <v>826</v>
      </c>
      <c r="C437" s="394" t="s">
        <v>146</v>
      </c>
      <c r="D437" s="44" t="s">
        <v>827</v>
      </c>
      <c r="E437" s="91"/>
      <c r="F437" s="92"/>
      <c r="G437" s="46">
        <f t="shared" si="737"/>
        <v>0</v>
      </c>
      <c r="H437" s="46"/>
      <c r="I437" s="47">
        <f t="shared" si="738"/>
        <v>0</v>
      </c>
      <c r="J437" s="47">
        <f t="shared" si="739"/>
        <v>0</v>
      </c>
      <c r="K437" s="146"/>
      <c r="L437" s="146">
        <v>270.5</v>
      </c>
      <c r="M437" s="148"/>
      <c r="N437" s="148"/>
      <c r="O437" s="51">
        <f t="shared" si="729"/>
        <v>0</v>
      </c>
      <c r="P437" s="51">
        <f t="shared" si="730"/>
        <v>270.5</v>
      </c>
      <c r="Q437" s="51">
        <f t="shared" si="731"/>
        <v>0</v>
      </c>
      <c r="R437" s="52">
        <f t="shared" si="732"/>
        <v>0</v>
      </c>
      <c r="S437" s="52">
        <f t="shared" si="733"/>
        <v>270.5</v>
      </c>
      <c r="T437" s="52">
        <f t="shared" si="734"/>
        <v>0</v>
      </c>
      <c r="U437" s="369">
        <f t="shared" si="695"/>
        <v>0</v>
      </c>
      <c r="V437" s="369">
        <f t="shared" si="696"/>
        <v>0</v>
      </c>
      <c r="W437" s="369">
        <f t="shared" si="697"/>
        <v>0</v>
      </c>
      <c r="X437" s="53">
        <f t="shared" si="735"/>
        <v>0</v>
      </c>
      <c r="Y437" s="53">
        <f t="shared" si="736"/>
        <v>1</v>
      </c>
      <c r="Z437" s="53">
        <f t="shared" si="515"/>
        <v>0</v>
      </c>
      <c r="AA437" s="148"/>
      <c r="AB437" s="148"/>
      <c r="AC437" s="148"/>
      <c r="AD437" s="148"/>
      <c r="AE437" s="132"/>
      <c r="AF437" s="132"/>
      <c r="AG437" s="132"/>
      <c r="AH437" s="132"/>
      <c r="AI437" s="148"/>
      <c r="AJ437" s="148"/>
      <c r="AK437" s="148"/>
      <c r="AL437" s="148"/>
      <c r="AM437" s="148"/>
      <c r="AN437" s="148"/>
      <c r="AO437" s="148"/>
      <c r="AP437" s="148"/>
      <c r="AQ437" s="152">
        <v>270.5</v>
      </c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48"/>
      <c r="BJ437" s="148"/>
      <c r="BK437" s="148"/>
      <c r="BL437" s="148"/>
      <c r="BM437" s="148"/>
      <c r="BN437" s="54">
        <f t="shared" si="716"/>
        <v>0</v>
      </c>
      <c r="BO437" s="58">
        <f t="shared" si="717"/>
        <v>0</v>
      </c>
      <c r="BP437" s="54">
        <f t="shared" si="718"/>
        <v>0</v>
      </c>
      <c r="BQ437" s="54">
        <f t="shared" si="719"/>
        <v>0</v>
      </c>
      <c r="BR437" s="54">
        <f t="shared" si="720"/>
        <v>0</v>
      </c>
      <c r="BS437" s="54">
        <f t="shared" si="721"/>
        <v>0</v>
      </c>
      <c r="BT437" s="54">
        <f t="shared" si="722"/>
        <v>0</v>
      </c>
      <c r="BU437" s="54">
        <f t="shared" si="723"/>
        <v>0</v>
      </c>
      <c r="BV437" s="54">
        <f t="shared" si="724"/>
        <v>0</v>
      </c>
      <c r="BW437" s="54">
        <f t="shared" si="725"/>
        <v>0</v>
      </c>
      <c r="BX437" s="1"/>
      <c r="BY437" s="1"/>
      <c r="BZ437" s="1"/>
      <c r="CA437" s="1"/>
      <c r="CB437" s="1"/>
      <c r="CC437" s="1"/>
      <c r="CD437" s="1"/>
      <c r="CE437" s="1"/>
      <c r="CF437" s="1"/>
      <c r="CG437" s="1"/>
    </row>
    <row r="438" spans="1:85" ht="15.75" customHeight="1">
      <c r="A438" s="56"/>
      <c r="B438" s="426"/>
      <c r="C438" s="394" t="s">
        <v>169</v>
      </c>
      <c r="D438" s="44" t="s">
        <v>828</v>
      </c>
      <c r="E438" s="91">
        <v>25000</v>
      </c>
      <c r="F438" s="92"/>
      <c r="G438" s="46">
        <f t="shared" si="737"/>
        <v>25000</v>
      </c>
      <c r="H438" s="46"/>
      <c r="I438" s="47">
        <f t="shared" si="738"/>
        <v>0</v>
      </c>
      <c r="J438" s="47">
        <f t="shared" si="739"/>
        <v>0</v>
      </c>
      <c r="K438" s="146"/>
      <c r="L438" s="146"/>
      <c r="M438" s="148"/>
      <c r="N438" s="148"/>
      <c r="O438" s="51">
        <f t="shared" si="729"/>
        <v>0</v>
      </c>
      <c r="P438" s="51">
        <f t="shared" si="730"/>
        <v>0</v>
      </c>
      <c r="Q438" s="51">
        <f t="shared" si="731"/>
        <v>0</v>
      </c>
      <c r="R438" s="52">
        <f t="shared" si="732"/>
        <v>0</v>
      </c>
      <c r="S438" s="52">
        <f t="shared" si="733"/>
        <v>0</v>
      </c>
      <c r="T438" s="52">
        <f t="shared" si="734"/>
        <v>0</v>
      </c>
      <c r="U438" s="369">
        <f t="shared" si="695"/>
        <v>0</v>
      </c>
      <c r="V438" s="369">
        <f t="shared" si="696"/>
        <v>0</v>
      </c>
      <c r="W438" s="369">
        <f t="shared" si="697"/>
        <v>0</v>
      </c>
      <c r="X438" s="53">
        <f t="shared" si="735"/>
        <v>0</v>
      </c>
      <c r="Y438" s="53">
        <f t="shared" si="736"/>
        <v>0</v>
      </c>
      <c r="Z438" s="53">
        <f t="shared" si="515"/>
        <v>0</v>
      </c>
      <c r="AA438" s="148"/>
      <c r="AB438" s="148"/>
      <c r="AC438" s="148"/>
      <c r="AD438" s="148"/>
      <c r="AE438" s="132"/>
      <c r="AF438" s="132"/>
      <c r="AG438" s="132"/>
      <c r="AH438" s="132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8"/>
      <c r="BN438" s="54">
        <f t="shared" si="716"/>
        <v>0</v>
      </c>
      <c r="BO438" s="58">
        <f t="shared" si="717"/>
        <v>0</v>
      </c>
      <c r="BP438" s="54">
        <f t="shared" si="718"/>
        <v>0</v>
      </c>
      <c r="BQ438" s="54">
        <f t="shared" si="719"/>
        <v>0</v>
      </c>
      <c r="BR438" s="54">
        <f t="shared" si="720"/>
        <v>0</v>
      </c>
      <c r="BS438" s="54">
        <f t="shared" si="721"/>
        <v>0</v>
      </c>
      <c r="BT438" s="54">
        <f t="shared" si="722"/>
        <v>0</v>
      </c>
      <c r="BU438" s="54">
        <f t="shared" si="723"/>
        <v>0</v>
      </c>
      <c r="BV438" s="54">
        <f t="shared" si="724"/>
        <v>0</v>
      </c>
      <c r="BW438" s="54">
        <f t="shared" si="725"/>
        <v>0</v>
      </c>
      <c r="BX438" s="1"/>
      <c r="BY438" s="1"/>
      <c r="BZ438" s="1"/>
      <c r="CA438" s="1"/>
      <c r="CB438" s="1"/>
      <c r="CC438" s="1"/>
      <c r="CD438" s="1"/>
      <c r="CE438" s="1"/>
      <c r="CF438" s="1"/>
      <c r="CG438" s="1"/>
    </row>
    <row r="439" spans="1:85" ht="15.75" customHeight="1">
      <c r="A439" s="56"/>
      <c r="B439" s="426"/>
      <c r="C439" s="394" t="s">
        <v>169</v>
      </c>
      <c r="D439" s="44" t="s">
        <v>829</v>
      </c>
      <c r="E439" s="91"/>
      <c r="F439" s="92"/>
      <c r="G439" s="46">
        <f t="shared" si="737"/>
        <v>0</v>
      </c>
      <c r="H439" s="46">
        <v>30000</v>
      </c>
      <c r="I439" s="47">
        <f t="shared" si="738"/>
        <v>0</v>
      </c>
      <c r="J439" s="47">
        <f t="shared" si="739"/>
        <v>0</v>
      </c>
      <c r="K439" s="146"/>
      <c r="L439" s="146"/>
      <c r="M439" s="148"/>
      <c r="N439" s="148"/>
      <c r="O439" s="51">
        <f t="shared" si="729"/>
        <v>0</v>
      </c>
      <c r="P439" s="51">
        <f t="shared" si="730"/>
        <v>0</v>
      </c>
      <c r="Q439" s="51">
        <f t="shared" si="731"/>
        <v>0</v>
      </c>
      <c r="R439" s="52">
        <f t="shared" si="732"/>
        <v>0</v>
      </c>
      <c r="S439" s="52">
        <f t="shared" si="733"/>
        <v>0</v>
      </c>
      <c r="T439" s="52">
        <f t="shared" si="734"/>
        <v>0</v>
      </c>
      <c r="U439" s="369">
        <f t="shared" si="695"/>
        <v>0</v>
      </c>
      <c r="V439" s="369">
        <f t="shared" si="696"/>
        <v>0</v>
      </c>
      <c r="W439" s="369">
        <f t="shared" si="697"/>
        <v>0</v>
      </c>
      <c r="X439" s="53">
        <f t="shared" si="735"/>
        <v>0</v>
      </c>
      <c r="Y439" s="53">
        <f t="shared" si="736"/>
        <v>0</v>
      </c>
      <c r="Z439" s="53">
        <f t="shared" si="515"/>
        <v>0</v>
      </c>
      <c r="AA439" s="148"/>
      <c r="AB439" s="148"/>
      <c r="AC439" s="148"/>
      <c r="AD439" s="148"/>
      <c r="AE439" s="132"/>
      <c r="AF439" s="132"/>
      <c r="AG439" s="132"/>
      <c r="AH439" s="132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48"/>
      <c r="BJ439" s="148"/>
      <c r="BK439" s="148"/>
      <c r="BL439" s="148"/>
      <c r="BM439" s="148"/>
      <c r="BN439" s="54">
        <f t="shared" si="716"/>
        <v>0</v>
      </c>
      <c r="BO439" s="58">
        <f t="shared" si="717"/>
        <v>0</v>
      </c>
      <c r="BP439" s="54">
        <f t="shared" si="718"/>
        <v>0</v>
      </c>
      <c r="BQ439" s="54">
        <f t="shared" si="719"/>
        <v>0</v>
      </c>
      <c r="BR439" s="54">
        <f t="shared" si="720"/>
        <v>0</v>
      </c>
      <c r="BS439" s="54">
        <f t="shared" si="721"/>
        <v>0</v>
      </c>
      <c r="BT439" s="54">
        <f t="shared" si="722"/>
        <v>0</v>
      </c>
      <c r="BU439" s="54">
        <f t="shared" si="723"/>
        <v>0</v>
      </c>
      <c r="BV439" s="54">
        <f t="shared" si="724"/>
        <v>0</v>
      </c>
      <c r="BW439" s="54">
        <f t="shared" si="725"/>
        <v>0</v>
      </c>
      <c r="BX439" s="1"/>
      <c r="BY439" s="1"/>
      <c r="BZ439" s="1"/>
      <c r="CA439" s="1"/>
      <c r="CB439" s="1"/>
      <c r="CC439" s="1"/>
      <c r="CD439" s="1"/>
      <c r="CE439" s="1"/>
      <c r="CF439" s="1"/>
      <c r="CG439" s="1"/>
    </row>
    <row r="440" spans="1:85" ht="15.75" customHeight="1">
      <c r="A440" s="56"/>
      <c r="B440" s="426"/>
      <c r="C440" s="394" t="s">
        <v>209</v>
      </c>
      <c r="D440" s="78" t="s">
        <v>398</v>
      </c>
      <c r="E440" s="91">
        <v>1000</v>
      </c>
      <c r="F440" s="92"/>
      <c r="G440" s="46">
        <f t="shared" si="737"/>
        <v>1000</v>
      </c>
      <c r="H440" s="46"/>
      <c r="I440" s="47">
        <f t="shared" si="738"/>
        <v>0</v>
      </c>
      <c r="J440" s="47">
        <f t="shared" si="739"/>
        <v>0</v>
      </c>
      <c r="K440" s="146"/>
      <c r="L440" s="146"/>
      <c r="M440" s="148"/>
      <c r="N440" s="148"/>
      <c r="O440" s="51">
        <f t="shared" si="729"/>
        <v>0</v>
      </c>
      <c r="P440" s="51">
        <f t="shared" si="730"/>
        <v>0</v>
      </c>
      <c r="Q440" s="51">
        <f t="shared" si="731"/>
        <v>0</v>
      </c>
      <c r="R440" s="52">
        <f t="shared" si="732"/>
        <v>0</v>
      </c>
      <c r="S440" s="52">
        <f t="shared" si="733"/>
        <v>0</v>
      </c>
      <c r="T440" s="52">
        <f t="shared" si="734"/>
        <v>0</v>
      </c>
      <c r="U440" s="369">
        <f t="shared" si="695"/>
        <v>0</v>
      </c>
      <c r="V440" s="369">
        <f t="shared" si="696"/>
        <v>0</v>
      </c>
      <c r="W440" s="369">
        <f t="shared" si="697"/>
        <v>0</v>
      </c>
      <c r="X440" s="53">
        <f t="shared" si="735"/>
        <v>0</v>
      </c>
      <c r="Y440" s="53">
        <f t="shared" si="736"/>
        <v>0</v>
      </c>
      <c r="Z440" s="53">
        <f t="shared" si="515"/>
        <v>0</v>
      </c>
      <c r="AA440" s="148"/>
      <c r="AB440" s="148"/>
      <c r="AC440" s="148"/>
      <c r="AD440" s="148"/>
      <c r="AE440" s="132"/>
      <c r="AF440" s="132"/>
      <c r="AG440" s="132"/>
      <c r="AH440" s="132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48"/>
      <c r="BJ440" s="148"/>
      <c r="BK440" s="148"/>
      <c r="BL440" s="148"/>
      <c r="BM440" s="148"/>
      <c r="BN440" s="54">
        <f t="shared" si="716"/>
        <v>0</v>
      </c>
      <c r="BO440" s="58">
        <f t="shared" si="717"/>
        <v>0</v>
      </c>
      <c r="BP440" s="54">
        <f t="shared" si="718"/>
        <v>0</v>
      </c>
      <c r="BQ440" s="54">
        <f t="shared" si="719"/>
        <v>0</v>
      </c>
      <c r="BR440" s="54">
        <f t="shared" si="720"/>
        <v>0</v>
      </c>
      <c r="BS440" s="54">
        <f t="shared" si="721"/>
        <v>0</v>
      </c>
      <c r="BT440" s="54">
        <f t="shared" si="722"/>
        <v>0</v>
      </c>
      <c r="BU440" s="54">
        <f t="shared" si="723"/>
        <v>0</v>
      </c>
      <c r="BV440" s="54">
        <f t="shared" si="724"/>
        <v>0</v>
      </c>
      <c r="BW440" s="54">
        <f t="shared" si="725"/>
        <v>0</v>
      </c>
      <c r="BX440" s="1"/>
      <c r="BY440" s="1"/>
      <c r="BZ440" s="1"/>
      <c r="CA440" s="1"/>
      <c r="CB440" s="1"/>
      <c r="CC440" s="1"/>
      <c r="CD440" s="1"/>
      <c r="CE440" s="1"/>
      <c r="CF440" s="1"/>
      <c r="CG440" s="1"/>
    </row>
    <row r="441" spans="1:85" ht="15.75" customHeight="1">
      <c r="A441" s="56"/>
      <c r="B441" s="426"/>
      <c r="C441" s="394" t="s">
        <v>215</v>
      </c>
      <c r="D441" s="78" t="s">
        <v>830</v>
      </c>
      <c r="E441" s="91">
        <v>500</v>
      </c>
      <c r="F441" s="92"/>
      <c r="G441" s="46">
        <f t="shared" si="737"/>
        <v>500</v>
      </c>
      <c r="H441" s="46"/>
      <c r="I441" s="47">
        <f t="shared" si="738"/>
        <v>0</v>
      </c>
      <c r="J441" s="47">
        <f t="shared" si="739"/>
        <v>0</v>
      </c>
      <c r="K441" s="146"/>
      <c r="L441" s="146"/>
      <c r="M441" s="148"/>
      <c r="N441" s="148"/>
      <c r="O441" s="51">
        <f t="shared" si="729"/>
        <v>0</v>
      </c>
      <c r="P441" s="51">
        <f t="shared" si="730"/>
        <v>0</v>
      </c>
      <c r="Q441" s="51">
        <f t="shared" si="731"/>
        <v>0</v>
      </c>
      <c r="R441" s="52">
        <f t="shared" si="732"/>
        <v>0</v>
      </c>
      <c r="S441" s="52">
        <f t="shared" si="733"/>
        <v>0</v>
      </c>
      <c r="T441" s="52">
        <f t="shared" si="734"/>
        <v>0</v>
      </c>
      <c r="U441" s="369">
        <f t="shared" si="695"/>
        <v>0</v>
      </c>
      <c r="V441" s="369">
        <f t="shared" si="696"/>
        <v>0</v>
      </c>
      <c r="W441" s="369">
        <f t="shared" si="697"/>
        <v>0</v>
      </c>
      <c r="X441" s="53">
        <f t="shared" si="735"/>
        <v>0</v>
      </c>
      <c r="Y441" s="53">
        <f t="shared" si="736"/>
        <v>0</v>
      </c>
      <c r="Z441" s="53">
        <f t="shared" si="515"/>
        <v>0</v>
      </c>
      <c r="AA441" s="148"/>
      <c r="AB441" s="148"/>
      <c r="AC441" s="148"/>
      <c r="AD441" s="148"/>
      <c r="AE441" s="132"/>
      <c r="AF441" s="132"/>
      <c r="AG441" s="132"/>
      <c r="AH441" s="132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8"/>
      <c r="BN441" s="54">
        <f t="shared" si="716"/>
        <v>0</v>
      </c>
      <c r="BO441" s="58">
        <f t="shared" si="717"/>
        <v>0</v>
      </c>
      <c r="BP441" s="54">
        <f t="shared" si="718"/>
        <v>0</v>
      </c>
      <c r="BQ441" s="54">
        <f t="shared" si="719"/>
        <v>0</v>
      </c>
      <c r="BR441" s="54">
        <f t="shared" si="720"/>
        <v>0</v>
      </c>
      <c r="BS441" s="54">
        <f t="shared" si="721"/>
        <v>0</v>
      </c>
      <c r="BT441" s="54">
        <f t="shared" si="722"/>
        <v>0</v>
      </c>
      <c r="BU441" s="54">
        <f t="shared" si="723"/>
        <v>0</v>
      </c>
      <c r="BV441" s="54">
        <f t="shared" si="724"/>
        <v>0</v>
      </c>
      <c r="BW441" s="54">
        <f t="shared" si="725"/>
        <v>0</v>
      </c>
      <c r="BX441" s="1"/>
      <c r="BY441" s="1"/>
      <c r="BZ441" s="1"/>
      <c r="CA441" s="1"/>
      <c r="CB441" s="1"/>
      <c r="CC441" s="1"/>
      <c r="CD441" s="1"/>
      <c r="CE441" s="1"/>
      <c r="CF441" s="1"/>
      <c r="CG441" s="1"/>
    </row>
    <row r="442" spans="1:85" ht="15.75" customHeight="1">
      <c r="A442" s="43" t="s">
        <v>831</v>
      </c>
      <c r="B442" s="426"/>
      <c r="C442" s="394" t="s">
        <v>832</v>
      </c>
      <c r="D442" s="82" t="s">
        <v>833</v>
      </c>
      <c r="E442" s="91">
        <v>60000</v>
      </c>
      <c r="F442" s="92"/>
      <c r="G442" s="46">
        <f t="shared" si="737"/>
        <v>60000</v>
      </c>
      <c r="H442" s="46"/>
      <c r="I442" s="47">
        <f t="shared" si="738"/>
        <v>0.27166433333333334</v>
      </c>
      <c r="J442" s="47">
        <f t="shared" si="739"/>
        <v>0.27166433333333334</v>
      </c>
      <c r="K442" s="202">
        <v>16299.86</v>
      </c>
      <c r="L442" s="146"/>
      <c r="M442" s="148"/>
      <c r="N442" s="148"/>
      <c r="O442" s="51">
        <f t="shared" si="729"/>
        <v>16299.86</v>
      </c>
      <c r="P442" s="51">
        <f t="shared" si="730"/>
        <v>0</v>
      </c>
      <c r="Q442" s="51">
        <f t="shared" si="731"/>
        <v>0</v>
      </c>
      <c r="R442" s="52">
        <f t="shared" si="732"/>
        <v>16299.86</v>
      </c>
      <c r="S442" s="52">
        <f t="shared" si="733"/>
        <v>0</v>
      </c>
      <c r="T442" s="52">
        <f t="shared" si="734"/>
        <v>0</v>
      </c>
      <c r="U442" s="369">
        <f t="shared" si="695"/>
        <v>0</v>
      </c>
      <c r="V442" s="369">
        <f t="shared" si="696"/>
        <v>0</v>
      </c>
      <c r="W442" s="369">
        <f t="shared" si="697"/>
        <v>0</v>
      </c>
      <c r="X442" s="53">
        <f t="shared" si="735"/>
        <v>1</v>
      </c>
      <c r="Y442" s="53">
        <f t="shared" si="736"/>
        <v>0</v>
      </c>
      <c r="Z442" s="53">
        <f t="shared" si="515"/>
        <v>0</v>
      </c>
      <c r="AA442" s="148"/>
      <c r="AB442" s="148"/>
      <c r="AC442" s="148"/>
      <c r="AD442" s="148"/>
      <c r="AE442" s="132"/>
      <c r="AF442" s="132"/>
      <c r="AG442" s="134">
        <v>16299.86</v>
      </c>
      <c r="AH442" s="132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48"/>
      <c r="BJ442" s="148"/>
      <c r="BK442" s="148"/>
      <c r="BL442" s="148"/>
      <c r="BM442" s="148"/>
      <c r="BN442" s="54">
        <f t="shared" si="716"/>
        <v>16299.86</v>
      </c>
      <c r="BO442" s="58">
        <f t="shared" si="717"/>
        <v>0</v>
      </c>
      <c r="BP442" s="54">
        <f t="shared" si="718"/>
        <v>16299.86</v>
      </c>
      <c r="BQ442" s="54">
        <f t="shared" si="719"/>
        <v>0</v>
      </c>
      <c r="BR442" s="54">
        <f t="shared" si="720"/>
        <v>0</v>
      </c>
      <c r="BS442" s="54">
        <f t="shared" si="721"/>
        <v>0</v>
      </c>
      <c r="BT442" s="54">
        <f t="shared" si="722"/>
        <v>0</v>
      </c>
      <c r="BU442" s="54">
        <f t="shared" si="723"/>
        <v>16299.86</v>
      </c>
      <c r="BV442" s="54">
        <f t="shared" si="724"/>
        <v>0</v>
      </c>
      <c r="BW442" s="54">
        <f t="shared" si="725"/>
        <v>16299.86</v>
      </c>
      <c r="BX442" s="1"/>
      <c r="BY442" s="1"/>
      <c r="BZ442" s="1"/>
      <c r="CA442" s="1"/>
      <c r="CB442" s="1"/>
      <c r="CC442" s="1"/>
      <c r="CD442" s="1"/>
      <c r="CE442" s="1"/>
      <c r="CF442" s="1"/>
      <c r="CG442" s="1"/>
    </row>
    <row r="443" spans="1:85" ht="15.75" customHeight="1">
      <c r="A443" s="43" t="s">
        <v>834</v>
      </c>
      <c r="B443" s="450" t="s">
        <v>808</v>
      </c>
      <c r="C443" s="394" t="s">
        <v>832</v>
      </c>
      <c r="D443" s="82" t="s">
        <v>835</v>
      </c>
      <c r="E443" s="91"/>
      <c r="F443" s="92"/>
      <c r="G443" s="46">
        <f t="shared" si="737"/>
        <v>0</v>
      </c>
      <c r="H443" s="46"/>
      <c r="I443" s="47">
        <f t="shared" si="738"/>
        <v>0</v>
      </c>
      <c r="J443" s="47">
        <f t="shared" si="739"/>
        <v>0</v>
      </c>
      <c r="K443" s="202">
        <v>2400</v>
      </c>
      <c r="L443" s="146">
        <v>9540</v>
      </c>
      <c r="M443" s="148"/>
      <c r="N443" s="148"/>
      <c r="O443" s="51">
        <f t="shared" si="729"/>
        <v>2400</v>
      </c>
      <c r="P443" s="51">
        <f t="shared" si="730"/>
        <v>9540</v>
      </c>
      <c r="Q443" s="51">
        <f t="shared" si="731"/>
        <v>0</v>
      </c>
      <c r="R443" s="52">
        <f t="shared" si="732"/>
        <v>2400</v>
      </c>
      <c r="S443" s="52">
        <f t="shared" si="733"/>
        <v>9540</v>
      </c>
      <c r="T443" s="52">
        <f t="shared" si="734"/>
        <v>0</v>
      </c>
      <c r="U443" s="369">
        <f t="shared" si="695"/>
        <v>0</v>
      </c>
      <c r="V443" s="369">
        <f t="shared" si="696"/>
        <v>0</v>
      </c>
      <c r="W443" s="369">
        <f t="shared" si="697"/>
        <v>0</v>
      </c>
      <c r="X443" s="53">
        <f t="shared" si="735"/>
        <v>1</v>
      </c>
      <c r="Y443" s="53">
        <f t="shared" si="736"/>
        <v>1</v>
      </c>
      <c r="Z443" s="53">
        <f t="shared" si="515"/>
        <v>0</v>
      </c>
      <c r="AA443" s="148"/>
      <c r="AB443" s="148"/>
      <c r="AC443" s="148"/>
      <c r="AD443" s="148"/>
      <c r="AE443" s="132"/>
      <c r="AF443" s="132"/>
      <c r="AG443" s="132"/>
      <c r="AH443" s="152">
        <v>9540</v>
      </c>
      <c r="AI443" s="152"/>
      <c r="AJ443" s="148"/>
      <c r="AK443" s="148"/>
      <c r="AL443" s="148"/>
      <c r="AM443" s="148"/>
      <c r="AN443" s="148"/>
      <c r="AO443" s="148"/>
      <c r="AP443" s="152">
        <v>2400</v>
      </c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48"/>
      <c r="BJ443" s="148"/>
      <c r="BK443" s="148"/>
      <c r="BL443" s="148"/>
      <c r="BM443" s="148"/>
      <c r="BN443" s="54">
        <f t="shared" si="716"/>
        <v>2400</v>
      </c>
      <c r="BO443" s="58">
        <f t="shared" si="717"/>
        <v>0</v>
      </c>
      <c r="BP443" s="54">
        <f t="shared" si="718"/>
        <v>2400</v>
      </c>
      <c r="BQ443" s="54">
        <f t="shared" si="719"/>
        <v>0</v>
      </c>
      <c r="BR443" s="54">
        <f t="shared" si="720"/>
        <v>0</v>
      </c>
      <c r="BS443" s="54">
        <f t="shared" si="721"/>
        <v>0</v>
      </c>
      <c r="BT443" s="54">
        <f t="shared" si="722"/>
        <v>0</v>
      </c>
      <c r="BU443" s="54">
        <f t="shared" si="723"/>
        <v>2400</v>
      </c>
      <c r="BV443" s="54">
        <f t="shared" si="724"/>
        <v>0</v>
      </c>
      <c r="BW443" s="54">
        <f t="shared" si="725"/>
        <v>2400</v>
      </c>
      <c r="BX443" s="1"/>
      <c r="BY443" s="1"/>
      <c r="BZ443" s="1"/>
      <c r="CA443" s="1"/>
      <c r="CB443" s="1"/>
      <c r="CC443" s="1"/>
      <c r="CD443" s="1"/>
      <c r="CE443" s="1"/>
      <c r="CF443" s="1"/>
      <c r="CG443" s="1"/>
    </row>
    <row r="444" spans="1:85" ht="15.75" customHeight="1" outlineLevel="1">
      <c r="A444" s="43" t="s">
        <v>836</v>
      </c>
      <c r="B444" s="429"/>
      <c r="C444" s="394" t="s">
        <v>832</v>
      </c>
      <c r="D444" s="82" t="s">
        <v>837</v>
      </c>
      <c r="E444" s="91"/>
      <c r="F444" s="92"/>
      <c r="G444" s="46">
        <f t="shared" si="737"/>
        <v>0</v>
      </c>
      <c r="H444" s="46"/>
      <c r="I444" s="47">
        <f t="shared" si="738"/>
        <v>0</v>
      </c>
      <c r="J444" s="47">
        <f t="shared" si="739"/>
        <v>0</v>
      </c>
      <c r="K444" s="202">
        <v>718.4</v>
      </c>
      <c r="L444" s="146"/>
      <c r="M444" s="148"/>
      <c r="N444" s="148"/>
      <c r="O444" s="51">
        <f t="shared" si="729"/>
        <v>718.4</v>
      </c>
      <c r="P444" s="51">
        <f t="shared" si="730"/>
        <v>0</v>
      </c>
      <c r="Q444" s="51">
        <f t="shared" si="731"/>
        <v>0</v>
      </c>
      <c r="R444" s="52">
        <f t="shared" si="732"/>
        <v>718.4</v>
      </c>
      <c r="S444" s="52">
        <f t="shared" si="733"/>
        <v>0</v>
      </c>
      <c r="T444" s="52">
        <f t="shared" si="734"/>
        <v>0</v>
      </c>
      <c r="U444" s="368">
        <f t="shared" si="695"/>
        <v>0</v>
      </c>
      <c r="V444" s="369">
        <f t="shared" si="696"/>
        <v>0</v>
      </c>
      <c r="W444" s="369">
        <f t="shared" si="697"/>
        <v>0</v>
      </c>
      <c r="X444" s="53">
        <f t="shared" si="735"/>
        <v>1</v>
      </c>
      <c r="Y444" s="53">
        <f t="shared" si="736"/>
        <v>0</v>
      </c>
      <c r="Z444" s="53">
        <f t="shared" si="515"/>
        <v>0</v>
      </c>
      <c r="AA444" s="148"/>
      <c r="AB444" s="148"/>
      <c r="AC444" s="148"/>
      <c r="AD444" s="148"/>
      <c r="AE444" s="134"/>
      <c r="AF444" s="132"/>
      <c r="AG444" s="132"/>
      <c r="AH444" s="132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52">
        <v>718.4</v>
      </c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48"/>
      <c r="BJ444" s="148"/>
      <c r="BK444" s="148"/>
      <c r="BL444" s="148"/>
      <c r="BM444" s="148"/>
      <c r="BN444" s="54">
        <f t="shared" si="716"/>
        <v>718.4</v>
      </c>
      <c r="BO444" s="58">
        <f t="shared" si="717"/>
        <v>0</v>
      </c>
      <c r="BP444" s="54">
        <f t="shared" si="718"/>
        <v>718.4</v>
      </c>
      <c r="BQ444" s="54">
        <f t="shared" si="719"/>
        <v>0</v>
      </c>
      <c r="BR444" s="54">
        <f t="shared" si="720"/>
        <v>0</v>
      </c>
      <c r="BS444" s="54">
        <f t="shared" si="721"/>
        <v>0</v>
      </c>
      <c r="BT444" s="54">
        <f t="shared" si="722"/>
        <v>0</v>
      </c>
      <c r="BU444" s="54">
        <f t="shared" si="723"/>
        <v>718.4</v>
      </c>
      <c r="BV444" s="54">
        <f t="shared" si="724"/>
        <v>0</v>
      </c>
      <c r="BW444" s="54">
        <f t="shared" si="725"/>
        <v>718.4</v>
      </c>
      <c r="BX444" s="1"/>
      <c r="BY444" s="1"/>
      <c r="BZ444" s="1"/>
      <c r="CA444" s="1"/>
      <c r="CB444" s="1"/>
      <c r="CC444" s="1"/>
      <c r="CD444" s="1"/>
      <c r="CE444" s="1"/>
      <c r="CF444" s="1"/>
      <c r="CG444" s="1"/>
    </row>
    <row r="445" spans="1:85" ht="15.75" customHeight="1" outlineLevel="1">
      <c r="A445" s="43" t="s">
        <v>838</v>
      </c>
      <c r="B445" s="429"/>
      <c r="C445" s="394" t="s">
        <v>832</v>
      </c>
      <c r="D445" s="82" t="s">
        <v>839</v>
      </c>
      <c r="E445" s="91"/>
      <c r="F445" s="92"/>
      <c r="G445" s="46">
        <f t="shared" si="737"/>
        <v>0</v>
      </c>
      <c r="H445" s="46"/>
      <c r="I445" s="47">
        <f t="shared" si="738"/>
        <v>0</v>
      </c>
      <c r="J445" s="47">
        <f t="shared" si="739"/>
        <v>0</v>
      </c>
      <c r="K445" s="202">
        <v>25355.5</v>
      </c>
      <c r="L445" s="146"/>
      <c r="M445" s="148"/>
      <c r="N445" s="148"/>
      <c r="O445" s="51">
        <f t="shared" si="729"/>
        <v>25355.5</v>
      </c>
      <c r="P445" s="51">
        <f t="shared" si="730"/>
        <v>0</v>
      </c>
      <c r="Q445" s="51">
        <f t="shared" si="731"/>
        <v>0</v>
      </c>
      <c r="R445" s="52">
        <f t="shared" si="732"/>
        <v>25355.5</v>
      </c>
      <c r="S445" s="52">
        <f t="shared" si="733"/>
        <v>0</v>
      </c>
      <c r="T445" s="52">
        <f t="shared" si="734"/>
        <v>0</v>
      </c>
      <c r="U445" s="369">
        <f t="shared" si="695"/>
        <v>0</v>
      </c>
      <c r="V445" s="369">
        <f t="shared" si="696"/>
        <v>0</v>
      </c>
      <c r="W445" s="369">
        <f t="shared" si="697"/>
        <v>0</v>
      </c>
      <c r="X445" s="53">
        <f t="shared" si="735"/>
        <v>1</v>
      </c>
      <c r="Y445" s="53">
        <f t="shared" si="736"/>
        <v>0</v>
      </c>
      <c r="Z445" s="53">
        <f t="shared" si="515"/>
        <v>0</v>
      </c>
      <c r="AA445" s="148"/>
      <c r="AB445" s="148"/>
      <c r="AC445" s="148"/>
      <c r="AD445" s="148"/>
      <c r="AE445" s="134"/>
      <c r="AF445" s="132"/>
      <c r="AG445" s="132">
        <f>9450+15905+0.5</f>
        <v>25355.5</v>
      </c>
      <c r="AH445" s="132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148"/>
      <c r="BN445" s="54">
        <f t="shared" si="716"/>
        <v>25355.5</v>
      </c>
      <c r="BO445" s="58">
        <f t="shared" si="717"/>
        <v>0</v>
      </c>
      <c r="BP445" s="54">
        <f t="shared" si="718"/>
        <v>25355.5</v>
      </c>
      <c r="BQ445" s="54">
        <f t="shared" si="719"/>
        <v>0</v>
      </c>
      <c r="BR445" s="54">
        <f t="shared" si="720"/>
        <v>0</v>
      </c>
      <c r="BS445" s="54">
        <f t="shared" si="721"/>
        <v>0</v>
      </c>
      <c r="BT445" s="54">
        <f t="shared" si="722"/>
        <v>0</v>
      </c>
      <c r="BU445" s="54">
        <f t="shared" si="723"/>
        <v>25355.5</v>
      </c>
      <c r="BV445" s="54">
        <f t="shared" si="724"/>
        <v>0</v>
      </c>
      <c r="BW445" s="54">
        <f t="shared" si="725"/>
        <v>25355.5</v>
      </c>
      <c r="BX445" s="1"/>
      <c r="BY445" s="1"/>
      <c r="BZ445" s="1"/>
      <c r="CA445" s="1"/>
      <c r="CB445" s="1"/>
      <c r="CC445" s="1"/>
      <c r="CD445" s="1"/>
      <c r="CE445" s="1"/>
      <c r="CF445" s="1"/>
      <c r="CG445" s="1"/>
    </row>
    <row r="446" spans="1:85" ht="15.75" customHeight="1" outlineLevel="1">
      <c r="A446" s="81" t="s">
        <v>840</v>
      </c>
      <c r="B446" s="429"/>
      <c r="C446" s="394" t="s">
        <v>832</v>
      </c>
      <c r="D446" s="82" t="s">
        <v>833</v>
      </c>
      <c r="E446" s="91"/>
      <c r="F446" s="92"/>
      <c r="G446" s="46">
        <f t="shared" si="737"/>
        <v>0</v>
      </c>
      <c r="H446" s="46"/>
      <c r="I446" s="47">
        <f t="shared" si="738"/>
        <v>0</v>
      </c>
      <c r="J446" s="47">
        <f t="shared" si="739"/>
        <v>0</v>
      </c>
      <c r="K446" s="202">
        <v>2277</v>
      </c>
      <c r="L446" s="146"/>
      <c r="M446" s="148"/>
      <c r="N446" s="148"/>
      <c r="O446" s="51">
        <f t="shared" si="729"/>
        <v>2277</v>
      </c>
      <c r="P446" s="51">
        <f t="shared" si="730"/>
        <v>0</v>
      </c>
      <c r="Q446" s="51">
        <f t="shared" si="731"/>
        <v>0</v>
      </c>
      <c r="R446" s="52">
        <f t="shared" si="732"/>
        <v>2277</v>
      </c>
      <c r="S446" s="52">
        <f t="shared" si="733"/>
        <v>0</v>
      </c>
      <c r="T446" s="52">
        <f t="shared" si="734"/>
        <v>0</v>
      </c>
      <c r="U446" s="369">
        <f t="shared" si="695"/>
        <v>0</v>
      </c>
      <c r="V446" s="369">
        <f t="shared" si="696"/>
        <v>0</v>
      </c>
      <c r="W446" s="369">
        <f t="shared" si="697"/>
        <v>0</v>
      </c>
      <c r="X446" s="53">
        <f t="shared" si="735"/>
        <v>1</v>
      </c>
      <c r="Y446" s="53">
        <f t="shared" si="736"/>
        <v>0</v>
      </c>
      <c r="Z446" s="53">
        <f t="shared" si="515"/>
        <v>0</v>
      </c>
      <c r="AA446" s="148"/>
      <c r="AB446" s="148"/>
      <c r="AC446" s="148"/>
      <c r="AD446" s="148"/>
      <c r="AE446" s="134"/>
      <c r="AF446" s="132"/>
      <c r="AG446" s="132"/>
      <c r="AH446" s="132"/>
      <c r="AI446" s="148"/>
      <c r="AJ446" s="148"/>
      <c r="AK446" s="148"/>
      <c r="AL446" s="148"/>
      <c r="AM446" s="152">
        <v>2277</v>
      </c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148"/>
      <c r="BN446" s="54">
        <f t="shared" si="716"/>
        <v>2277</v>
      </c>
      <c r="BO446" s="58">
        <f t="shared" si="717"/>
        <v>0</v>
      </c>
      <c r="BP446" s="54">
        <f t="shared" si="718"/>
        <v>2277</v>
      </c>
      <c r="BQ446" s="54">
        <f t="shared" si="719"/>
        <v>0</v>
      </c>
      <c r="BR446" s="54">
        <f t="shared" si="720"/>
        <v>0</v>
      </c>
      <c r="BS446" s="54">
        <f t="shared" si="721"/>
        <v>0</v>
      </c>
      <c r="BT446" s="54">
        <f t="shared" si="722"/>
        <v>0</v>
      </c>
      <c r="BU446" s="54">
        <f t="shared" si="723"/>
        <v>2277</v>
      </c>
      <c r="BV446" s="54">
        <f t="shared" si="724"/>
        <v>0</v>
      </c>
      <c r="BW446" s="54">
        <f t="shared" si="725"/>
        <v>2277</v>
      </c>
      <c r="BX446" s="1"/>
      <c r="BY446" s="1"/>
      <c r="BZ446" s="1"/>
      <c r="CA446" s="1"/>
      <c r="CB446" s="1"/>
      <c r="CC446" s="1"/>
      <c r="CD446" s="1"/>
      <c r="CE446" s="1"/>
      <c r="CF446" s="1"/>
      <c r="CG446" s="1"/>
    </row>
    <row r="447" spans="1:85" ht="15.75" customHeight="1" outlineLevel="1">
      <c r="A447" s="81" t="s">
        <v>841</v>
      </c>
      <c r="B447" s="429"/>
      <c r="C447" s="394" t="s">
        <v>832</v>
      </c>
      <c r="D447" s="82" t="s">
        <v>837</v>
      </c>
      <c r="E447" s="91"/>
      <c r="F447" s="92"/>
      <c r="G447" s="46"/>
      <c r="H447" s="46"/>
      <c r="I447" s="47"/>
      <c r="J447" s="47"/>
      <c r="K447" s="202">
        <v>1975.6</v>
      </c>
      <c r="L447" s="146"/>
      <c r="M447" s="148"/>
      <c r="N447" s="148"/>
      <c r="O447" s="51">
        <f t="shared" si="729"/>
        <v>1975.6</v>
      </c>
      <c r="P447" s="51">
        <f t="shared" si="730"/>
        <v>0</v>
      </c>
      <c r="Q447" s="51">
        <f t="shared" si="731"/>
        <v>0</v>
      </c>
      <c r="R447" s="52">
        <f t="shared" si="732"/>
        <v>1975.6</v>
      </c>
      <c r="S447" s="52">
        <f t="shared" si="733"/>
        <v>0</v>
      </c>
      <c r="T447" s="52">
        <f t="shared" si="734"/>
        <v>0</v>
      </c>
      <c r="U447" s="369">
        <f t="shared" si="695"/>
        <v>0</v>
      </c>
      <c r="V447" s="369">
        <f t="shared" si="696"/>
        <v>0</v>
      </c>
      <c r="W447" s="369">
        <f t="shared" si="697"/>
        <v>0</v>
      </c>
      <c r="X447" s="53">
        <f t="shared" si="735"/>
        <v>1</v>
      </c>
      <c r="Y447" s="53">
        <f t="shared" si="736"/>
        <v>0</v>
      </c>
      <c r="Z447" s="53">
        <f t="shared" si="515"/>
        <v>0</v>
      </c>
      <c r="AA447" s="148"/>
      <c r="AB447" s="148"/>
      <c r="AC447" s="148"/>
      <c r="AD447" s="148"/>
      <c r="AE447" s="134"/>
      <c r="AF447" s="132"/>
      <c r="AG447" s="132"/>
      <c r="AH447" s="132"/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52">
        <v>1975.6</v>
      </c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  <c r="BI447" s="148"/>
      <c r="BJ447" s="148"/>
      <c r="BK447" s="148"/>
      <c r="BL447" s="148"/>
      <c r="BM447" s="148"/>
      <c r="BN447" s="54">
        <f t="shared" si="716"/>
        <v>1975.6</v>
      </c>
      <c r="BO447" s="58">
        <f t="shared" si="717"/>
        <v>0</v>
      </c>
      <c r="BP447" s="54">
        <f t="shared" si="718"/>
        <v>1975.6</v>
      </c>
      <c r="BQ447" s="54">
        <f t="shared" si="719"/>
        <v>0</v>
      </c>
      <c r="BR447" s="54">
        <f t="shared" si="720"/>
        <v>0</v>
      </c>
      <c r="BS447" s="54">
        <f t="shared" si="721"/>
        <v>0</v>
      </c>
      <c r="BT447" s="54">
        <f t="shared" si="722"/>
        <v>0</v>
      </c>
      <c r="BU447" s="54">
        <f t="shared" si="723"/>
        <v>1975.6</v>
      </c>
      <c r="BV447" s="54">
        <f t="shared" si="724"/>
        <v>0</v>
      </c>
      <c r="BW447" s="54">
        <f t="shared" si="725"/>
        <v>1975.6</v>
      </c>
      <c r="BX447" s="1"/>
      <c r="BY447" s="1"/>
      <c r="BZ447" s="1"/>
      <c r="CA447" s="1"/>
      <c r="CB447" s="1"/>
      <c r="CC447" s="1"/>
      <c r="CD447" s="1"/>
      <c r="CE447" s="1"/>
      <c r="CF447" s="1"/>
      <c r="CG447" s="1"/>
    </row>
    <row r="448" spans="1:85" ht="15.75" customHeight="1" outlineLevel="1">
      <c r="A448" s="81" t="s">
        <v>842</v>
      </c>
      <c r="B448" s="429"/>
      <c r="C448" s="394" t="s">
        <v>832</v>
      </c>
      <c r="D448" s="82" t="s">
        <v>843</v>
      </c>
      <c r="E448" s="91"/>
      <c r="F448" s="92"/>
      <c r="G448" s="46"/>
      <c r="H448" s="46"/>
      <c r="I448" s="47"/>
      <c r="J448" s="47"/>
      <c r="K448" s="202">
        <v>3435</v>
      </c>
      <c r="L448" s="146"/>
      <c r="M448" s="148"/>
      <c r="N448" s="148"/>
      <c r="O448" s="51">
        <f t="shared" si="729"/>
        <v>3435</v>
      </c>
      <c r="P448" s="51">
        <f t="shared" si="730"/>
        <v>0</v>
      </c>
      <c r="Q448" s="51">
        <f t="shared" si="731"/>
        <v>0</v>
      </c>
      <c r="R448" s="52">
        <f t="shared" si="732"/>
        <v>3435</v>
      </c>
      <c r="S448" s="52">
        <f t="shared" si="733"/>
        <v>0</v>
      </c>
      <c r="T448" s="52">
        <f t="shared" si="734"/>
        <v>0</v>
      </c>
      <c r="U448" s="369">
        <f t="shared" si="695"/>
        <v>0</v>
      </c>
      <c r="V448" s="369">
        <f t="shared" si="696"/>
        <v>0</v>
      </c>
      <c r="W448" s="369">
        <f t="shared" si="697"/>
        <v>0</v>
      </c>
      <c r="X448" s="53">
        <f t="shared" si="735"/>
        <v>1</v>
      </c>
      <c r="Y448" s="53">
        <f t="shared" si="736"/>
        <v>0</v>
      </c>
      <c r="Z448" s="53">
        <f t="shared" si="515"/>
        <v>0</v>
      </c>
      <c r="AA448" s="148"/>
      <c r="AB448" s="148"/>
      <c r="AC448" s="148"/>
      <c r="AD448" s="148"/>
      <c r="AE448" s="134"/>
      <c r="AF448" s="132"/>
      <c r="AG448" s="132"/>
      <c r="AH448" s="132"/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52">
        <v>3435</v>
      </c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8"/>
      <c r="BG448" s="148"/>
      <c r="BH448" s="148"/>
      <c r="BI448" s="148"/>
      <c r="BJ448" s="148"/>
      <c r="BK448" s="148"/>
      <c r="BL448" s="148"/>
      <c r="BM448" s="148"/>
      <c r="BN448" s="54">
        <f t="shared" si="716"/>
        <v>3435</v>
      </c>
      <c r="BO448" s="58">
        <f t="shared" si="717"/>
        <v>0</v>
      </c>
      <c r="BP448" s="54">
        <f t="shared" si="718"/>
        <v>3435</v>
      </c>
      <c r="BQ448" s="54">
        <f t="shared" si="719"/>
        <v>0</v>
      </c>
      <c r="BR448" s="54">
        <f t="shared" si="720"/>
        <v>0</v>
      </c>
      <c r="BS448" s="54">
        <f t="shared" si="721"/>
        <v>0</v>
      </c>
      <c r="BT448" s="54">
        <f t="shared" si="722"/>
        <v>0</v>
      </c>
      <c r="BU448" s="54">
        <f t="shared" si="723"/>
        <v>3435</v>
      </c>
      <c r="BV448" s="54">
        <f t="shared" si="724"/>
        <v>0</v>
      </c>
      <c r="BW448" s="54">
        <f t="shared" si="725"/>
        <v>3435</v>
      </c>
      <c r="BX448" s="1"/>
      <c r="BY448" s="1"/>
      <c r="BZ448" s="1"/>
      <c r="CA448" s="1"/>
      <c r="CB448" s="1"/>
      <c r="CC448" s="1"/>
      <c r="CD448" s="1"/>
      <c r="CE448" s="1"/>
      <c r="CF448" s="1"/>
      <c r="CG448" s="1"/>
    </row>
    <row r="449" spans="1:85" ht="15.75" customHeight="1" outlineLevel="1">
      <c r="A449" s="81" t="s">
        <v>844</v>
      </c>
      <c r="B449" s="429"/>
      <c r="C449" s="394" t="s">
        <v>832</v>
      </c>
      <c r="D449" s="82" t="s">
        <v>839</v>
      </c>
      <c r="E449" s="91"/>
      <c r="F449" s="92"/>
      <c r="G449" s="46"/>
      <c r="H449" s="46"/>
      <c r="I449" s="47"/>
      <c r="J449" s="47"/>
      <c r="K449" s="202">
        <v>3900</v>
      </c>
      <c r="L449" s="146"/>
      <c r="M449" s="148"/>
      <c r="N449" s="148"/>
      <c r="O449" s="51">
        <f t="shared" si="729"/>
        <v>3900</v>
      </c>
      <c r="P449" s="51">
        <f t="shared" si="730"/>
        <v>0</v>
      </c>
      <c r="Q449" s="51">
        <f t="shared" si="731"/>
        <v>0</v>
      </c>
      <c r="R449" s="52">
        <f t="shared" si="732"/>
        <v>3900</v>
      </c>
      <c r="S449" s="52">
        <f t="shared" si="733"/>
        <v>0</v>
      </c>
      <c r="T449" s="52">
        <f t="shared" si="734"/>
        <v>0</v>
      </c>
      <c r="U449" s="369">
        <f t="shared" si="695"/>
        <v>0</v>
      </c>
      <c r="V449" s="369">
        <f t="shared" si="696"/>
        <v>0</v>
      </c>
      <c r="W449" s="369">
        <f t="shared" si="697"/>
        <v>0</v>
      </c>
      <c r="X449" s="53">
        <f t="shared" si="735"/>
        <v>1</v>
      </c>
      <c r="Y449" s="53">
        <f t="shared" si="736"/>
        <v>0</v>
      </c>
      <c r="Z449" s="53">
        <f t="shared" si="515"/>
        <v>0</v>
      </c>
      <c r="AA449" s="148"/>
      <c r="AB449" s="148"/>
      <c r="AC449" s="148"/>
      <c r="AD449" s="148"/>
      <c r="AE449" s="134"/>
      <c r="AF449" s="132"/>
      <c r="AG449" s="132"/>
      <c r="AH449" s="132"/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52">
        <v>3900</v>
      </c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8"/>
      <c r="BG449" s="148"/>
      <c r="BH449" s="148"/>
      <c r="BI449" s="148"/>
      <c r="BJ449" s="148"/>
      <c r="BK449" s="148"/>
      <c r="BL449" s="148"/>
      <c r="BM449" s="148"/>
      <c r="BN449" s="54">
        <f t="shared" si="716"/>
        <v>3900</v>
      </c>
      <c r="BO449" s="58">
        <f t="shared" si="717"/>
        <v>0</v>
      </c>
      <c r="BP449" s="54">
        <f t="shared" si="718"/>
        <v>3900</v>
      </c>
      <c r="BQ449" s="54">
        <f t="shared" si="719"/>
        <v>0</v>
      </c>
      <c r="BR449" s="54">
        <f t="shared" si="720"/>
        <v>0</v>
      </c>
      <c r="BS449" s="54">
        <f t="shared" si="721"/>
        <v>0</v>
      </c>
      <c r="BT449" s="54">
        <f t="shared" si="722"/>
        <v>0</v>
      </c>
      <c r="BU449" s="54">
        <f t="shared" si="723"/>
        <v>3900</v>
      </c>
      <c r="BV449" s="54">
        <f t="shared" si="724"/>
        <v>0</v>
      </c>
      <c r="BW449" s="54">
        <f t="shared" si="725"/>
        <v>3900</v>
      </c>
      <c r="BX449" s="1"/>
      <c r="BY449" s="1"/>
      <c r="BZ449" s="1"/>
      <c r="CA449" s="1"/>
      <c r="CB449" s="1"/>
      <c r="CC449" s="1"/>
      <c r="CD449" s="1"/>
      <c r="CE449" s="1"/>
      <c r="CF449" s="1"/>
      <c r="CG449" s="1"/>
    </row>
    <row r="450" spans="1:85" ht="15.75" customHeight="1" outlineLevel="1">
      <c r="A450" s="83"/>
      <c r="B450" s="429" t="s">
        <v>845</v>
      </c>
      <c r="C450" s="394" t="s">
        <v>504</v>
      </c>
      <c r="D450" s="78" t="s">
        <v>846</v>
      </c>
      <c r="E450" s="91"/>
      <c r="F450" s="92"/>
      <c r="G450" s="46">
        <f>E450-F450</f>
        <v>0</v>
      </c>
      <c r="H450" s="46"/>
      <c r="I450" s="47">
        <f>IF(G450&gt;0,K450/G450,0)</f>
        <v>0</v>
      </c>
      <c r="J450" s="47">
        <f>IF(G450&gt;0,O450/G450,0)</f>
        <v>0</v>
      </c>
      <c r="K450" s="146"/>
      <c r="L450" s="146">
        <v>353.91</v>
      </c>
      <c r="M450" s="148"/>
      <c r="N450" s="148"/>
      <c r="O450" s="51">
        <f t="shared" si="729"/>
        <v>0</v>
      </c>
      <c r="P450" s="51">
        <f t="shared" si="730"/>
        <v>353.91</v>
      </c>
      <c r="Q450" s="51">
        <f t="shared" si="731"/>
        <v>0</v>
      </c>
      <c r="R450" s="52">
        <f t="shared" si="732"/>
        <v>0</v>
      </c>
      <c r="S450" s="52">
        <f t="shared" si="733"/>
        <v>353.91</v>
      </c>
      <c r="T450" s="52">
        <f t="shared" si="734"/>
        <v>0</v>
      </c>
      <c r="U450" s="369">
        <f t="shared" si="695"/>
        <v>0</v>
      </c>
      <c r="V450" s="369">
        <f t="shared" si="696"/>
        <v>0</v>
      </c>
      <c r="W450" s="369">
        <f t="shared" si="697"/>
        <v>0</v>
      </c>
      <c r="X450" s="53">
        <f t="shared" si="735"/>
        <v>0</v>
      </c>
      <c r="Y450" s="53">
        <f t="shared" si="736"/>
        <v>1</v>
      </c>
      <c r="Z450" s="53">
        <f t="shared" si="515"/>
        <v>0</v>
      </c>
      <c r="AA450" s="148"/>
      <c r="AB450" s="148"/>
      <c r="AC450" s="148"/>
      <c r="AD450" s="148"/>
      <c r="AE450" s="134">
        <v>353.91</v>
      </c>
      <c r="AF450" s="132"/>
      <c r="AG450" s="132"/>
      <c r="AH450" s="132"/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  <c r="BI450" s="148"/>
      <c r="BJ450" s="148"/>
      <c r="BK450" s="148"/>
      <c r="BL450" s="148"/>
      <c r="BM450" s="148"/>
      <c r="BN450" s="54">
        <f t="shared" si="716"/>
        <v>0</v>
      </c>
      <c r="BO450" s="58">
        <f t="shared" si="717"/>
        <v>0</v>
      </c>
      <c r="BP450" s="54">
        <f t="shared" si="718"/>
        <v>0</v>
      </c>
      <c r="BQ450" s="54">
        <f t="shared" si="719"/>
        <v>0</v>
      </c>
      <c r="BR450" s="54">
        <f t="shared" si="720"/>
        <v>0</v>
      </c>
      <c r="BS450" s="54">
        <f t="shared" si="721"/>
        <v>0</v>
      </c>
      <c r="BT450" s="54">
        <f t="shared" si="722"/>
        <v>0</v>
      </c>
      <c r="BU450" s="54">
        <f t="shared" si="723"/>
        <v>0</v>
      </c>
      <c r="BV450" s="54">
        <f t="shared" si="724"/>
        <v>0</v>
      </c>
      <c r="BW450" s="54">
        <f t="shared" si="725"/>
        <v>0</v>
      </c>
      <c r="BX450" s="1"/>
      <c r="BY450" s="1"/>
      <c r="BZ450" s="1"/>
      <c r="CA450" s="1"/>
      <c r="CB450" s="1"/>
      <c r="CC450" s="1"/>
      <c r="CD450" s="1"/>
      <c r="CE450" s="1"/>
      <c r="CF450" s="1"/>
      <c r="CG450" s="1"/>
    </row>
    <row r="451" spans="1:85" ht="15.75" customHeight="1" outlineLevel="1">
      <c r="A451" s="83"/>
      <c r="B451" s="429" t="s">
        <v>810</v>
      </c>
      <c r="C451" s="394" t="s">
        <v>504</v>
      </c>
      <c r="D451" s="78" t="s">
        <v>847</v>
      </c>
      <c r="E451" s="91"/>
      <c r="F451" s="92"/>
      <c r="G451" s="46">
        <f>E451-F451</f>
        <v>0</v>
      </c>
      <c r="H451" s="46"/>
      <c r="I451" s="47">
        <f>IF(G451&gt;0,K451/G451,0)</f>
        <v>0</v>
      </c>
      <c r="J451" s="47">
        <f>IF(G451&gt;0,O451/G451,0)</f>
        <v>0</v>
      </c>
      <c r="K451" s="146"/>
      <c r="L451" s="146">
        <v>235.5</v>
      </c>
      <c r="M451" s="148"/>
      <c r="N451" s="148"/>
      <c r="O451" s="51">
        <f t="shared" si="729"/>
        <v>0</v>
      </c>
      <c r="P451" s="51">
        <f t="shared" si="730"/>
        <v>235.5</v>
      </c>
      <c r="Q451" s="51">
        <f t="shared" si="731"/>
        <v>0</v>
      </c>
      <c r="R451" s="52">
        <f t="shared" si="732"/>
        <v>0</v>
      </c>
      <c r="S451" s="52">
        <f t="shared" si="733"/>
        <v>235.5</v>
      </c>
      <c r="T451" s="52">
        <f t="shared" si="734"/>
        <v>0</v>
      </c>
      <c r="U451" s="369">
        <f t="shared" si="695"/>
        <v>0</v>
      </c>
      <c r="V451" s="369">
        <f t="shared" si="696"/>
        <v>0</v>
      </c>
      <c r="W451" s="369">
        <f t="shared" si="697"/>
        <v>0</v>
      </c>
      <c r="X451" s="53">
        <f t="shared" si="735"/>
        <v>0</v>
      </c>
      <c r="Y451" s="53">
        <f t="shared" si="736"/>
        <v>1</v>
      </c>
      <c r="Z451" s="53">
        <f t="shared" si="515"/>
        <v>0</v>
      </c>
      <c r="AA451" s="148"/>
      <c r="AB451" s="148"/>
      <c r="AC451" s="148"/>
      <c r="AD451" s="148"/>
      <c r="AE451" s="134">
        <v>235.5</v>
      </c>
      <c r="AF451" s="132"/>
      <c r="AG451" s="132"/>
      <c r="AH451" s="132"/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  <c r="BI451" s="148"/>
      <c r="BJ451" s="148"/>
      <c r="BK451" s="148"/>
      <c r="BL451" s="148"/>
      <c r="BM451" s="148"/>
      <c r="BN451" s="54">
        <f t="shared" si="716"/>
        <v>0</v>
      </c>
      <c r="BO451" s="58">
        <f t="shared" si="717"/>
        <v>0</v>
      </c>
      <c r="BP451" s="54">
        <f t="shared" si="718"/>
        <v>0</v>
      </c>
      <c r="BQ451" s="54">
        <f t="shared" si="719"/>
        <v>0</v>
      </c>
      <c r="BR451" s="54">
        <f t="shared" si="720"/>
        <v>0</v>
      </c>
      <c r="BS451" s="54">
        <f t="shared" si="721"/>
        <v>0</v>
      </c>
      <c r="BT451" s="54">
        <f t="shared" si="722"/>
        <v>0</v>
      </c>
      <c r="BU451" s="54">
        <f t="shared" si="723"/>
        <v>0</v>
      </c>
      <c r="BV451" s="54">
        <f t="shared" si="724"/>
        <v>0</v>
      </c>
      <c r="BW451" s="54">
        <f t="shared" si="725"/>
        <v>0</v>
      </c>
      <c r="BX451" s="1"/>
      <c r="BY451" s="1"/>
      <c r="BZ451" s="1"/>
      <c r="CA451" s="1"/>
      <c r="CB451" s="1"/>
      <c r="CC451" s="1"/>
      <c r="CD451" s="1"/>
      <c r="CE451" s="1"/>
      <c r="CF451" s="1"/>
      <c r="CG451" s="1"/>
    </row>
    <row r="452" spans="1:85" ht="15.75" customHeight="1" outlineLevel="1">
      <c r="A452" s="83"/>
      <c r="B452" s="430" t="s">
        <v>848</v>
      </c>
      <c r="C452" s="394" t="s">
        <v>504</v>
      </c>
      <c r="D452" s="78" t="s">
        <v>849</v>
      </c>
      <c r="E452" s="91"/>
      <c r="F452" s="92"/>
      <c r="G452" s="46">
        <f>E452-F452</f>
        <v>0</v>
      </c>
      <c r="H452" s="46"/>
      <c r="I452" s="47">
        <f>IF(G452&gt;0,K452/G452,0)</f>
        <v>0</v>
      </c>
      <c r="J452" s="47">
        <f>IF(G452&gt;0,O452/G452,0)</f>
        <v>0</v>
      </c>
      <c r="K452" s="146"/>
      <c r="L452" s="146">
        <v>1161</v>
      </c>
      <c r="M452" s="148"/>
      <c r="N452" s="148"/>
      <c r="O452" s="51">
        <f t="shared" si="729"/>
        <v>0</v>
      </c>
      <c r="P452" s="51">
        <f t="shared" si="730"/>
        <v>1161</v>
      </c>
      <c r="Q452" s="51">
        <f t="shared" si="731"/>
        <v>0</v>
      </c>
      <c r="R452" s="52">
        <f t="shared" si="732"/>
        <v>0</v>
      </c>
      <c r="S452" s="52">
        <f t="shared" si="733"/>
        <v>1161</v>
      </c>
      <c r="T452" s="52">
        <f t="shared" si="734"/>
        <v>0</v>
      </c>
      <c r="U452" s="369">
        <f t="shared" si="695"/>
        <v>0</v>
      </c>
      <c r="V452" s="369">
        <f t="shared" si="696"/>
        <v>0</v>
      </c>
      <c r="W452" s="369">
        <f t="shared" si="697"/>
        <v>0</v>
      </c>
      <c r="X452" s="53">
        <f t="shared" si="735"/>
        <v>0</v>
      </c>
      <c r="Y452" s="53">
        <f t="shared" si="736"/>
        <v>1</v>
      </c>
      <c r="Z452" s="53">
        <f t="shared" si="515"/>
        <v>0</v>
      </c>
      <c r="AA452" s="148"/>
      <c r="AB452" s="148"/>
      <c r="AC452" s="148"/>
      <c r="AD452" s="148"/>
      <c r="AE452" s="132"/>
      <c r="AF452" s="132"/>
      <c r="AG452" s="132"/>
      <c r="AH452" s="132"/>
      <c r="AI452" s="148"/>
      <c r="AJ452" s="148"/>
      <c r="AK452" s="148"/>
      <c r="AL452" s="148"/>
      <c r="AM452" s="148"/>
      <c r="AN452" s="148"/>
      <c r="AO452" s="148"/>
      <c r="AP452" s="148"/>
      <c r="AQ452" s="152">
        <v>1161</v>
      </c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48"/>
      <c r="BJ452" s="148"/>
      <c r="BK452" s="148"/>
      <c r="BL452" s="148"/>
      <c r="BM452" s="148"/>
      <c r="BN452" s="54">
        <f t="shared" si="716"/>
        <v>0</v>
      </c>
      <c r="BO452" s="58">
        <f t="shared" si="717"/>
        <v>0</v>
      </c>
      <c r="BP452" s="54">
        <f t="shared" si="718"/>
        <v>0</v>
      </c>
      <c r="BQ452" s="54">
        <f t="shared" si="719"/>
        <v>0</v>
      </c>
      <c r="BR452" s="54">
        <f t="shared" si="720"/>
        <v>0</v>
      </c>
      <c r="BS452" s="54">
        <f t="shared" si="721"/>
        <v>0</v>
      </c>
      <c r="BT452" s="54">
        <f t="shared" si="722"/>
        <v>0</v>
      </c>
      <c r="BU452" s="54">
        <f t="shared" si="723"/>
        <v>0</v>
      </c>
      <c r="BV452" s="54">
        <f t="shared" si="724"/>
        <v>0</v>
      </c>
      <c r="BW452" s="54">
        <f t="shared" si="725"/>
        <v>0</v>
      </c>
      <c r="BX452" s="1"/>
      <c r="BY452" s="1"/>
      <c r="BZ452" s="1"/>
      <c r="CA452" s="1"/>
      <c r="CB452" s="1"/>
      <c r="CC452" s="1"/>
      <c r="CD452" s="1"/>
      <c r="CE452" s="1"/>
      <c r="CF452" s="1"/>
      <c r="CG452" s="1"/>
    </row>
    <row r="453" spans="1:85" ht="15.75" customHeight="1">
      <c r="A453" s="103"/>
      <c r="B453" s="426"/>
      <c r="C453" s="394" t="s">
        <v>218</v>
      </c>
      <c r="D453" s="78" t="s">
        <v>850</v>
      </c>
      <c r="E453" s="91">
        <f>200000+10000</f>
        <v>210000</v>
      </c>
      <c r="F453" s="92"/>
      <c r="G453" s="46">
        <f>E453-F453</f>
        <v>210000</v>
      </c>
      <c r="H453" s="46"/>
      <c r="I453" s="47">
        <f>IF(G453&gt;0,K453/G453,0)</f>
        <v>0</v>
      </c>
      <c r="J453" s="47">
        <f>IF(G453&gt;0,O453/G453,0)</f>
        <v>0</v>
      </c>
      <c r="K453" s="146"/>
      <c r="L453" s="146"/>
      <c r="M453" s="148"/>
      <c r="N453" s="148"/>
      <c r="O453" s="51">
        <f t="shared" si="729"/>
        <v>0</v>
      </c>
      <c r="P453" s="51">
        <f t="shared" si="730"/>
        <v>0</v>
      </c>
      <c r="Q453" s="51">
        <f t="shared" si="731"/>
        <v>0</v>
      </c>
      <c r="R453" s="52">
        <f t="shared" si="732"/>
        <v>0</v>
      </c>
      <c r="S453" s="52">
        <f t="shared" si="733"/>
        <v>0</v>
      </c>
      <c r="T453" s="52">
        <f t="shared" si="734"/>
        <v>0</v>
      </c>
      <c r="U453" s="369">
        <f t="shared" si="695"/>
        <v>0</v>
      </c>
      <c r="V453" s="369">
        <f t="shared" si="696"/>
        <v>0</v>
      </c>
      <c r="W453" s="369">
        <f t="shared" si="697"/>
        <v>0</v>
      </c>
      <c r="X453" s="53">
        <f t="shared" si="735"/>
        <v>0</v>
      </c>
      <c r="Y453" s="53">
        <f t="shared" si="736"/>
        <v>0</v>
      </c>
      <c r="Z453" s="53">
        <f t="shared" si="515"/>
        <v>0</v>
      </c>
      <c r="AA453" s="148"/>
      <c r="AB453" s="148"/>
      <c r="AC453" s="148"/>
      <c r="AD453" s="148"/>
      <c r="AE453" s="132"/>
      <c r="AF453" s="132"/>
      <c r="AG453" s="132"/>
      <c r="AH453" s="132"/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  <c r="BI453" s="148"/>
      <c r="BJ453" s="148"/>
      <c r="BK453" s="148"/>
      <c r="BL453" s="148"/>
      <c r="BM453" s="148"/>
      <c r="BN453" s="54">
        <f t="shared" si="716"/>
        <v>0</v>
      </c>
      <c r="BO453" s="58">
        <f t="shared" si="717"/>
        <v>0</v>
      </c>
      <c r="BP453" s="54">
        <f t="shared" si="718"/>
        <v>0</v>
      </c>
      <c r="BQ453" s="54">
        <f t="shared" si="719"/>
        <v>0</v>
      </c>
      <c r="BR453" s="54">
        <f t="shared" si="720"/>
        <v>0</v>
      </c>
      <c r="BS453" s="54">
        <f t="shared" si="721"/>
        <v>0</v>
      </c>
      <c r="BT453" s="54">
        <f t="shared" si="722"/>
        <v>0</v>
      </c>
      <c r="BU453" s="54">
        <f t="shared" si="723"/>
        <v>0</v>
      </c>
      <c r="BV453" s="54">
        <f t="shared" si="724"/>
        <v>0</v>
      </c>
      <c r="BW453" s="54">
        <f t="shared" si="725"/>
        <v>0</v>
      </c>
      <c r="BX453" s="1"/>
      <c r="BY453" s="1"/>
      <c r="BZ453" s="1"/>
      <c r="CA453" s="1"/>
      <c r="CB453" s="1"/>
      <c r="CC453" s="1"/>
      <c r="CD453" s="1"/>
      <c r="CE453" s="1"/>
      <c r="CF453" s="1"/>
      <c r="CG453" s="1"/>
    </row>
    <row r="454" spans="1:85" ht="15.75" customHeight="1">
      <c r="A454" s="83"/>
      <c r="B454" s="429" t="s">
        <v>851</v>
      </c>
      <c r="C454" s="394" t="s">
        <v>518</v>
      </c>
      <c r="D454" s="78" t="s">
        <v>849</v>
      </c>
      <c r="E454" s="91"/>
      <c r="F454" s="92"/>
      <c r="G454" s="46">
        <f>E454-F454</f>
        <v>0</v>
      </c>
      <c r="H454" s="46"/>
      <c r="I454" s="47">
        <f>IF(G454&gt;0,K454/G454,0)</f>
        <v>0</v>
      </c>
      <c r="J454" s="47">
        <f>IF(G454&gt;0,O454/G454,0)</f>
        <v>0</v>
      </c>
      <c r="K454" s="146"/>
      <c r="L454" s="146">
        <v>3610</v>
      </c>
      <c r="M454" s="148"/>
      <c r="N454" s="148"/>
      <c r="O454" s="51">
        <f t="shared" si="729"/>
        <v>0</v>
      </c>
      <c r="P454" s="51">
        <f t="shared" si="730"/>
        <v>3610</v>
      </c>
      <c r="Q454" s="51">
        <f t="shared" si="731"/>
        <v>0</v>
      </c>
      <c r="R454" s="52">
        <f t="shared" si="732"/>
        <v>0</v>
      </c>
      <c r="S454" s="52">
        <f t="shared" si="733"/>
        <v>3610</v>
      </c>
      <c r="T454" s="52">
        <f t="shared" si="734"/>
        <v>0</v>
      </c>
      <c r="U454" s="369">
        <f t="shared" si="695"/>
        <v>0</v>
      </c>
      <c r="V454" s="369">
        <f t="shared" si="696"/>
        <v>0</v>
      </c>
      <c r="W454" s="369">
        <f t="shared" si="697"/>
        <v>0</v>
      </c>
      <c r="X454" s="53">
        <f t="shared" si="735"/>
        <v>0</v>
      </c>
      <c r="Y454" s="53">
        <f t="shared" si="736"/>
        <v>1</v>
      </c>
      <c r="Z454" s="53">
        <f t="shared" si="515"/>
        <v>0</v>
      </c>
      <c r="AA454" s="148"/>
      <c r="AB454" s="152">
        <v>3610</v>
      </c>
      <c r="AC454" s="148"/>
      <c r="AD454" s="148"/>
      <c r="AE454" s="132"/>
      <c r="AF454" s="132"/>
      <c r="AG454" s="132"/>
      <c r="AH454" s="132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  <c r="BI454" s="148"/>
      <c r="BJ454" s="148"/>
      <c r="BK454" s="148"/>
      <c r="BL454" s="148"/>
      <c r="BM454" s="148"/>
      <c r="BN454" s="54">
        <f t="shared" si="716"/>
        <v>0</v>
      </c>
      <c r="BO454" s="58">
        <f t="shared" si="717"/>
        <v>0</v>
      </c>
      <c r="BP454" s="54">
        <f t="shared" si="718"/>
        <v>0</v>
      </c>
      <c r="BQ454" s="54">
        <f t="shared" si="719"/>
        <v>0</v>
      </c>
      <c r="BR454" s="54">
        <f t="shared" si="720"/>
        <v>0</v>
      </c>
      <c r="BS454" s="54">
        <f t="shared" si="721"/>
        <v>0</v>
      </c>
      <c r="BT454" s="54">
        <f t="shared" si="722"/>
        <v>0</v>
      </c>
      <c r="BU454" s="54">
        <f t="shared" si="723"/>
        <v>0</v>
      </c>
      <c r="BV454" s="54">
        <f t="shared" si="724"/>
        <v>0</v>
      </c>
      <c r="BW454" s="54">
        <f t="shared" si="725"/>
        <v>0</v>
      </c>
      <c r="BX454" s="1"/>
      <c r="BY454" s="1"/>
      <c r="BZ454" s="1"/>
      <c r="CA454" s="1"/>
      <c r="CB454" s="1"/>
      <c r="CC454" s="1"/>
      <c r="CD454" s="1"/>
      <c r="CE454" s="1"/>
      <c r="CF454" s="1"/>
      <c r="CG454" s="1"/>
    </row>
    <row r="455" spans="1:85" ht="15.75" customHeight="1">
      <c r="A455" s="79" t="s">
        <v>852</v>
      </c>
      <c r="B455" s="439"/>
      <c r="C455" s="394" t="s">
        <v>220</v>
      </c>
      <c r="D455" s="82" t="s">
        <v>853</v>
      </c>
      <c r="E455" s="91"/>
      <c r="F455" s="92"/>
      <c r="G455" s="46"/>
      <c r="H455" s="46"/>
      <c r="I455" s="47"/>
      <c r="J455" s="47"/>
      <c r="K455" s="202">
        <v>660.33</v>
      </c>
      <c r="L455" s="146"/>
      <c r="M455" s="148"/>
      <c r="N455" s="148"/>
      <c r="O455" s="51">
        <f t="shared" si="729"/>
        <v>660.33</v>
      </c>
      <c r="P455" s="51">
        <f t="shared" si="730"/>
        <v>0</v>
      </c>
      <c r="Q455" s="51">
        <f t="shared" si="731"/>
        <v>0</v>
      </c>
      <c r="R455" s="52">
        <f t="shared" si="732"/>
        <v>660.33</v>
      </c>
      <c r="S455" s="52">
        <f t="shared" si="733"/>
        <v>0</v>
      </c>
      <c r="T455" s="52">
        <f t="shared" si="734"/>
        <v>0</v>
      </c>
      <c r="U455" s="369">
        <f t="shared" si="695"/>
        <v>0</v>
      </c>
      <c r="V455" s="369">
        <f t="shared" si="696"/>
        <v>0</v>
      </c>
      <c r="W455" s="369">
        <f t="shared" si="697"/>
        <v>0</v>
      </c>
      <c r="X455" s="53">
        <f t="shared" si="735"/>
        <v>1</v>
      </c>
      <c r="Y455" s="53">
        <f t="shared" si="736"/>
        <v>0</v>
      </c>
      <c r="Z455" s="53">
        <f t="shared" si="515"/>
        <v>0</v>
      </c>
      <c r="AA455" s="148"/>
      <c r="AB455" s="148"/>
      <c r="AC455" s="148"/>
      <c r="AD455" s="148"/>
      <c r="AE455" s="132"/>
      <c r="AF455" s="132"/>
      <c r="AG455" s="132"/>
      <c r="AH455" s="132"/>
      <c r="AI455" s="148"/>
      <c r="AJ455" s="148"/>
      <c r="AK455" s="148"/>
      <c r="AL455" s="148"/>
      <c r="AM455" s="148"/>
      <c r="AN455" s="148"/>
      <c r="AO455" s="148"/>
      <c r="AP455" s="148"/>
      <c r="AQ455" s="148"/>
      <c r="AR455" s="148"/>
      <c r="AS455" s="148"/>
      <c r="AT455" s="148"/>
      <c r="AU455" s="148"/>
      <c r="AV455" s="148"/>
      <c r="AW455" s="148"/>
      <c r="AX455" s="148"/>
      <c r="AY455" s="152">
        <v>660.33</v>
      </c>
      <c r="AZ455" s="148"/>
      <c r="BA455" s="148"/>
      <c r="BB455" s="148"/>
      <c r="BC455" s="148"/>
      <c r="BD455" s="148"/>
      <c r="BE455" s="148"/>
      <c r="BF455" s="148"/>
      <c r="BG455" s="148"/>
      <c r="BH455" s="148"/>
      <c r="BI455" s="148"/>
      <c r="BJ455" s="148"/>
      <c r="BK455" s="148"/>
      <c r="BL455" s="148"/>
      <c r="BM455" s="148"/>
      <c r="BN455" s="54">
        <f t="shared" si="716"/>
        <v>660.33</v>
      </c>
      <c r="BO455" s="58">
        <f t="shared" si="717"/>
        <v>0</v>
      </c>
      <c r="BP455" s="54">
        <f t="shared" si="718"/>
        <v>660.33</v>
      </c>
      <c r="BQ455" s="54">
        <f t="shared" si="719"/>
        <v>0</v>
      </c>
      <c r="BR455" s="54">
        <f t="shared" si="720"/>
        <v>0</v>
      </c>
      <c r="BS455" s="54">
        <f t="shared" si="721"/>
        <v>0</v>
      </c>
      <c r="BT455" s="54">
        <f t="shared" si="722"/>
        <v>0</v>
      </c>
      <c r="BU455" s="54">
        <f t="shared" si="723"/>
        <v>660.33</v>
      </c>
      <c r="BV455" s="54">
        <f t="shared" si="724"/>
        <v>0</v>
      </c>
      <c r="BW455" s="54">
        <f t="shared" si="725"/>
        <v>660.33</v>
      </c>
      <c r="BX455" s="1"/>
      <c r="BY455" s="1"/>
      <c r="BZ455" s="1"/>
      <c r="CA455" s="1"/>
      <c r="CB455" s="1"/>
      <c r="CC455" s="1"/>
      <c r="CD455" s="1"/>
      <c r="CE455" s="1"/>
      <c r="CF455" s="1"/>
      <c r="CG455" s="1"/>
    </row>
    <row r="456" spans="1:85" ht="15.75" customHeight="1">
      <c r="A456" s="103"/>
      <c r="B456" s="426"/>
      <c r="C456" s="394" t="s">
        <v>854</v>
      </c>
      <c r="D456" s="78" t="s">
        <v>855</v>
      </c>
      <c r="E456" s="91"/>
      <c r="F456" s="92"/>
      <c r="G456" s="46">
        <f>E456-F456</f>
        <v>0</v>
      </c>
      <c r="H456" s="46">
        <v>20000</v>
      </c>
      <c r="I456" s="47">
        <f>IF(G456&gt;0,K456/G456,0)</f>
        <v>0</v>
      </c>
      <c r="J456" s="47">
        <f>IF(G456&gt;0,O456/G456,0)</f>
        <v>0</v>
      </c>
      <c r="K456" s="146"/>
      <c r="L456" s="146"/>
      <c r="M456" s="148"/>
      <c r="N456" s="148"/>
      <c r="O456" s="51">
        <f t="shared" si="729"/>
        <v>0</v>
      </c>
      <c r="P456" s="51">
        <f t="shared" si="730"/>
        <v>0</v>
      </c>
      <c r="Q456" s="51">
        <f t="shared" si="731"/>
        <v>0</v>
      </c>
      <c r="R456" s="52">
        <f t="shared" si="732"/>
        <v>0</v>
      </c>
      <c r="S456" s="52">
        <f t="shared" si="733"/>
        <v>0</v>
      </c>
      <c r="T456" s="52">
        <f t="shared" si="734"/>
        <v>0</v>
      </c>
      <c r="U456" s="369">
        <f t="shared" si="695"/>
        <v>0</v>
      </c>
      <c r="V456" s="369">
        <f t="shared" si="696"/>
        <v>0</v>
      </c>
      <c r="W456" s="369">
        <f t="shared" si="697"/>
        <v>0</v>
      </c>
      <c r="X456" s="53">
        <f t="shared" si="735"/>
        <v>0</v>
      </c>
      <c r="Y456" s="53">
        <f t="shared" si="736"/>
        <v>0</v>
      </c>
      <c r="Z456" s="53">
        <f t="shared" si="515"/>
        <v>0</v>
      </c>
      <c r="AA456" s="148"/>
      <c r="AB456" s="148"/>
      <c r="AC456" s="148"/>
      <c r="AD456" s="148"/>
      <c r="AE456" s="132"/>
      <c r="AF456" s="132"/>
      <c r="AG456" s="132"/>
      <c r="AH456" s="132"/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  <c r="BI456" s="148"/>
      <c r="BJ456" s="148"/>
      <c r="BK456" s="148"/>
      <c r="BL456" s="148"/>
      <c r="BM456" s="148"/>
      <c r="BN456" s="54">
        <f t="shared" si="716"/>
        <v>0</v>
      </c>
      <c r="BO456" s="58">
        <f t="shared" si="717"/>
        <v>0</v>
      </c>
      <c r="BP456" s="54">
        <f t="shared" si="718"/>
        <v>0</v>
      </c>
      <c r="BQ456" s="54">
        <f t="shared" si="719"/>
        <v>0</v>
      </c>
      <c r="BR456" s="54">
        <f t="shared" si="720"/>
        <v>0</v>
      </c>
      <c r="BS456" s="54">
        <f t="shared" si="721"/>
        <v>0</v>
      </c>
      <c r="BT456" s="54">
        <f t="shared" si="722"/>
        <v>0</v>
      </c>
      <c r="BU456" s="54">
        <f t="shared" si="723"/>
        <v>0</v>
      </c>
      <c r="BV456" s="54">
        <f t="shared" si="724"/>
        <v>0</v>
      </c>
      <c r="BW456" s="54">
        <f t="shared" si="725"/>
        <v>0</v>
      </c>
      <c r="BX456" s="1"/>
      <c r="BY456" s="1"/>
      <c r="BZ456" s="1"/>
      <c r="CA456" s="1"/>
      <c r="CB456" s="1"/>
      <c r="CC456" s="1"/>
      <c r="CD456" s="1"/>
      <c r="CE456" s="1"/>
      <c r="CF456" s="1"/>
      <c r="CG456" s="1"/>
    </row>
    <row r="457" spans="1:85" ht="15.75" customHeight="1">
      <c r="A457" s="216" t="s">
        <v>856</v>
      </c>
      <c r="B457" s="429" t="s">
        <v>857</v>
      </c>
      <c r="C457" s="394" t="s">
        <v>226</v>
      </c>
      <c r="D457" s="78" t="s">
        <v>858</v>
      </c>
      <c r="E457" s="45">
        <v>220000</v>
      </c>
      <c r="F457" s="46"/>
      <c r="G457" s="46">
        <f>E457-F457</f>
        <v>220000</v>
      </c>
      <c r="H457" s="46">
        <v>100000</v>
      </c>
      <c r="I457" s="47">
        <f>IF(G457&gt;0,K457/G457,0)</f>
        <v>0.34196768181818182</v>
      </c>
      <c r="J457" s="47">
        <f>IF(G457&gt;0,O457/G457,0)</f>
        <v>0.34196768181818188</v>
      </c>
      <c r="K457" s="202">
        <f>34340.93+40891.96</f>
        <v>75232.89</v>
      </c>
      <c r="L457" s="146">
        <v>40891.480000000003</v>
      </c>
      <c r="M457" s="148"/>
      <c r="N457" s="148"/>
      <c r="O457" s="51">
        <f t="shared" si="729"/>
        <v>75232.890000000014</v>
      </c>
      <c r="P457" s="51">
        <f t="shared" si="730"/>
        <v>40891.480000000003</v>
      </c>
      <c r="Q457" s="51">
        <f t="shared" si="731"/>
        <v>0</v>
      </c>
      <c r="R457" s="52">
        <f t="shared" si="732"/>
        <v>75232.890000000014</v>
      </c>
      <c r="S457" s="52">
        <f t="shared" si="733"/>
        <v>40891.480000000003</v>
      </c>
      <c r="T457" s="52">
        <f t="shared" si="734"/>
        <v>0</v>
      </c>
      <c r="U457" s="369">
        <f t="shared" si="695"/>
        <v>0</v>
      </c>
      <c r="V457" s="369">
        <f t="shared" si="696"/>
        <v>0</v>
      </c>
      <c r="W457" s="369">
        <f t="shared" si="697"/>
        <v>0</v>
      </c>
      <c r="X457" s="53">
        <f t="shared" si="735"/>
        <v>1.0000000000000002</v>
      </c>
      <c r="Y457" s="53">
        <f t="shared" si="736"/>
        <v>1</v>
      </c>
      <c r="Z457" s="53">
        <f t="shared" si="515"/>
        <v>0</v>
      </c>
      <c r="AA457" s="148"/>
      <c r="AB457" s="152">
        <v>40891.480000000003</v>
      </c>
      <c r="AC457" s="148"/>
      <c r="AD457" s="148"/>
      <c r="AE457" s="132"/>
      <c r="AF457" s="132"/>
      <c r="AG457" s="134">
        <v>34340.93</v>
      </c>
      <c r="AH457" s="132"/>
      <c r="AI457" s="148"/>
      <c r="AJ457" s="148">
        <f>40891.48+0.48</f>
        <v>40891.960000000006</v>
      </c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  <c r="BI457" s="148"/>
      <c r="BJ457" s="148"/>
      <c r="BK457" s="148"/>
      <c r="BL457" s="148"/>
      <c r="BM457" s="148"/>
      <c r="BN457" s="54">
        <f t="shared" si="716"/>
        <v>75232.890000000014</v>
      </c>
      <c r="BO457" s="58">
        <f t="shared" si="717"/>
        <v>0</v>
      </c>
      <c r="BP457" s="54">
        <f t="shared" si="718"/>
        <v>75232.890000000014</v>
      </c>
      <c r="BQ457" s="54">
        <f t="shared" si="719"/>
        <v>0</v>
      </c>
      <c r="BR457" s="54">
        <f t="shared" si="720"/>
        <v>0</v>
      </c>
      <c r="BS457" s="54">
        <f t="shared" si="721"/>
        <v>0</v>
      </c>
      <c r="BT457" s="54">
        <f t="shared" si="722"/>
        <v>0</v>
      </c>
      <c r="BU457" s="54">
        <f t="shared" si="723"/>
        <v>75232.890000000014</v>
      </c>
      <c r="BV457" s="54">
        <f t="shared" si="724"/>
        <v>0</v>
      </c>
      <c r="BW457" s="54">
        <f t="shared" si="725"/>
        <v>75232.890000000014</v>
      </c>
      <c r="BX457" s="1"/>
      <c r="BY457" s="1"/>
      <c r="BZ457" s="1"/>
      <c r="CA457" s="1"/>
      <c r="CB457" s="1"/>
      <c r="CC457" s="1"/>
      <c r="CD457" s="1"/>
      <c r="CE457" s="1"/>
      <c r="CF457" s="1"/>
      <c r="CG457" s="1"/>
    </row>
    <row r="458" spans="1:85" ht="15.75" customHeight="1">
      <c r="A458" s="217" t="s">
        <v>859</v>
      </c>
      <c r="B458" s="439"/>
      <c r="C458" s="394" t="s">
        <v>226</v>
      </c>
      <c r="D458" s="218" t="s">
        <v>860</v>
      </c>
      <c r="E458" s="45"/>
      <c r="F458" s="46"/>
      <c r="G458" s="46">
        <f>E458-F458</f>
        <v>0</v>
      </c>
      <c r="H458" s="46"/>
      <c r="I458" s="47">
        <f>IF(G458&gt;0,K458/G458,0)</f>
        <v>0</v>
      </c>
      <c r="J458" s="47">
        <f>IF(G458&gt;0,O458/G458,0)</f>
        <v>0</v>
      </c>
      <c r="K458" s="219">
        <f>342258.38-55000-51000-172000-1286-26000-36972.38+569984.12-569984.12</f>
        <v>0</v>
      </c>
      <c r="L458" s="202"/>
      <c r="M458" s="148"/>
      <c r="N458" s="148"/>
      <c r="O458" s="51">
        <f t="shared" si="729"/>
        <v>0</v>
      </c>
      <c r="P458" s="51">
        <f t="shared" si="730"/>
        <v>0</v>
      </c>
      <c r="Q458" s="51">
        <f t="shared" si="731"/>
        <v>0</v>
      </c>
      <c r="R458" s="52">
        <f t="shared" si="732"/>
        <v>0</v>
      </c>
      <c r="S458" s="52">
        <f t="shared" si="733"/>
        <v>0</v>
      </c>
      <c r="T458" s="52">
        <f t="shared" si="734"/>
        <v>0</v>
      </c>
      <c r="U458" s="369">
        <f t="shared" si="695"/>
        <v>0</v>
      </c>
      <c r="V458" s="369">
        <f t="shared" si="696"/>
        <v>0</v>
      </c>
      <c r="W458" s="369">
        <f t="shared" si="697"/>
        <v>0</v>
      </c>
      <c r="X458" s="53">
        <f t="shared" si="735"/>
        <v>0</v>
      </c>
      <c r="Y458" s="53">
        <f t="shared" si="736"/>
        <v>0</v>
      </c>
      <c r="Z458" s="53">
        <f t="shared" si="515"/>
        <v>0</v>
      </c>
      <c r="AA458" s="152"/>
      <c r="AB458" s="148"/>
      <c r="AC458" s="148"/>
      <c r="AD458" s="152"/>
      <c r="AE458" s="132"/>
      <c r="AF458" s="132"/>
      <c r="AG458" s="132"/>
      <c r="AH458" s="132"/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  <c r="BI458" s="148"/>
      <c r="BJ458" s="148"/>
      <c r="BK458" s="148"/>
      <c r="BL458" s="148"/>
      <c r="BM458" s="148"/>
      <c r="BN458" s="54">
        <f t="shared" si="716"/>
        <v>0</v>
      </c>
      <c r="BO458" s="58">
        <f t="shared" si="717"/>
        <v>0</v>
      </c>
      <c r="BP458" s="54">
        <f t="shared" si="718"/>
        <v>0</v>
      </c>
      <c r="BQ458" s="54">
        <f t="shared" si="719"/>
        <v>0</v>
      </c>
      <c r="BR458" s="54">
        <f t="shared" si="720"/>
        <v>0</v>
      </c>
      <c r="BS458" s="54">
        <f t="shared" si="721"/>
        <v>0</v>
      </c>
      <c r="BT458" s="54">
        <f t="shared" si="722"/>
        <v>0</v>
      </c>
      <c r="BU458" s="54">
        <f t="shared" si="723"/>
        <v>0</v>
      </c>
      <c r="BV458" s="54">
        <f t="shared" si="724"/>
        <v>0</v>
      </c>
      <c r="BW458" s="54">
        <f t="shared" si="725"/>
        <v>0</v>
      </c>
      <c r="BX458" s="1"/>
      <c r="BY458" s="1"/>
      <c r="BZ458" s="1"/>
      <c r="CA458" s="1"/>
      <c r="CB458" s="1"/>
      <c r="CC458" s="1"/>
      <c r="CD458" s="1"/>
      <c r="CE458" s="1"/>
      <c r="CF458" s="1"/>
      <c r="CG458" s="1"/>
    </row>
    <row r="459" spans="1:85" ht="15.75" customHeight="1">
      <c r="A459" s="43" t="s">
        <v>861</v>
      </c>
      <c r="B459" s="439"/>
      <c r="C459" s="394" t="s">
        <v>226</v>
      </c>
      <c r="D459" s="82" t="s">
        <v>862</v>
      </c>
      <c r="E459" s="45"/>
      <c r="F459" s="46"/>
      <c r="G459" s="46"/>
      <c r="H459" s="46"/>
      <c r="I459" s="47"/>
      <c r="J459" s="47"/>
      <c r="K459" s="202">
        <v>342258.38</v>
      </c>
      <c r="L459" s="202"/>
      <c r="M459" s="148"/>
      <c r="N459" s="148"/>
      <c r="O459" s="51">
        <f t="shared" si="729"/>
        <v>112795.54999999999</v>
      </c>
      <c r="P459" s="51">
        <f t="shared" si="730"/>
        <v>0</v>
      </c>
      <c r="Q459" s="51">
        <f t="shared" si="731"/>
        <v>0</v>
      </c>
      <c r="R459" s="52">
        <f t="shared" si="732"/>
        <v>112795.54999999999</v>
      </c>
      <c r="S459" s="52">
        <f t="shared" si="733"/>
        <v>0</v>
      </c>
      <c r="T459" s="52">
        <f t="shared" si="734"/>
        <v>0</v>
      </c>
      <c r="U459" s="369">
        <f t="shared" si="695"/>
        <v>229462.83000000002</v>
      </c>
      <c r="V459" s="369">
        <f t="shared" si="696"/>
        <v>0</v>
      </c>
      <c r="W459" s="369">
        <f t="shared" si="697"/>
        <v>0</v>
      </c>
      <c r="X459" s="53">
        <f t="shared" si="735"/>
        <v>0.32956256615250734</v>
      </c>
      <c r="Y459" s="53">
        <f t="shared" si="736"/>
        <v>0</v>
      </c>
      <c r="Z459" s="53">
        <f t="shared" si="515"/>
        <v>0</v>
      </c>
      <c r="AA459" s="152"/>
      <c r="AB459" s="148"/>
      <c r="AC459" s="148"/>
      <c r="AD459" s="152"/>
      <c r="AE459" s="132"/>
      <c r="AF459" s="132"/>
      <c r="AG459" s="132"/>
      <c r="AH459" s="132"/>
      <c r="AI459" s="148"/>
      <c r="AJ459" s="148"/>
      <c r="AK459" s="148"/>
      <c r="AL459" s="148"/>
      <c r="AM459" s="152"/>
      <c r="AN459" s="148"/>
      <c r="AO459" s="148"/>
      <c r="AP459" s="148"/>
      <c r="AQ459" s="148"/>
      <c r="AR459" s="148"/>
      <c r="AS459" s="148"/>
      <c r="AT459" s="148"/>
      <c r="AU459" s="148"/>
      <c r="AV459" s="148">
        <f>55752.49</f>
        <v>55752.49</v>
      </c>
      <c r="AW459" s="148"/>
      <c r="AX459" s="148"/>
      <c r="AY459" s="148">
        <f>57043.06</f>
        <v>57043.06</v>
      </c>
      <c r="AZ459" s="148"/>
      <c r="BA459" s="148"/>
      <c r="BB459" s="148"/>
      <c r="BC459" s="148"/>
      <c r="BD459" s="148"/>
      <c r="BE459" s="148"/>
      <c r="BF459" s="148"/>
      <c r="BG459" s="148"/>
      <c r="BH459" s="148"/>
      <c r="BI459" s="148"/>
      <c r="BJ459" s="148"/>
      <c r="BK459" s="148"/>
      <c r="BL459" s="148"/>
      <c r="BM459" s="148"/>
      <c r="BN459" s="54">
        <f t="shared" si="716"/>
        <v>112795.54999999999</v>
      </c>
      <c r="BO459" s="58">
        <f t="shared" si="717"/>
        <v>0</v>
      </c>
      <c r="BP459" s="54">
        <f t="shared" si="718"/>
        <v>112795.54999999999</v>
      </c>
      <c r="BQ459" s="54">
        <f t="shared" si="719"/>
        <v>229462.83000000002</v>
      </c>
      <c r="BR459" s="54">
        <f t="shared" si="720"/>
        <v>0</v>
      </c>
      <c r="BS459" s="54">
        <f t="shared" si="721"/>
        <v>229462.83000000002</v>
      </c>
      <c r="BT459" s="54">
        <f t="shared" si="722"/>
        <v>0</v>
      </c>
      <c r="BU459" s="54">
        <f t="shared" si="723"/>
        <v>112795.54999999999</v>
      </c>
      <c r="BV459" s="54">
        <f t="shared" si="724"/>
        <v>229462.83000000002</v>
      </c>
      <c r="BW459" s="54">
        <f t="shared" si="725"/>
        <v>112795.54999999999</v>
      </c>
      <c r="BX459" s="1"/>
      <c r="BY459" s="1"/>
      <c r="BZ459" s="1"/>
      <c r="CA459" s="1"/>
      <c r="CB459" s="1"/>
      <c r="CC459" s="1"/>
      <c r="CD459" s="1"/>
      <c r="CE459" s="1"/>
      <c r="CF459" s="1"/>
      <c r="CG459" s="1"/>
    </row>
    <row r="460" spans="1:85" ht="15.75" customHeight="1">
      <c r="A460" s="43" t="s">
        <v>863</v>
      </c>
      <c r="B460" s="439"/>
      <c r="C460" s="394" t="s">
        <v>226</v>
      </c>
      <c r="D460" s="82" t="s">
        <v>864</v>
      </c>
      <c r="E460" s="45"/>
      <c r="F460" s="46"/>
      <c r="G460" s="46">
        <f t="shared" ref="G460:G470" si="740">E460-F460</f>
        <v>0</v>
      </c>
      <c r="H460" s="46"/>
      <c r="I460" s="47">
        <f t="shared" ref="I460:I470" si="741">IF(G460&gt;0,K460/G460,0)</f>
        <v>0</v>
      </c>
      <c r="J460" s="47">
        <f t="shared" ref="J460:J470" si="742">IF(G460&gt;0,O460/G460,0)</f>
        <v>0</v>
      </c>
      <c r="K460" s="202">
        <f>81782.94+40891.48</f>
        <v>122674.42000000001</v>
      </c>
      <c r="L460" s="202"/>
      <c r="M460" s="148"/>
      <c r="N460" s="148"/>
      <c r="O460" s="51">
        <f t="shared" si="729"/>
        <v>122674.42000000001</v>
      </c>
      <c r="P460" s="51">
        <f t="shared" si="730"/>
        <v>0</v>
      </c>
      <c r="Q460" s="51">
        <f t="shared" si="731"/>
        <v>0</v>
      </c>
      <c r="R460" s="52">
        <f t="shared" si="732"/>
        <v>122674.42000000001</v>
      </c>
      <c r="S460" s="52">
        <f t="shared" si="733"/>
        <v>0</v>
      </c>
      <c r="T460" s="52">
        <f t="shared" si="734"/>
        <v>0</v>
      </c>
      <c r="U460" s="369">
        <f t="shared" si="695"/>
        <v>0</v>
      </c>
      <c r="V460" s="369">
        <f t="shared" si="696"/>
        <v>0</v>
      </c>
      <c r="W460" s="369">
        <f t="shared" si="697"/>
        <v>0</v>
      </c>
      <c r="X460" s="53">
        <f t="shared" si="735"/>
        <v>1</v>
      </c>
      <c r="Y460" s="53">
        <f t="shared" si="736"/>
        <v>0</v>
      </c>
      <c r="Z460" s="53">
        <f t="shared" si="515"/>
        <v>0</v>
      </c>
      <c r="AA460" s="152"/>
      <c r="AB460" s="148"/>
      <c r="AC460" s="148"/>
      <c r="AD460" s="152"/>
      <c r="AE460" s="132"/>
      <c r="AF460" s="132"/>
      <c r="AG460" s="132"/>
      <c r="AH460" s="132"/>
      <c r="AI460" s="148"/>
      <c r="AJ460" s="148"/>
      <c r="AK460" s="148"/>
      <c r="AL460" s="148"/>
      <c r="AM460" s="152">
        <v>40891.480000000003</v>
      </c>
      <c r="AN460" s="148"/>
      <c r="AO460" s="148"/>
      <c r="AP460" s="148">
        <f>40891.46+40891.48</f>
        <v>81782.94</v>
      </c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  <c r="BI460" s="148"/>
      <c r="BJ460" s="148"/>
      <c r="BK460" s="148"/>
      <c r="BL460" s="148"/>
      <c r="BM460" s="148"/>
      <c r="BN460" s="54">
        <f t="shared" si="716"/>
        <v>122674.42000000001</v>
      </c>
      <c r="BO460" s="58">
        <f t="shared" si="717"/>
        <v>0</v>
      </c>
      <c r="BP460" s="54">
        <f t="shared" si="718"/>
        <v>122674.42000000001</v>
      </c>
      <c r="BQ460" s="54">
        <f t="shared" si="719"/>
        <v>0</v>
      </c>
      <c r="BR460" s="54">
        <f t="shared" si="720"/>
        <v>0</v>
      </c>
      <c r="BS460" s="54">
        <f t="shared" si="721"/>
        <v>0</v>
      </c>
      <c r="BT460" s="54">
        <f t="shared" si="722"/>
        <v>0</v>
      </c>
      <c r="BU460" s="54">
        <f t="shared" si="723"/>
        <v>122674.42000000001</v>
      </c>
      <c r="BV460" s="54">
        <f t="shared" si="724"/>
        <v>0</v>
      </c>
      <c r="BW460" s="54">
        <f t="shared" si="725"/>
        <v>122674.42000000001</v>
      </c>
      <c r="BX460" s="1"/>
      <c r="BY460" s="1"/>
      <c r="BZ460" s="1"/>
      <c r="CA460" s="1"/>
      <c r="CB460" s="1"/>
      <c r="CC460" s="1"/>
      <c r="CD460" s="1"/>
      <c r="CE460" s="1"/>
      <c r="CF460" s="1"/>
      <c r="CG460" s="1"/>
    </row>
    <row r="461" spans="1:85" ht="15.75" customHeight="1">
      <c r="A461" s="43" t="s">
        <v>865</v>
      </c>
      <c r="B461" s="439"/>
      <c r="C461" s="394" t="s">
        <v>254</v>
      </c>
      <c r="D461" s="78" t="s">
        <v>866</v>
      </c>
      <c r="E461" s="45"/>
      <c r="F461" s="46"/>
      <c r="G461" s="46">
        <f t="shared" si="740"/>
        <v>0</v>
      </c>
      <c r="H461" s="46"/>
      <c r="I461" s="47">
        <f t="shared" si="741"/>
        <v>0</v>
      </c>
      <c r="J461" s="47">
        <f t="shared" si="742"/>
        <v>0</v>
      </c>
      <c r="K461" s="202">
        <v>10939.15</v>
      </c>
      <c r="L461" s="202"/>
      <c r="M461" s="148"/>
      <c r="N461" s="148"/>
      <c r="O461" s="51">
        <f t="shared" si="729"/>
        <v>10939.15</v>
      </c>
      <c r="P461" s="51">
        <f t="shared" si="730"/>
        <v>0</v>
      </c>
      <c r="Q461" s="51">
        <f t="shared" si="731"/>
        <v>0</v>
      </c>
      <c r="R461" s="52">
        <f t="shared" si="732"/>
        <v>10939.15</v>
      </c>
      <c r="S461" s="52">
        <f t="shared" si="733"/>
        <v>0</v>
      </c>
      <c r="T461" s="52">
        <f t="shared" si="734"/>
        <v>0</v>
      </c>
      <c r="U461" s="369">
        <f t="shared" si="695"/>
        <v>0</v>
      </c>
      <c r="V461" s="369">
        <f t="shared" si="696"/>
        <v>0</v>
      </c>
      <c r="W461" s="369">
        <f t="shared" si="697"/>
        <v>0</v>
      </c>
      <c r="X461" s="53">
        <f t="shared" si="735"/>
        <v>1</v>
      </c>
      <c r="Y461" s="53">
        <f t="shared" si="736"/>
        <v>0</v>
      </c>
      <c r="Z461" s="53">
        <f t="shared" si="515"/>
        <v>0</v>
      </c>
      <c r="AA461" s="152"/>
      <c r="AB461" s="148"/>
      <c r="AC461" s="148"/>
      <c r="AD461" s="152">
        <v>10939.15</v>
      </c>
      <c r="AE461" s="132"/>
      <c r="AF461" s="132"/>
      <c r="AG461" s="132"/>
      <c r="AH461" s="132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54">
        <f t="shared" si="716"/>
        <v>10939.15</v>
      </c>
      <c r="BO461" s="58">
        <f t="shared" si="717"/>
        <v>0</v>
      </c>
      <c r="BP461" s="54">
        <f t="shared" si="718"/>
        <v>10939.15</v>
      </c>
      <c r="BQ461" s="54">
        <f t="shared" si="719"/>
        <v>0</v>
      </c>
      <c r="BR461" s="54">
        <f t="shared" si="720"/>
        <v>0</v>
      </c>
      <c r="BS461" s="54">
        <f t="shared" si="721"/>
        <v>0</v>
      </c>
      <c r="BT461" s="54">
        <f t="shared" si="722"/>
        <v>0</v>
      </c>
      <c r="BU461" s="54">
        <f t="shared" si="723"/>
        <v>10939.15</v>
      </c>
      <c r="BV461" s="54">
        <f t="shared" si="724"/>
        <v>0</v>
      </c>
      <c r="BW461" s="54">
        <f t="shared" si="725"/>
        <v>10939.15</v>
      </c>
      <c r="BX461" s="1"/>
      <c r="BY461" s="1"/>
      <c r="BZ461" s="1"/>
      <c r="CA461" s="1"/>
      <c r="CB461" s="1"/>
      <c r="CC461" s="1"/>
      <c r="CD461" s="1"/>
      <c r="CE461" s="1"/>
      <c r="CF461" s="1"/>
      <c r="CG461" s="1"/>
    </row>
    <row r="462" spans="1:85" ht="15.75" customHeight="1">
      <c r="A462" s="43" t="s">
        <v>867</v>
      </c>
      <c r="B462" s="426"/>
      <c r="C462" s="394" t="s">
        <v>254</v>
      </c>
      <c r="D462" s="78" t="s">
        <v>868</v>
      </c>
      <c r="E462" s="45">
        <v>25000</v>
      </c>
      <c r="F462" s="46"/>
      <c r="G462" s="46">
        <f t="shared" si="740"/>
        <v>25000</v>
      </c>
      <c r="H462" s="46"/>
      <c r="I462" s="47">
        <f t="shared" si="741"/>
        <v>1.5671751999999999</v>
      </c>
      <c r="J462" s="47">
        <f t="shared" si="742"/>
        <v>0.83200599999999991</v>
      </c>
      <c r="K462" s="202">
        <v>39179.379999999997</v>
      </c>
      <c r="L462" s="146"/>
      <c r="M462" s="148"/>
      <c r="N462" s="148"/>
      <c r="O462" s="51">
        <f t="shared" ref="O462:O472" si="743">AA462+AD462+AG462+AJ462+AM462+AP462+AS462+AV462+AY462+BB462+BE462+BH462</f>
        <v>20800.149999999998</v>
      </c>
      <c r="P462" s="51">
        <f t="shared" ref="P462:P472" si="744">AB462+AE462+AH462+AK462+AN462+AQ462+AT462+AW462+AZ462+BC462+BF462+BI462</f>
        <v>0</v>
      </c>
      <c r="Q462" s="51">
        <f t="shared" ref="Q462:Q472" si="745">AC462+AF462+AI462+AL462+AO462+AR462+AU462+AX462+BA462+BD462+BG462+BJ462</f>
        <v>0</v>
      </c>
      <c r="R462" s="52">
        <f t="shared" ref="R462:R472" si="746">IF(BK462=0,SUM(AA462+AD462+AG462+AJ462+AM462+AP462+AS462+AV462+AY462+BB462+BE462+BH462),BK462)</f>
        <v>20800.149999999998</v>
      </c>
      <c r="S462" s="52">
        <f t="shared" ref="S462:S472" si="747">IF(BL462=0,SUM(AB462+AE462+AH462+AK462+AN462+AQ462+AT462+AW462+AZ462+BC462+BF462+BI462),BL462)</f>
        <v>0</v>
      </c>
      <c r="T462" s="52">
        <f t="shared" ref="T462:T472" si="748">IF(BM462=0,SUM(AC462+AF462+AI462+AL462+AO462+AR462+AU462+AX462+BA462+BD462+BG462+BJ462),BM462)</f>
        <v>0</v>
      </c>
      <c r="U462" s="368">
        <f t="shared" si="695"/>
        <v>18379.23</v>
      </c>
      <c r="V462" s="369">
        <f t="shared" si="696"/>
        <v>0</v>
      </c>
      <c r="W462" s="369">
        <f t="shared" si="697"/>
        <v>0</v>
      </c>
      <c r="X462" s="53">
        <f t="shared" si="735"/>
        <v>0.53089533320843774</v>
      </c>
      <c r="Y462" s="53">
        <f t="shared" si="736"/>
        <v>0</v>
      </c>
      <c r="Z462" s="53">
        <f t="shared" si="515"/>
        <v>0</v>
      </c>
      <c r="AA462" s="148"/>
      <c r="AB462" s="148"/>
      <c r="AC462" s="148"/>
      <c r="AD462" s="148"/>
      <c r="AE462" s="132"/>
      <c r="AF462" s="132"/>
      <c r="AG462" s="134">
        <v>4035.28</v>
      </c>
      <c r="AH462" s="132"/>
      <c r="AI462" s="148"/>
      <c r="AJ462" s="148"/>
      <c r="AK462" s="148"/>
      <c r="AL462" s="148"/>
      <c r="AM462" s="152">
        <v>5934.13</v>
      </c>
      <c r="AN462" s="148"/>
      <c r="AO462" s="148"/>
      <c r="AP462" s="148">
        <f>3924.8+5460</f>
        <v>9384.7999999999993</v>
      </c>
      <c r="AQ462" s="148"/>
      <c r="AR462" s="148"/>
      <c r="AS462" s="152">
        <v>1445.94</v>
      </c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54">
        <f t="shared" si="716"/>
        <v>20800.149999999998</v>
      </c>
      <c r="BO462" s="58">
        <f t="shared" si="717"/>
        <v>0</v>
      </c>
      <c r="BP462" s="54">
        <f t="shared" si="718"/>
        <v>20800.149999999998</v>
      </c>
      <c r="BQ462" s="54">
        <f t="shared" si="719"/>
        <v>18379.23</v>
      </c>
      <c r="BR462" s="54">
        <f t="shared" si="720"/>
        <v>0</v>
      </c>
      <c r="BS462" s="54">
        <f t="shared" si="721"/>
        <v>18379.23</v>
      </c>
      <c r="BT462" s="54">
        <f t="shared" si="722"/>
        <v>0</v>
      </c>
      <c r="BU462" s="54">
        <f t="shared" si="723"/>
        <v>20800.149999999998</v>
      </c>
      <c r="BV462" s="54">
        <f t="shared" si="724"/>
        <v>18379.23</v>
      </c>
      <c r="BW462" s="54">
        <f t="shared" si="725"/>
        <v>20800.149999999998</v>
      </c>
      <c r="BX462" s="1"/>
      <c r="BY462" s="1"/>
      <c r="BZ462" s="1"/>
      <c r="CA462" s="1"/>
      <c r="CB462" s="1"/>
      <c r="CC462" s="1"/>
      <c r="CD462" s="1"/>
      <c r="CE462" s="1"/>
      <c r="CF462" s="1"/>
      <c r="CG462" s="1"/>
    </row>
    <row r="463" spans="1:85" ht="15.75" customHeight="1">
      <c r="A463" s="56"/>
      <c r="B463" s="426"/>
      <c r="C463" s="394" t="s">
        <v>254</v>
      </c>
      <c r="D463" s="78" t="s">
        <v>869</v>
      </c>
      <c r="E463" s="45">
        <v>10000</v>
      </c>
      <c r="F463" s="46"/>
      <c r="G463" s="46">
        <f t="shared" si="740"/>
        <v>10000</v>
      </c>
      <c r="H463" s="46"/>
      <c r="I463" s="47">
        <f t="shared" si="741"/>
        <v>0</v>
      </c>
      <c r="J463" s="47">
        <f t="shared" si="742"/>
        <v>0</v>
      </c>
      <c r="K463" s="146"/>
      <c r="L463" s="146"/>
      <c r="M463" s="146"/>
      <c r="N463" s="146"/>
      <c r="O463" s="51">
        <f t="shared" si="743"/>
        <v>0</v>
      </c>
      <c r="P463" s="51">
        <f t="shared" si="744"/>
        <v>0</v>
      </c>
      <c r="Q463" s="51">
        <f t="shared" si="745"/>
        <v>0</v>
      </c>
      <c r="R463" s="52">
        <f t="shared" si="746"/>
        <v>0</v>
      </c>
      <c r="S463" s="52">
        <f t="shared" si="747"/>
        <v>0</v>
      </c>
      <c r="T463" s="52">
        <f t="shared" si="748"/>
        <v>0</v>
      </c>
      <c r="U463" s="369">
        <f t="shared" si="695"/>
        <v>0</v>
      </c>
      <c r="V463" s="369">
        <f t="shared" si="696"/>
        <v>0</v>
      </c>
      <c r="W463" s="369">
        <f t="shared" si="697"/>
        <v>0</v>
      </c>
      <c r="X463" s="53">
        <f t="shared" ref="X463:X480" si="749">IF(O463&gt;0,O463/K463,0)</f>
        <v>0</v>
      </c>
      <c r="Y463" s="53">
        <f t="shared" ref="Y463:Y480" si="750">IF(P463&gt;0,P463/L463,0)</f>
        <v>0</v>
      </c>
      <c r="Z463" s="53">
        <f t="shared" si="515"/>
        <v>0</v>
      </c>
      <c r="AA463" s="148"/>
      <c r="AB463" s="148"/>
      <c r="AC463" s="148"/>
      <c r="AD463" s="148"/>
      <c r="AE463" s="132"/>
      <c r="AF463" s="132"/>
      <c r="AG463" s="132"/>
      <c r="AH463" s="132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48"/>
      <c r="BJ463" s="148"/>
      <c r="BK463" s="148"/>
      <c r="BL463" s="148"/>
      <c r="BM463" s="148"/>
      <c r="BN463" s="54">
        <f t="shared" si="716"/>
        <v>0</v>
      </c>
      <c r="BO463" s="58">
        <f t="shared" si="717"/>
        <v>0</v>
      </c>
      <c r="BP463" s="54">
        <f t="shared" si="718"/>
        <v>0</v>
      </c>
      <c r="BQ463" s="54">
        <f t="shared" si="719"/>
        <v>0</v>
      </c>
      <c r="BR463" s="54">
        <f t="shared" si="720"/>
        <v>0</v>
      </c>
      <c r="BS463" s="54">
        <f t="shared" si="721"/>
        <v>0</v>
      </c>
      <c r="BT463" s="54">
        <f t="shared" si="722"/>
        <v>0</v>
      </c>
      <c r="BU463" s="54">
        <f t="shared" si="723"/>
        <v>0</v>
      </c>
      <c r="BV463" s="54">
        <f t="shared" si="724"/>
        <v>0</v>
      </c>
      <c r="BW463" s="54">
        <f t="shared" si="725"/>
        <v>0</v>
      </c>
      <c r="BX463" s="1"/>
      <c r="BY463" s="1"/>
      <c r="BZ463" s="1"/>
      <c r="CA463" s="1"/>
      <c r="CB463" s="1"/>
      <c r="CC463" s="1"/>
      <c r="CD463" s="1"/>
      <c r="CE463" s="1"/>
      <c r="CF463" s="1"/>
      <c r="CG463" s="1"/>
    </row>
    <row r="464" spans="1:85" ht="15.75" customHeight="1">
      <c r="A464" s="103"/>
      <c r="B464" s="426"/>
      <c r="C464" s="394" t="s">
        <v>272</v>
      </c>
      <c r="D464" s="86" t="s">
        <v>273</v>
      </c>
      <c r="E464" s="45">
        <v>0</v>
      </c>
      <c r="F464" s="46"/>
      <c r="G464" s="46">
        <f t="shared" si="740"/>
        <v>0</v>
      </c>
      <c r="H464" s="46"/>
      <c r="I464" s="47">
        <f t="shared" si="741"/>
        <v>0</v>
      </c>
      <c r="J464" s="47">
        <f t="shared" si="742"/>
        <v>0</v>
      </c>
      <c r="K464" s="146"/>
      <c r="L464" s="146"/>
      <c r="M464" s="146"/>
      <c r="N464" s="146"/>
      <c r="O464" s="51">
        <f t="shared" si="743"/>
        <v>0</v>
      </c>
      <c r="P464" s="51">
        <f t="shared" si="744"/>
        <v>0</v>
      </c>
      <c r="Q464" s="51">
        <f t="shared" si="745"/>
        <v>0</v>
      </c>
      <c r="R464" s="52">
        <f t="shared" si="746"/>
        <v>0</v>
      </c>
      <c r="S464" s="52">
        <f t="shared" si="747"/>
        <v>0</v>
      </c>
      <c r="T464" s="52">
        <f t="shared" si="748"/>
        <v>0</v>
      </c>
      <c r="U464" s="369">
        <f t="shared" si="695"/>
        <v>0</v>
      </c>
      <c r="V464" s="369">
        <f t="shared" si="696"/>
        <v>0</v>
      </c>
      <c r="W464" s="369">
        <f t="shared" si="697"/>
        <v>0</v>
      </c>
      <c r="X464" s="53">
        <f t="shared" si="749"/>
        <v>0</v>
      </c>
      <c r="Y464" s="53">
        <f t="shared" si="750"/>
        <v>0</v>
      </c>
      <c r="Z464" s="53">
        <f t="shared" si="515"/>
        <v>0</v>
      </c>
      <c r="AA464" s="148"/>
      <c r="AB464" s="148"/>
      <c r="AC464" s="148"/>
      <c r="AD464" s="148"/>
      <c r="AE464" s="132"/>
      <c r="AF464" s="132"/>
      <c r="AG464" s="132"/>
      <c r="AH464" s="132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48"/>
      <c r="BJ464" s="148"/>
      <c r="BK464" s="148"/>
      <c r="BL464" s="148"/>
      <c r="BM464" s="148"/>
      <c r="BN464" s="54">
        <f t="shared" si="716"/>
        <v>0</v>
      </c>
      <c r="BO464" s="58">
        <f t="shared" si="717"/>
        <v>0</v>
      </c>
      <c r="BP464" s="54">
        <f t="shared" si="718"/>
        <v>0</v>
      </c>
      <c r="BQ464" s="54">
        <f t="shared" si="719"/>
        <v>0</v>
      </c>
      <c r="BR464" s="54">
        <f t="shared" si="720"/>
        <v>0</v>
      </c>
      <c r="BS464" s="54">
        <f t="shared" si="721"/>
        <v>0</v>
      </c>
      <c r="BT464" s="54">
        <f t="shared" si="722"/>
        <v>0</v>
      </c>
      <c r="BU464" s="54">
        <f t="shared" si="723"/>
        <v>0</v>
      </c>
      <c r="BV464" s="54">
        <f t="shared" si="724"/>
        <v>0</v>
      </c>
      <c r="BW464" s="54">
        <f t="shared" si="725"/>
        <v>0</v>
      </c>
      <c r="BX464" s="1"/>
      <c r="BY464" s="1"/>
      <c r="BZ464" s="1"/>
      <c r="CA464" s="1"/>
      <c r="CB464" s="1"/>
      <c r="CC464" s="1"/>
      <c r="CD464" s="1"/>
      <c r="CE464" s="1"/>
      <c r="CF464" s="1"/>
      <c r="CG464" s="1"/>
    </row>
    <row r="465" spans="1:85" ht="15.75" customHeight="1">
      <c r="A465" s="83"/>
      <c r="B465" s="447" t="s">
        <v>870</v>
      </c>
      <c r="C465" s="394" t="s">
        <v>288</v>
      </c>
      <c r="D465" s="73" t="s">
        <v>871</v>
      </c>
      <c r="E465" s="91">
        <v>40000</v>
      </c>
      <c r="F465" s="220">
        <v>0</v>
      </c>
      <c r="G465" s="46">
        <f t="shared" si="740"/>
        <v>40000</v>
      </c>
      <c r="H465" s="46"/>
      <c r="I465" s="47">
        <f t="shared" si="741"/>
        <v>0</v>
      </c>
      <c r="J465" s="47">
        <f t="shared" si="742"/>
        <v>0</v>
      </c>
      <c r="K465" s="146"/>
      <c r="L465" s="146">
        <v>19725</v>
      </c>
      <c r="M465" s="146"/>
      <c r="N465" s="146"/>
      <c r="O465" s="51">
        <f t="shared" si="743"/>
        <v>0</v>
      </c>
      <c r="P465" s="51">
        <f t="shared" si="744"/>
        <v>19725</v>
      </c>
      <c r="Q465" s="51">
        <f t="shared" si="745"/>
        <v>0</v>
      </c>
      <c r="R465" s="52">
        <f t="shared" si="746"/>
        <v>0</v>
      </c>
      <c r="S465" s="52">
        <f t="shared" si="747"/>
        <v>19725</v>
      </c>
      <c r="T465" s="52">
        <f t="shared" si="748"/>
        <v>0</v>
      </c>
      <c r="U465" s="369">
        <f t="shared" si="695"/>
        <v>0</v>
      </c>
      <c r="V465" s="369">
        <f t="shared" si="696"/>
        <v>0</v>
      </c>
      <c r="W465" s="369">
        <f t="shared" si="697"/>
        <v>0</v>
      </c>
      <c r="X465" s="53">
        <f t="shared" si="749"/>
        <v>0</v>
      </c>
      <c r="Y465" s="53">
        <f t="shared" si="750"/>
        <v>1</v>
      </c>
      <c r="Z465" s="53">
        <f t="shared" si="515"/>
        <v>0</v>
      </c>
      <c r="AA465" s="148"/>
      <c r="AB465" s="148"/>
      <c r="AC465" s="148"/>
      <c r="AD465" s="148"/>
      <c r="AE465" s="132"/>
      <c r="AF465" s="132"/>
      <c r="AG465" s="132"/>
      <c r="AH465" s="132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52">
        <v>14952.5</v>
      </c>
      <c r="AU465" s="148"/>
      <c r="AV465" s="148"/>
      <c r="AW465" s="152">
        <v>4772.5</v>
      </c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148"/>
      <c r="BN465" s="54">
        <f t="shared" si="716"/>
        <v>0</v>
      </c>
      <c r="BO465" s="58">
        <f t="shared" si="717"/>
        <v>0</v>
      </c>
      <c r="BP465" s="54">
        <f t="shared" si="718"/>
        <v>0</v>
      </c>
      <c r="BQ465" s="54">
        <f t="shared" si="719"/>
        <v>0</v>
      </c>
      <c r="BR465" s="54">
        <f t="shared" si="720"/>
        <v>0</v>
      </c>
      <c r="BS465" s="54">
        <f t="shared" si="721"/>
        <v>0</v>
      </c>
      <c r="BT465" s="54">
        <f t="shared" si="722"/>
        <v>0</v>
      </c>
      <c r="BU465" s="54">
        <f t="shared" si="723"/>
        <v>0</v>
      </c>
      <c r="BV465" s="54">
        <f t="shared" si="724"/>
        <v>0</v>
      </c>
      <c r="BW465" s="54">
        <f t="shared" si="725"/>
        <v>0</v>
      </c>
      <c r="BX465" s="1"/>
      <c r="BY465" s="1"/>
      <c r="BZ465" s="1"/>
      <c r="CA465" s="1"/>
      <c r="CB465" s="1"/>
      <c r="CC465" s="1"/>
      <c r="CD465" s="1"/>
      <c r="CE465" s="1"/>
      <c r="CF465" s="1"/>
      <c r="CG465" s="1"/>
    </row>
    <row r="466" spans="1:85" ht="15.75" customHeight="1">
      <c r="A466" s="212" t="s">
        <v>872</v>
      </c>
      <c r="B466" s="429" t="s">
        <v>873</v>
      </c>
      <c r="C466" s="394" t="s">
        <v>254</v>
      </c>
      <c r="D466" s="90" t="s">
        <v>874</v>
      </c>
      <c r="E466" s="91">
        <v>25000</v>
      </c>
      <c r="F466" s="92"/>
      <c r="G466" s="46">
        <f t="shared" si="740"/>
        <v>25000</v>
      </c>
      <c r="H466" s="46"/>
      <c r="I466" s="47">
        <f t="shared" si="741"/>
        <v>1.64</v>
      </c>
      <c r="J466" s="47">
        <f t="shared" si="742"/>
        <v>0.32391999999999999</v>
      </c>
      <c r="K466" s="202">
        <v>41000</v>
      </c>
      <c r="L466" s="146">
        <v>3736.08</v>
      </c>
      <c r="M466" s="152">
        <v>8.48</v>
      </c>
      <c r="N466" s="148"/>
      <c r="O466" s="51">
        <f t="shared" si="743"/>
        <v>8098</v>
      </c>
      <c r="P466" s="51">
        <f t="shared" si="744"/>
        <v>3727.6</v>
      </c>
      <c r="Q466" s="51">
        <f t="shared" si="745"/>
        <v>0</v>
      </c>
      <c r="R466" s="52">
        <f t="shared" si="746"/>
        <v>8098</v>
      </c>
      <c r="S466" s="52">
        <f t="shared" si="747"/>
        <v>3727.6</v>
      </c>
      <c r="T466" s="52">
        <f t="shared" si="748"/>
        <v>0</v>
      </c>
      <c r="U466" s="368">
        <f t="shared" si="695"/>
        <v>32902</v>
      </c>
      <c r="V466" s="369">
        <f t="shared" si="696"/>
        <v>1.7763568394002505E-14</v>
      </c>
      <c r="W466" s="369">
        <f t="shared" si="697"/>
        <v>0</v>
      </c>
      <c r="X466" s="53">
        <f t="shared" si="749"/>
        <v>0.19751219512195123</v>
      </c>
      <c r="Y466" s="53">
        <f t="shared" si="750"/>
        <v>0.99773024132245558</v>
      </c>
      <c r="Z466" s="53">
        <f t="shared" si="515"/>
        <v>0</v>
      </c>
      <c r="AA466" s="148"/>
      <c r="AB466" s="148"/>
      <c r="AC466" s="148"/>
      <c r="AD466" s="148"/>
      <c r="AE466" s="132">
        <f>3202.6+525</f>
        <v>3727.6</v>
      </c>
      <c r="AF466" s="132"/>
      <c r="AG466" s="134">
        <v>1210</v>
      </c>
      <c r="AH466" s="132"/>
      <c r="AI466" s="148"/>
      <c r="AJ466" s="152">
        <v>1200</v>
      </c>
      <c r="AK466" s="148"/>
      <c r="AL466" s="148"/>
      <c r="AM466" s="152">
        <v>1200</v>
      </c>
      <c r="AN466" s="148"/>
      <c r="AO466" s="148"/>
      <c r="AP466" s="152">
        <v>1346</v>
      </c>
      <c r="AQ466" s="148"/>
      <c r="AR466" s="148"/>
      <c r="AS466" s="152">
        <v>1050</v>
      </c>
      <c r="AT466" s="148"/>
      <c r="AU466" s="148"/>
      <c r="AV466" s="152">
        <v>992</v>
      </c>
      <c r="AW466" s="148"/>
      <c r="AX466" s="148"/>
      <c r="AY466" s="148">
        <f>1100</f>
        <v>1100</v>
      </c>
      <c r="AZ466" s="148"/>
      <c r="BA466" s="148"/>
      <c r="BB466" s="148"/>
      <c r="BC466" s="148"/>
      <c r="BD466" s="148"/>
      <c r="BE466" s="148"/>
      <c r="BF466" s="148"/>
      <c r="BG466" s="148"/>
      <c r="BH466" s="148"/>
      <c r="BI466" s="148"/>
      <c r="BJ466" s="148"/>
      <c r="BK466" s="148"/>
      <c r="BL466" s="148"/>
      <c r="BM466" s="148"/>
      <c r="BN466" s="54">
        <f t="shared" si="716"/>
        <v>8098</v>
      </c>
      <c r="BO466" s="58">
        <f t="shared" si="717"/>
        <v>0</v>
      </c>
      <c r="BP466" s="54">
        <f t="shared" si="718"/>
        <v>8098</v>
      </c>
      <c r="BQ466" s="54">
        <f t="shared" si="719"/>
        <v>32902</v>
      </c>
      <c r="BR466" s="54">
        <f t="shared" si="720"/>
        <v>0</v>
      </c>
      <c r="BS466" s="54">
        <f t="shared" si="721"/>
        <v>32902</v>
      </c>
      <c r="BT466" s="54">
        <f t="shared" si="722"/>
        <v>1.7763568394002505E-14</v>
      </c>
      <c r="BU466" s="54">
        <f t="shared" si="723"/>
        <v>8098</v>
      </c>
      <c r="BV466" s="54">
        <f t="shared" si="724"/>
        <v>32902</v>
      </c>
      <c r="BW466" s="54">
        <f t="shared" si="725"/>
        <v>8098</v>
      </c>
      <c r="BX466" s="221"/>
      <c r="BY466" s="221"/>
      <c r="BZ466" s="221"/>
      <c r="CA466" s="221"/>
      <c r="CB466" s="221"/>
      <c r="CC466" s="221"/>
      <c r="CD466" s="221"/>
      <c r="CE466" s="221"/>
      <c r="CF466" s="221"/>
      <c r="CG466" s="221"/>
    </row>
    <row r="467" spans="1:85" ht="15.75" customHeight="1">
      <c r="A467" s="64"/>
      <c r="B467" s="426"/>
      <c r="C467" s="394" t="s">
        <v>330</v>
      </c>
      <c r="D467" s="44" t="s">
        <v>875</v>
      </c>
      <c r="E467" s="91"/>
      <c r="F467" s="92"/>
      <c r="G467" s="46">
        <f t="shared" si="740"/>
        <v>0</v>
      </c>
      <c r="H467" s="46">
        <v>270000</v>
      </c>
      <c r="I467" s="47">
        <f t="shared" si="741"/>
        <v>0</v>
      </c>
      <c r="J467" s="47">
        <f t="shared" si="742"/>
        <v>0</v>
      </c>
      <c r="K467" s="146"/>
      <c r="L467" s="146"/>
      <c r="M467" s="146"/>
      <c r="N467" s="146"/>
      <c r="O467" s="51">
        <f t="shared" si="743"/>
        <v>0</v>
      </c>
      <c r="P467" s="51">
        <f t="shared" si="744"/>
        <v>0</v>
      </c>
      <c r="Q467" s="51">
        <f t="shared" si="745"/>
        <v>0</v>
      </c>
      <c r="R467" s="52">
        <f t="shared" si="746"/>
        <v>0</v>
      </c>
      <c r="S467" s="52">
        <f t="shared" si="747"/>
        <v>0</v>
      </c>
      <c r="T467" s="52">
        <f t="shared" si="748"/>
        <v>0</v>
      </c>
      <c r="U467" s="369">
        <f t="shared" si="695"/>
        <v>0</v>
      </c>
      <c r="V467" s="369">
        <f t="shared" si="696"/>
        <v>0</v>
      </c>
      <c r="W467" s="369">
        <f t="shared" si="697"/>
        <v>0</v>
      </c>
      <c r="X467" s="53">
        <f t="shared" si="749"/>
        <v>0</v>
      </c>
      <c r="Y467" s="53">
        <f t="shared" si="750"/>
        <v>0</v>
      </c>
      <c r="Z467" s="53">
        <f t="shared" si="515"/>
        <v>0</v>
      </c>
      <c r="AA467" s="148"/>
      <c r="AB467" s="148"/>
      <c r="AC467" s="148"/>
      <c r="AD467" s="148"/>
      <c r="AE467" s="132"/>
      <c r="AF467" s="132"/>
      <c r="AG467" s="132"/>
      <c r="AH467" s="132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48"/>
      <c r="BJ467" s="148"/>
      <c r="BK467" s="148"/>
      <c r="BL467" s="148"/>
      <c r="BM467" s="148"/>
      <c r="BN467" s="54">
        <f t="shared" si="716"/>
        <v>0</v>
      </c>
      <c r="BO467" s="58">
        <f t="shared" si="717"/>
        <v>0</v>
      </c>
      <c r="BP467" s="54">
        <f t="shared" si="718"/>
        <v>0</v>
      </c>
      <c r="BQ467" s="54">
        <f t="shared" si="719"/>
        <v>0</v>
      </c>
      <c r="BR467" s="54">
        <f t="shared" si="720"/>
        <v>0</v>
      </c>
      <c r="BS467" s="54">
        <f t="shared" si="721"/>
        <v>0</v>
      </c>
      <c r="BT467" s="54">
        <f t="shared" si="722"/>
        <v>0</v>
      </c>
      <c r="BU467" s="54">
        <f t="shared" si="723"/>
        <v>0</v>
      </c>
      <c r="BV467" s="54">
        <f t="shared" si="724"/>
        <v>0</v>
      </c>
      <c r="BW467" s="54">
        <f t="shared" si="725"/>
        <v>0</v>
      </c>
      <c r="BX467" s="1"/>
      <c r="BY467" s="1"/>
      <c r="BZ467" s="1"/>
      <c r="CA467" s="1"/>
      <c r="CB467" s="1"/>
      <c r="CC467" s="1"/>
      <c r="CD467" s="1"/>
      <c r="CE467" s="1"/>
      <c r="CF467" s="1"/>
      <c r="CG467" s="1"/>
    </row>
    <row r="468" spans="1:85" ht="15.75" customHeight="1">
      <c r="A468" s="56"/>
      <c r="B468" s="426"/>
      <c r="C468" s="394" t="s">
        <v>339</v>
      </c>
      <c r="D468" s="44" t="s">
        <v>876</v>
      </c>
      <c r="E468" s="45"/>
      <c r="F468" s="46"/>
      <c r="G468" s="46">
        <f t="shared" si="740"/>
        <v>0</v>
      </c>
      <c r="H468" s="46">
        <v>150000</v>
      </c>
      <c r="I468" s="47">
        <f t="shared" si="741"/>
        <v>0</v>
      </c>
      <c r="J468" s="47">
        <f t="shared" si="742"/>
        <v>0</v>
      </c>
      <c r="K468" s="146"/>
      <c r="L468" s="146"/>
      <c r="M468" s="146"/>
      <c r="N468" s="146"/>
      <c r="O468" s="51">
        <f t="shared" si="743"/>
        <v>0</v>
      </c>
      <c r="P468" s="51">
        <f t="shared" si="744"/>
        <v>0</v>
      </c>
      <c r="Q468" s="51">
        <f t="shared" si="745"/>
        <v>0</v>
      </c>
      <c r="R468" s="52">
        <f t="shared" si="746"/>
        <v>0</v>
      </c>
      <c r="S468" s="52">
        <f t="shared" si="747"/>
        <v>0</v>
      </c>
      <c r="T468" s="52">
        <f t="shared" si="748"/>
        <v>0</v>
      </c>
      <c r="U468" s="369">
        <f t="shared" si="695"/>
        <v>0</v>
      </c>
      <c r="V468" s="369">
        <f t="shared" si="696"/>
        <v>0</v>
      </c>
      <c r="W468" s="369">
        <f t="shared" si="697"/>
        <v>0</v>
      </c>
      <c r="X468" s="53">
        <f t="shared" si="749"/>
        <v>0</v>
      </c>
      <c r="Y468" s="53">
        <f t="shared" si="750"/>
        <v>0</v>
      </c>
      <c r="Z468" s="53">
        <f t="shared" si="515"/>
        <v>0</v>
      </c>
      <c r="AA468" s="148"/>
      <c r="AB468" s="148"/>
      <c r="AC468" s="148"/>
      <c r="AD468" s="148"/>
      <c r="AE468" s="132"/>
      <c r="AF468" s="132"/>
      <c r="AG468" s="132"/>
      <c r="AH468" s="132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  <c r="BI468" s="148"/>
      <c r="BJ468" s="148"/>
      <c r="BK468" s="148"/>
      <c r="BL468" s="148"/>
      <c r="BM468" s="148"/>
      <c r="BN468" s="54">
        <f t="shared" si="716"/>
        <v>0</v>
      </c>
      <c r="BO468" s="58">
        <f t="shared" si="717"/>
        <v>0</v>
      </c>
      <c r="BP468" s="54">
        <f t="shared" si="718"/>
        <v>0</v>
      </c>
      <c r="BQ468" s="54">
        <f t="shared" si="719"/>
        <v>0</v>
      </c>
      <c r="BR468" s="54">
        <f t="shared" si="720"/>
        <v>0</v>
      </c>
      <c r="BS468" s="54">
        <f t="shared" si="721"/>
        <v>0</v>
      </c>
      <c r="BT468" s="54">
        <f t="shared" si="722"/>
        <v>0</v>
      </c>
      <c r="BU468" s="54">
        <f t="shared" si="723"/>
        <v>0</v>
      </c>
      <c r="BV468" s="54">
        <f t="shared" si="724"/>
        <v>0</v>
      </c>
      <c r="BW468" s="54">
        <f t="shared" si="725"/>
        <v>0</v>
      </c>
      <c r="BX468" s="1"/>
      <c r="BY468" s="1"/>
      <c r="BZ468" s="1"/>
      <c r="CA468" s="1"/>
      <c r="CB468" s="1"/>
      <c r="CC468" s="1"/>
      <c r="CD468" s="1"/>
      <c r="CE468" s="1"/>
      <c r="CF468" s="1"/>
      <c r="CG468" s="1"/>
    </row>
    <row r="469" spans="1:85" ht="15.75" customHeight="1">
      <c r="A469" s="83"/>
      <c r="B469" s="429" t="s">
        <v>877</v>
      </c>
      <c r="C469" s="394" t="s">
        <v>540</v>
      </c>
      <c r="D469" s="63" t="s">
        <v>878</v>
      </c>
      <c r="E469" s="45"/>
      <c r="F469" s="46"/>
      <c r="G469" s="46">
        <f t="shared" si="740"/>
        <v>0</v>
      </c>
      <c r="H469" s="46"/>
      <c r="I469" s="47">
        <f t="shared" si="741"/>
        <v>0</v>
      </c>
      <c r="J469" s="47">
        <f t="shared" si="742"/>
        <v>0</v>
      </c>
      <c r="K469" s="146"/>
      <c r="L469" s="146">
        <v>8899.99</v>
      </c>
      <c r="M469" s="146"/>
      <c r="N469" s="146"/>
      <c r="O469" s="51">
        <f t="shared" si="743"/>
        <v>0</v>
      </c>
      <c r="P469" s="51">
        <f t="shared" si="744"/>
        <v>0</v>
      </c>
      <c r="Q469" s="51">
        <f t="shared" si="745"/>
        <v>0</v>
      </c>
      <c r="R469" s="52">
        <f t="shared" si="746"/>
        <v>0</v>
      </c>
      <c r="S469" s="52">
        <f t="shared" si="747"/>
        <v>0</v>
      </c>
      <c r="T469" s="52">
        <f t="shared" si="748"/>
        <v>0</v>
      </c>
      <c r="U469" s="369">
        <f t="shared" si="695"/>
        <v>0</v>
      </c>
      <c r="V469" s="369">
        <f t="shared" si="696"/>
        <v>8899.99</v>
      </c>
      <c r="W469" s="369">
        <f t="shared" si="697"/>
        <v>0</v>
      </c>
      <c r="X469" s="53">
        <f t="shared" si="749"/>
        <v>0</v>
      </c>
      <c r="Y469" s="53">
        <f t="shared" si="750"/>
        <v>0</v>
      </c>
      <c r="Z469" s="53">
        <f t="shared" si="515"/>
        <v>0</v>
      </c>
      <c r="AA469" s="148"/>
      <c r="AB469" s="148"/>
      <c r="AC469" s="148"/>
      <c r="AD469" s="148"/>
      <c r="AE469" s="132"/>
      <c r="AF469" s="132"/>
      <c r="AG469" s="132"/>
      <c r="AH469" s="132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  <c r="BI469" s="148"/>
      <c r="BJ469" s="148"/>
      <c r="BK469" s="148"/>
      <c r="BL469" s="148"/>
      <c r="BM469" s="148"/>
      <c r="BN469" s="54">
        <f t="shared" si="716"/>
        <v>0</v>
      </c>
      <c r="BO469" s="58">
        <f t="shared" si="717"/>
        <v>0</v>
      </c>
      <c r="BP469" s="54">
        <f t="shared" si="718"/>
        <v>0</v>
      </c>
      <c r="BQ469" s="54">
        <f t="shared" si="719"/>
        <v>0</v>
      </c>
      <c r="BR469" s="54">
        <f t="shared" si="720"/>
        <v>0</v>
      </c>
      <c r="BS469" s="54">
        <f t="shared" si="721"/>
        <v>0</v>
      </c>
      <c r="BT469" s="54">
        <f t="shared" si="722"/>
        <v>8899.99</v>
      </c>
      <c r="BU469" s="54">
        <f t="shared" si="723"/>
        <v>0</v>
      </c>
      <c r="BV469" s="54">
        <f t="shared" si="724"/>
        <v>0</v>
      </c>
      <c r="BW469" s="54">
        <f t="shared" si="725"/>
        <v>8899.99</v>
      </c>
      <c r="BX469" s="1"/>
      <c r="BY469" s="1"/>
      <c r="BZ469" s="1"/>
      <c r="CA469" s="1"/>
      <c r="CB469" s="1"/>
      <c r="CC469" s="1"/>
      <c r="CD469" s="1"/>
      <c r="CE469" s="1"/>
      <c r="CF469" s="1"/>
      <c r="CG469" s="1"/>
    </row>
    <row r="470" spans="1:85" ht="15.75" customHeight="1">
      <c r="A470" s="106" t="s">
        <v>879</v>
      </c>
      <c r="B470" s="429"/>
      <c r="C470" s="394" t="s">
        <v>880</v>
      </c>
      <c r="D470" s="222" t="s">
        <v>881</v>
      </c>
      <c r="E470" s="45"/>
      <c r="F470" s="46"/>
      <c r="G470" s="46">
        <f t="shared" si="740"/>
        <v>0</v>
      </c>
      <c r="H470" s="46"/>
      <c r="I470" s="47">
        <f t="shared" si="741"/>
        <v>0</v>
      </c>
      <c r="J470" s="47">
        <f t="shared" si="742"/>
        <v>0</v>
      </c>
      <c r="K470" s="202">
        <v>25700</v>
      </c>
      <c r="L470" s="202"/>
      <c r="M470" s="146"/>
      <c r="N470" s="146"/>
      <c r="O470" s="51">
        <f t="shared" si="743"/>
        <v>25700</v>
      </c>
      <c r="P470" s="51">
        <f t="shared" si="744"/>
        <v>0</v>
      </c>
      <c r="Q470" s="51">
        <f t="shared" si="745"/>
        <v>0</v>
      </c>
      <c r="R470" s="52">
        <f t="shared" si="746"/>
        <v>25700</v>
      </c>
      <c r="S470" s="52">
        <f t="shared" si="747"/>
        <v>0</v>
      </c>
      <c r="T470" s="52">
        <f t="shared" si="748"/>
        <v>0</v>
      </c>
      <c r="U470" s="368">
        <f t="shared" si="695"/>
        <v>0</v>
      </c>
      <c r="V470" s="369">
        <f t="shared" si="696"/>
        <v>0</v>
      </c>
      <c r="W470" s="369">
        <f t="shared" si="697"/>
        <v>0</v>
      </c>
      <c r="X470" s="53">
        <f t="shared" si="749"/>
        <v>1</v>
      </c>
      <c r="Y470" s="53">
        <f t="shared" si="750"/>
        <v>0</v>
      </c>
      <c r="Z470" s="53">
        <f t="shared" si="515"/>
        <v>0</v>
      </c>
      <c r="AA470" s="148"/>
      <c r="AB470" s="152"/>
      <c r="AC470" s="148"/>
      <c r="AD470" s="148"/>
      <c r="AE470" s="132"/>
      <c r="AF470" s="132"/>
      <c r="AG470" s="132"/>
      <c r="AH470" s="132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52">
        <v>25700</v>
      </c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  <c r="BI470" s="148"/>
      <c r="BJ470" s="148"/>
      <c r="BK470" s="148"/>
      <c r="BL470" s="148"/>
      <c r="BM470" s="148"/>
      <c r="BN470" s="54">
        <f t="shared" si="716"/>
        <v>25700</v>
      </c>
      <c r="BO470" s="58">
        <f t="shared" si="717"/>
        <v>0</v>
      </c>
      <c r="BP470" s="54">
        <f t="shared" si="718"/>
        <v>25700</v>
      </c>
      <c r="BQ470" s="54">
        <f t="shared" si="719"/>
        <v>0</v>
      </c>
      <c r="BR470" s="54">
        <f t="shared" si="720"/>
        <v>0</v>
      </c>
      <c r="BS470" s="54">
        <f t="shared" si="721"/>
        <v>0</v>
      </c>
      <c r="BT470" s="54">
        <f t="shared" si="722"/>
        <v>0</v>
      </c>
      <c r="BU470" s="54">
        <f t="shared" si="723"/>
        <v>25700</v>
      </c>
      <c r="BV470" s="54">
        <f t="shared" si="724"/>
        <v>0</v>
      </c>
      <c r="BW470" s="54">
        <f t="shared" si="725"/>
        <v>25700</v>
      </c>
      <c r="BX470" s="1"/>
      <c r="BY470" s="1"/>
      <c r="BZ470" s="1"/>
      <c r="CA470" s="1"/>
      <c r="CB470" s="1"/>
      <c r="CC470" s="1"/>
      <c r="CD470" s="1"/>
      <c r="CE470" s="1"/>
      <c r="CF470" s="1"/>
      <c r="CG470" s="1"/>
    </row>
    <row r="471" spans="1:85" ht="15.75" customHeight="1">
      <c r="A471" s="106" t="s">
        <v>882</v>
      </c>
      <c r="B471" s="429"/>
      <c r="C471" s="394" t="s">
        <v>880</v>
      </c>
      <c r="D471" s="222" t="s">
        <v>881</v>
      </c>
      <c r="E471" s="45"/>
      <c r="F471" s="46"/>
      <c r="G471" s="46"/>
      <c r="H471" s="46"/>
      <c r="I471" s="47"/>
      <c r="J471" s="47"/>
      <c r="K471" s="202">
        <v>7350</v>
      </c>
      <c r="L471" s="146"/>
      <c r="M471" s="146"/>
      <c r="N471" s="146"/>
      <c r="O471" s="51">
        <f t="shared" si="743"/>
        <v>0</v>
      </c>
      <c r="P471" s="51">
        <f t="shared" si="744"/>
        <v>0</v>
      </c>
      <c r="Q471" s="51">
        <f t="shared" si="745"/>
        <v>0</v>
      </c>
      <c r="R471" s="52">
        <f t="shared" si="746"/>
        <v>0</v>
      </c>
      <c r="S471" s="52">
        <f t="shared" si="747"/>
        <v>0</v>
      </c>
      <c r="T471" s="52">
        <f t="shared" si="748"/>
        <v>0</v>
      </c>
      <c r="U471" s="368">
        <f t="shared" si="695"/>
        <v>7350</v>
      </c>
      <c r="V471" s="369">
        <f t="shared" si="696"/>
        <v>0</v>
      </c>
      <c r="W471" s="369">
        <f t="shared" si="697"/>
        <v>0</v>
      </c>
      <c r="X471" s="53">
        <f t="shared" si="749"/>
        <v>0</v>
      </c>
      <c r="Y471" s="53">
        <f t="shared" si="750"/>
        <v>0</v>
      </c>
      <c r="Z471" s="53">
        <f t="shared" si="515"/>
        <v>0</v>
      </c>
      <c r="AA471" s="148"/>
      <c r="AB471" s="152"/>
      <c r="AC471" s="148"/>
      <c r="AD471" s="148"/>
      <c r="AE471" s="132"/>
      <c r="AF471" s="132"/>
      <c r="AG471" s="132"/>
      <c r="AH471" s="132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  <c r="BI471" s="148"/>
      <c r="BJ471" s="148"/>
      <c r="BK471" s="148"/>
      <c r="BL471" s="148"/>
      <c r="BM471" s="148"/>
      <c r="BN471" s="54">
        <f t="shared" si="716"/>
        <v>0</v>
      </c>
      <c r="BO471" s="58">
        <f t="shared" si="717"/>
        <v>0</v>
      </c>
      <c r="BP471" s="54">
        <f t="shared" si="718"/>
        <v>0</v>
      </c>
      <c r="BQ471" s="54">
        <f t="shared" si="719"/>
        <v>7350</v>
      </c>
      <c r="BR471" s="54">
        <f t="shared" si="720"/>
        <v>0</v>
      </c>
      <c r="BS471" s="54">
        <f t="shared" si="721"/>
        <v>7350</v>
      </c>
      <c r="BT471" s="54">
        <f t="shared" si="722"/>
        <v>0</v>
      </c>
      <c r="BU471" s="54">
        <f t="shared" si="723"/>
        <v>0</v>
      </c>
      <c r="BV471" s="54">
        <f t="shared" si="724"/>
        <v>7350</v>
      </c>
      <c r="BW471" s="54">
        <f t="shared" si="725"/>
        <v>0</v>
      </c>
      <c r="BX471" s="1"/>
      <c r="BY471" s="1"/>
      <c r="BZ471" s="1"/>
      <c r="CA471" s="1"/>
      <c r="CB471" s="1"/>
      <c r="CC471" s="1"/>
      <c r="CD471" s="1"/>
      <c r="CE471" s="1"/>
      <c r="CF471" s="1"/>
      <c r="CG471" s="1"/>
    </row>
    <row r="472" spans="1:85" ht="15.75" customHeight="1">
      <c r="A472" s="130"/>
      <c r="B472" s="416" t="s">
        <v>883</v>
      </c>
      <c r="C472" s="394" t="s">
        <v>884</v>
      </c>
      <c r="D472" s="63" t="s">
        <v>885</v>
      </c>
      <c r="E472" s="45"/>
      <c r="F472" s="46"/>
      <c r="G472" s="46">
        <f>E472-F472</f>
        <v>0</v>
      </c>
      <c r="H472" s="46"/>
      <c r="I472" s="47">
        <f>IF(G472&gt;0,K472/G472,0)</f>
        <v>0</v>
      </c>
      <c r="J472" s="47">
        <f>IF(G472&gt;0,O472/G472,0)</f>
        <v>0</v>
      </c>
      <c r="K472" s="146"/>
      <c r="L472" s="146">
        <v>5855</v>
      </c>
      <c r="M472" s="146"/>
      <c r="N472" s="146"/>
      <c r="O472" s="51">
        <f t="shared" si="743"/>
        <v>0</v>
      </c>
      <c r="P472" s="51">
        <f t="shared" si="744"/>
        <v>5855</v>
      </c>
      <c r="Q472" s="51">
        <f t="shared" si="745"/>
        <v>0</v>
      </c>
      <c r="R472" s="52">
        <f t="shared" si="746"/>
        <v>0</v>
      </c>
      <c r="S472" s="52">
        <f t="shared" si="747"/>
        <v>5855</v>
      </c>
      <c r="T472" s="52">
        <f t="shared" si="748"/>
        <v>0</v>
      </c>
      <c r="U472" s="369">
        <f t="shared" si="695"/>
        <v>0</v>
      </c>
      <c r="V472" s="369">
        <f t="shared" si="696"/>
        <v>0</v>
      </c>
      <c r="W472" s="369">
        <f t="shared" si="697"/>
        <v>0</v>
      </c>
      <c r="X472" s="53">
        <f t="shared" si="749"/>
        <v>0</v>
      </c>
      <c r="Y472" s="53">
        <f t="shared" si="750"/>
        <v>1</v>
      </c>
      <c r="Z472" s="53">
        <f t="shared" si="515"/>
        <v>0</v>
      </c>
      <c r="AA472" s="148"/>
      <c r="AB472" s="152">
        <v>5855</v>
      </c>
      <c r="AC472" s="148"/>
      <c r="AD472" s="148"/>
      <c r="AE472" s="132"/>
      <c r="AF472" s="132"/>
      <c r="AG472" s="132"/>
      <c r="AH472" s="132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8"/>
      <c r="BG472" s="148"/>
      <c r="BH472" s="148"/>
      <c r="BI472" s="148"/>
      <c r="BJ472" s="148"/>
      <c r="BK472" s="148"/>
      <c r="BL472" s="148"/>
      <c r="BM472" s="148"/>
      <c r="BN472" s="54">
        <f t="shared" si="716"/>
        <v>0</v>
      </c>
      <c r="BO472" s="58">
        <f t="shared" si="717"/>
        <v>0</v>
      </c>
      <c r="BP472" s="54">
        <f t="shared" si="718"/>
        <v>0</v>
      </c>
      <c r="BQ472" s="54">
        <f t="shared" si="719"/>
        <v>0</v>
      </c>
      <c r="BR472" s="54">
        <f t="shared" si="720"/>
        <v>0</v>
      </c>
      <c r="BS472" s="54">
        <f t="shared" si="721"/>
        <v>0</v>
      </c>
      <c r="BT472" s="54">
        <f t="shared" si="722"/>
        <v>0</v>
      </c>
      <c r="BU472" s="54">
        <f t="shared" si="723"/>
        <v>0</v>
      </c>
      <c r="BV472" s="54">
        <f t="shared" si="724"/>
        <v>0</v>
      </c>
      <c r="BW472" s="54">
        <f t="shared" si="725"/>
        <v>0</v>
      </c>
      <c r="BX472" s="1"/>
      <c r="BY472" s="1"/>
      <c r="BZ472" s="1"/>
      <c r="CA472" s="1"/>
      <c r="CB472" s="1"/>
      <c r="CC472" s="1"/>
      <c r="CD472" s="1"/>
      <c r="CE472" s="1"/>
      <c r="CF472" s="1"/>
      <c r="CG472" s="1"/>
    </row>
    <row r="473" spans="1:85" ht="21">
      <c r="A473" s="37"/>
      <c r="B473" s="425" t="s">
        <v>886</v>
      </c>
      <c r="C473" s="393"/>
      <c r="D473" s="38"/>
      <c r="E473" s="39">
        <f t="shared" ref="E473:W473" si="751">SUM(E474:E479)</f>
        <v>0</v>
      </c>
      <c r="F473" s="39">
        <f t="shared" si="751"/>
        <v>0</v>
      </c>
      <c r="G473" s="39">
        <f t="shared" si="751"/>
        <v>0</v>
      </c>
      <c r="H473" s="39">
        <f t="shared" si="751"/>
        <v>0</v>
      </c>
      <c r="I473" s="39">
        <f t="shared" si="751"/>
        <v>0</v>
      </c>
      <c r="J473" s="39">
        <f t="shared" si="751"/>
        <v>0</v>
      </c>
      <c r="K473" s="39">
        <f>SUM(K474:K479)</f>
        <v>1138714.8399999999</v>
      </c>
      <c r="L473" s="39">
        <f t="shared" si="751"/>
        <v>0</v>
      </c>
      <c r="M473" s="39">
        <f t="shared" si="751"/>
        <v>0</v>
      </c>
      <c r="N473" s="39">
        <f t="shared" si="751"/>
        <v>0</v>
      </c>
      <c r="O473" s="39">
        <f>SUM(O474:O479)</f>
        <v>546390.84</v>
      </c>
      <c r="P473" s="39">
        <f t="shared" si="751"/>
        <v>0</v>
      </c>
      <c r="Q473" s="39">
        <f t="shared" si="751"/>
        <v>0</v>
      </c>
      <c r="R473" s="39">
        <f t="shared" si="751"/>
        <v>546390.84</v>
      </c>
      <c r="S473" s="39">
        <f t="shared" si="751"/>
        <v>0</v>
      </c>
      <c r="T473" s="39">
        <f t="shared" si="751"/>
        <v>0</v>
      </c>
      <c r="U473" s="367">
        <f t="shared" si="751"/>
        <v>592324</v>
      </c>
      <c r="V473" s="367">
        <f t="shared" si="751"/>
        <v>0</v>
      </c>
      <c r="W473" s="367">
        <f t="shared" si="751"/>
        <v>0</v>
      </c>
      <c r="X473" s="41">
        <f t="shared" si="749"/>
        <v>0.47983114016499517</v>
      </c>
      <c r="Y473" s="41">
        <f t="shared" si="750"/>
        <v>0</v>
      </c>
      <c r="Z473" s="41">
        <f t="shared" si="515"/>
        <v>0</v>
      </c>
      <c r="AA473" s="39">
        <f t="shared" ref="AA473:BW473" si="752">SUM(AA474:AA479)</f>
        <v>113832.43</v>
      </c>
      <c r="AB473" s="39">
        <f t="shared" si="752"/>
        <v>0</v>
      </c>
      <c r="AC473" s="39">
        <f t="shared" si="752"/>
        <v>0</v>
      </c>
      <c r="AD473" s="39">
        <f t="shared" si="752"/>
        <v>79132.759999999995</v>
      </c>
      <c r="AE473" s="39">
        <f t="shared" si="752"/>
        <v>0</v>
      </c>
      <c r="AF473" s="39">
        <f t="shared" si="752"/>
        <v>0</v>
      </c>
      <c r="AG473" s="39">
        <f t="shared" si="752"/>
        <v>132546.41</v>
      </c>
      <c r="AH473" s="39">
        <f t="shared" si="752"/>
        <v>0</v>
      </c>
      <c r="AI473" s="39">
        <f t="shared" si="752"/>
        <v>0</v>
      </c>
      <c r="AJ473" s="39">
        <f t="shared" si="752"/>
        <v>145887.85999999999</v>
      </c>
      <c r="AK473" s="39">
        <f t="shared" si="752"/>
        <v>0</v>
      </c>
      <c r="AL473" s="39">
        <f t="shared" si="752"/>
        <v>0</v>
      </c>
      <c r="AM473" s="39">
        <f t="shared" si="752"/>
        <v>64535.839999999997</v>
      </c>
      <c r="AN473" s="39">
        <f t="shared" si="752"/>
        <v>0</v>
      </c>
      <c r="AO473" s="39">
        <f t="shared" si="752"/>
        <v>0</v>
      </c>
      <c r="AP473" s="39">
        <f t="shared" si="752"/>
        <v>10455.540000000001</v>
      </c>
      <c r="AQ473" s="39">
        <f t="shared" si="752"/>
        <v>0</v>
      </c>
      <c r="AR473" s="39">
        <f t="shared" si="752"/>
        <v>0</v>
      </c>
      <c r="AS473" s="39">
        <f t="shared" si="752"/>
        <v>0</v>
      </c>
      <c r="AT473" s="39">
        <f t="shared" si="752"/>
        <v>0</v>
      </c>
      <c r="AU473" s="39">
        <f t="shared" si="752"/>
        <v>0</v>
      </c>
      <c r="AV473" s="39">
        <f t="shared" si="752"/>
        <v>0</v>
      </c>
      <c r="AW473" s="39">
        <f t="shared" si="752"/>
        <v>0</v>
      </c>
      <c r="AX473" s="39">
        <f t="shared" si="752"/>
        <v>0</v>
      </c>
      <c r="AY473" s="39">
        <f t="shared" si="752"/>
        <v>0</v>
      </c>
      <c r="AZ473" s="39">
        <f t="shared" si="752"/>
        <v>0</v>
      </c>
      <c r="BA473" s="39">
        <f t="shared" si="752"/>
        <v>0</v>
      </c>
      <c r="BB473" s="39">
        <f t="shared" si="752"/>
        <v>0</v>
      </c>
      <c r="BC473" s="39">
        <f t="shared" si="752"/>
        <v>0</v>
      </c>
      <c r="BD473" s="39">
        <f t="shared" si="752"/>
        <v>0</v>
      </c>
      <c r="BE473" s="39">
        <f t="shared" si="752"/>
        <v>0</v>
      </c>
      <c r="BF473" s="39">
        <f t="shared" si="752"/>
        <v>0</v>
      </c>
      <c r="BG473" s="39">
        <f t="shared" si="752"/>
        <v>0</v>
      </c>
      <c r="BH473" s="39">
        <f t="shared" si="752"/>
        <v>0</v>
      </c>
      <c r="BI473" s="39">
        <f t="shared" si="752"/>
        <v>0</v>
      </c>
      <c r="BJ473" s="39">
        <f t="shared" si="752"/>
        <v>0</v>
      </c>
      <c r="BK473" s="39">
        <f t="shared" si="752"/>
        <v>0</v>
      </c>
      <c r="BL473" s="39">
        <f t="shared" si="752"/>
        <v>0</v>
      </c>
      <c r="BM473" s="39">
        <f t="shared" si="752"/>
        <v>0</v>
      </c>
      <c r="BN473" s="39">
        <f t="shared" si="752"/>
        <v>546390.84</v>
      </c>
      <c r="BO473" s="39">
        <f t="shared" si="752"/>
        <v>0</v>
      </c>
      <c r="BP473" s="39">
        <f>SUM(BP474:BP479)</f>
        <v>546390.84</v>
      </c>
      <c r="BQ473" s="39">
        <f t="shared" si="752"/>
        <v>592324</v>
      </c>
      <c r="BR473" s="39">
        <f t="shared" si="752"/>
        <v>0</v>
      </c>
      <c r="BS473" s="39">
        <f t="shared" si="752"/>
        <v>592324</v>
      </c>
      <c r="BT473" s="39">
        <f t="shared" si="752"/>
        <v>0</v>
      </c>
      <c r="BU473" s="39">
        <f t="shared" si="752"/>
        <v>546390.84</v>
      </c>
      <c r="BV473" s="39">
        <f t="shared" si="752"/>
        <v>592324</v>
      </c>
      <c r="BW473" s="39">
        <f t="shared" si="752"/>
        <v>546390.84</v>
      </c>
      <c r="BX473" s="1"/>
      <c r="BY473" s="1"/>
      <c r="BZ473" s="1"/>
      <c r="CA473" s="1"/>
      <c r="CB473" s="1"/>
      <c r="CC473" s="1"/>
      <c r="CD473" s="1"/>
      <c r="CE473" s="1"/>
      <c r="CF473" s="1"/>
      <c r="CG473" s="1"/>
    </row>
    <row r="474" spans="1:85" ht="15.75" customHeight="1">
      <c r="A474" s="223"/>
      <c r="B474" s="451"/>
      <c r="C474" s="394" t="s">
        <v>393</v>
      </c>
      <c r="D474" s="44" t="s">
        <v>392</v>
      </c>
      <c r="E474" s="75">
        <v>0</v>
      </c>
      <c r="F474" s="46"/>
      <c r="G474" s="46">
        <f t="shared" ref="G474:G480" si="753">E474-F474</f>
        <v>0</v>
      </c>
      <c r="H474" s="46"/>
      <c r="I474" s="47">
        <f t="shared" ref="I474:I479" si="754">IF(G474&gt;0,K474/G474,0)</f>
        <v>0</v>
      </c>
      <c r="J474" s="47">
        <f t="shared" ref="J474:J479" si="755">IF(G474&gt;0,O474/G474,0)</f>
        <v>0</v>
      </c>
      <c r="K474" s="202">
        <v>42956</v>
      </c>
      <c r="L474" s="202"/>
      <c r="M474" s="146"/>
      <c r="N474" s="146"/>
      <c r="O474" s="51">
        <f t="shared" ref="O474:Q479" si="756">AA474+AD474+AG474+AJ474+AM474+AP474+AS474+AV474+AY474+BB474+BE474+BH474</f>
        <v>42956</v>
      </c>
      <c r="P474" s="51">
        <f t="shared" si="756"/>
        <v>0</v>
      </c>
      <c r="Q474" s="51">
        <f t="shared" si="756"/>
        <v>0</v>
      </c>
      <c r="R474" s="52">
        <f t="shared" ref="R474:T479" si="757">IF(BK474=0,SUM(AA474+AD474+AG474+AJ474+AM474+AP474+AS474+AV474+AY474+BB474+BE474+BH474),BK474)</f>
        <v>42956</v>
      </c>
      <c r="S474" s="52">
        <f t="shared" si="757"/>
        <v>0</v>
      </c>
      <c r="T474" s="52">
        <f t="shared" si="757"/>
        <v>0</v>
      </c>
      <c r="U474" s="369">
        <f t="shared" ref="U474:U479" si="758">K474-O474</f>
        <v>0</v>
      </c>
      <c r="V474" s="369">
        <f t="shared" ref="V474:V479" si="759">L474-P474-M474</f>
        <v>0</v>
      </c>
      <c r="W474" s="369">
        <f t="shared" ref="W474:W479" si="760">N474-Q474</f>
        <v>0</v>
      </c>
      <c r="X474" s="53">
        <f t="shared" si="749"/>
        <v>1</v>
      </c>
      <c r="Y474" s="53">
        <f t="shared" si="750"/>
        <v>0</v>
      </c>
      <c r="Z474" s="53">
        <f t="shared" si="515"/>
        <v>0</v>
      </c>
      <c r="AA474" s="148"/>
      <c r="AB474" s="152"/>
      <c r="AC474" s="148"/>
      <c r="AD474" s="148"/>
      <c r="AE474" s="132"/>
      <c r="AF474" s="132"/>
      <c r="AG474" s="134">
        <v>42956</v>
      </c>
      <c r="AH474" s="132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54">
        <f t="shared" ref="BN474" si="761">IF(O474-BK474&gt;0,O474-BK474,0)</f>
        <v>42956</v>
      </c>
      <c r="BO474" s="58">
        <f t="shared" ref="BO474" si="762">IF(Q474-BM474&gt;0,Q474-BM474,0)</f>
        <v>0</v>
      </c>
      <c r="BP474" s="54">
        <f t="shared" ref="BP474" si="763">IF(BN474+BO474&gt;0,BN474+BO474,0)</f>
        <v>42956</v>
      </c>
      <c r="BQ474" s="54">
        <f t="shared" ref="BQ474" si="764">IF(U474=0,0,U474)</f>
        <v>0</v>
      </c>
      <c r="BR474" s="54">
        <f t="shared" ref="BR474" si="765">IF(W474=0,0,W474)</f>
        <v>0</v>
      </c>
      <c r="BS474" s="54">
        <f t="shared" ref="BS474" si="766">IF(BQ474+BR474&gt;0,BQ474+BR474,0)</f>
        <v>0</v>
      </c>
      <c r="BT474" s="54">
        <f t="shared" ref="BT474" si="767">IF(V474&gt;0,V474,0)</f>
        <v>0</v>
      </c>
      <c r="BU474" s="54">
        <f t="shared" ref="BU474" si="768">IF(BP474=0,0,BP474)</f>
        <v>42956</v>
      </c>
      <c r="BV474" s="54">
        <f t="shared" ref="BV474" si="769">IF(BS474=0,0,BS474)</f>
        <v>0</v>
      </c>
      <c r="BW474" s="54">
        <f t="shared" ref="BW474" si="770">IF(BP474+BT474&gt;0,BP474+BT474,0)</f>
        <v>42956</v>
      </c>
      <c r="BX474" s="1"/>
      <c r="BY474" s="1"/>
      <c r="BZ474" s="1"/>
      <c r="CA474" s="1"/>
      <c r="CB474" s="1"/>
      <c r="CC474" s="1"/>
      <c r="CD474" s="1"/>
      <c r="CE474" s="1"/>
      <c r="CF474" s="1"/>
      <c r="CG474" s="1"/>
    </row>
    <row r="475" spans="1:85" ht="15.75" customHeight="1">
      <c r="A475" s="223"/>
      <c r="B475" s="451"/>
      <c r="C475" s="394" t="s">
        <v>887</v>
      </c>
      <c r="D475" s="224" t="s">
        <v>888</v>
      </c>
      <c r="E475" s="75">
        <v>0</v>
      </c>
      <c r="F475" s="46"/>
      <c r="G475" s="46">
        <f t="shared" si="753"/>
        <v>0</v>
      </c>
      <c r="H475" s="46"/>
      <c r="I475" s="47">
        <f t="shared" si="754"/>
        <v>0</v>
      </c>
      <c r="J475" s="47">
        <f t="shared" si="755"/>
        <v>0</v>
      </c>
      <c r="K475" s="202">
        <v>31686</v>
      </c>
      <c r="L475" s="202"/>
      <c r="M475" s="146"/>
      <c r="N475" s="146"/>
      <c r="O475" s="51">
        <f t="shared" si="756"/>
        <v>31686</v>
      </c>
      <c r="P475" s="51">
        <f t="shared" si="756"/>
        <v>0</v>
      </c>
      <c r="Q475" s="51">
        <f t="shared" si="756"/>
        <v>0</v>
      </c>
      <c r="R475" s="52">
        <f t="shared" si="757"/>
        <v>31686</v>
      </c>
      <c r="S475" s="52">
        <f t="shared" si="757"/>
        <v>0</v>
      </c>
      <c r="T475" s="52">
        <f t="shared" si="757"/>
        <v>0</v>
      </c>
      <c r="U475" s="369">
        <f t="shared" si="758"/>
        <v>0</v>
      </c>
      <c r="V475" s="369">
        <f t="shared" si="759"/>
        <v>0</v>
      </c>
      <c r="W475" s="369">
        <f t="shared" si="760"/>
        <v>0</v>
      </c>
      <c r="X475" s="53">
        <f t="shared" si="749"/>
        <v>1</v>
      </c>
      <c r="Y475" s="53">
        <f t="shared" si="750"/>
        <v>0</v>
      </c>
      <c r="Z475" s="53">
        <f t="shared" si="515"/>
        <v>0</v>
      </c>
      <c r="AA475" s="148"/>
      <c r="AB475" s="152"/>
      <c r="AC475" s="148"/>
      <c r="AD475" s="148"/>
      <c r="AE475" s="132"/>
      <c r="AF475" s="132"/>
      <c r="AG475" s="132"/>
      <c r="AH475" s="132"/>
      <c r="AI475" s="148"/>
      <c r="AJ475" s="152">
        <v>31686</v>
      </c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  <c r="BI475" s="148"/>
      <c r="BJ475" s="148"/>
      <c r="BK475" s="148"/>
      <c r="BL475" s="148"/>
      <c r="BM475" s="148"/>
      <c r="BN475" s="54">
        <f t="shared" ref="BN475:BN479" si="771">IF(O475-BK475&gt;0,O475-BK475,0)</f>
        <v>31686</v>
      </c>
      <c r="BO475" s="58">
        <f t="shared" ref="BO475:BO479" si="772">IF(Q475-BM475&gt;0,Q475-BM475,0)</f>
        <v>0</v>
      </c>
      <c r="BP475" s="54">
        <f t="shared" ref="BP475:BP479" si="773">IF(BN475+BO475&gt;0,BN475+BO475,0)</f>
        <v>31686</v>
      </c>
      <c r="BQ475" s="54">
        <f t="shared" ref="BQ475:BQ479" si="774">IF(U475=0,0,U475)</f>
        <v>0</v>
      </c>
      <c r="BR475" s="54">
        <f t="shared" ref="BR475:BR479" si="775">IF(W475=0,0,W475)</f>
        <v>0</v>
      </c>
      <c r="BS475" s="54">
        <f t="shared" ref="BS475:BS479" si="776">IF(BQ475+BR475&gt;0,BQ475+BR475,0)</f>
        <v>0</v>
      </c>
      <c r="BT475" s="54">
        <f t="shared" ref="BT475:BT479" si="777">IF(V475&gt;0,V475,0)</f>
        <v>0</v>
      </c>
      <c r="BU475" s="54">
        <f t="shared" ref="BU475:BU479" si="778">IF(BP475=0,0,BP475)</f>
        <v>31686</v>
      </c>
      <c r="BV475" s="54">
        <f t="shared" ref="BV475:BV479" si="779">IF(BS475=0,0,BS475)</f>
        <v>0</v>
      </c>
      <c r="BW475" s="54">
        <f t="shared" ref="BW475:BW479" si="780">IF(BP475+BT475&gt;0,BP475+BT475,0)</f>
        <v>31686</v>
      </c>
      <c r="BX475" s="1"/>
      <c r="BY475" s="1"/>
      <c r="BZ475" s="1"/>
      <c r="CA475" s="1"/>
      <c r="CB475" s="1"/>
      <c r="CC475" s="1"/>
      <c r="CD475" s="1"/>
      <c r="CE475" s="1"/>
      <c r="CF475" s="1"/>
      <c r="CG475" s="1"/>
    </row>
    <row r="476" spans="1:85" ht="15.75" customHeight="1">
      <c r="A476" s="223"/>
      <c r="B476" s="451"/>
      <c r="C476" s="394" t="s">
        <v>889</v>
      </c>
      <c r="D476" s="78" t="s">
        <v>555</v>
      </c>
      <c r="E476" s="75">
        <v>0</v>
      </c>
      <c r="F476" s="46"/>
      <c r="G476" s="46">
        <f t="shared" si="753"/>
        <v>0</v>
      </c>
      <c r="H476" s="46"/>
      <c r="I476" s="47">
        <f t="shared" si="754"/>
        <v>0</v>
      </c>
      <c r="J476" s="47">
        <f t="shared" si="755"/>
        <v>0</v>
      </c>
      <c r="K476" s="146">
        <f>160649.83+114765.55</f>
        <v>275415.38</v>
      </c>
      <c r="L476" s="202"/>
      <c r="M476" s="146"/>
      <c r="N476" s="146"/>
      <c r="O476" s="51">
        <f t="shared" si="756"/>
        <v>114765.54999999999</v>
      </c>
      <c r="P476" s="51">
        <f t="shared" si="756"/>
        <v>0</v>
      </c>
      <c r="Q476" s="51">
        <f t="shared" si="756"/>
        <v>0</v>
      </c>
      <c r="R476" s="52">
        <f t="shared" si="757"/>
        <v>114765.54999999999</v>
      </c>
      <c r="S476" s="52">
        <f t="shared" si="757"/>
        <v>0</v>
      </c>
      <c r="T476" s="52">
        <f t="shared" si="757"/>
        <v>0</v>
      </c>
      <c r="U476" s="369">
        <f t="shared" si="758"/>
        <v>160649.83000000002</v>
      </c>
      <c r="V476" s="369">
        <f t="shared" si="759"/>
        <v>0</v>
      </c>
      <c r="W476" s="369">
        <f t="shared" si="760"/>
        <v>0</v>
      </c>
      <c r="X476" s="53">
        <f t="shared" si="749"/>
        <v>0.41669985895486295</v>
      </c>
      <c r="Y476" s="53">
        <f t="shared" si="750"/>
        <v>0</v>
      </c>
      <c r="Z476" s="53">
        <f t="shared" si="515"/>
        <v>0</v>
      </c>
      <c r="AA476" s="152">
        <v>22709.98</v>
      </c>
      <c r="AB476" s="152"/>
      <c r="AC476" s="148"/>
      <c r="AD476" s="152">
        <v>23021.82</v>
      </c>
      <c r="AE476" s="132"/>
      <c r="AF476" s="132"/>
      <c r="AG476" s="134">
        <v>24276.59</v>
      </c>
      <c r="AH476" s="132"/>
      <c r="AI476" s="148"/>
      <c r="AJ476" s="152">
        <v>27111.34</v>
      </c>
      <c r="AK476" s="148"/>
      <c r="AL476" s="148"/>
      <c r="AM476" s="152">
        <v>17645.82</v>
      </c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48"/>
      <c r="BJ476" s="148"/>
      <c r="BK476" s="148"/>
      <c r="BL476" s="148"/>
      <c r="BM476" s="148"/>
      <c r="BN476" s="54">
        <f t="shared" si="771"/>
        <v>114765.54999999999</v>
      </c>
      <c r="BO476" s="58">
        <f t="shared" si="772"/>
        <v>0</v>
      </c>
      <c r="BP476" s="54">
        <f t="shared" si="773"/>
        <v>114765.54999999999</v>
      </c>
      <c r="BQ476" s="54">
        <f t="shared" si="774"/>
        <v>160649.83000000002</v>
      </c>
      <c r="BR476" s="54">
        <f t="shared" si="775"/>
        <v>0</v>
      </c>
      <c r="BS476" s="54">
        <f t="shared" si="776"/>
        <v>160649.83000000002</v>
      </c>
      <c r="BT476" s="54">
        <f t="shared" si="777"/>
        <v>0</v>
      </c>
      <c r="BU476" s="54">
        <f t="shared" si="778"/>
        <v>114765.54999999999</v>
      </c>
      <c r="BV476" s="54">
        <f t="shared" si="779"/>
        <v>160649.83000000002</v>
      </c>
      <c r="BW476" s="54">
        <f t="shared" si="780"/>
        <v>114765.54999999999</v>
      </c>
      <c r="BX476" s="1"/>
      <c r="BY476" s="1"/>
      <c r="BZ476" s="1"/>
      <c r="CA476" s="1"/>
      <c r="CB476" s="1"/>
      <c r="CC476" s="1"/>
      <c r="CD476" s="1"/>
      <c r="CE476" s="1"/>
      <c r="CF476" s="1"/>
      <c r="CG476" s="1"/>
    </row>
    <row r="477" spans="1:85" ht="15.75" customHeight="1">
      <c r="A477" s="223"/>
      <c r="B477" s="451"/>
      <c r="C477" s="394" t="s">
        <v>890</v>
      </c>
      <c r="D477" s="87" t="s">
        <v>891</v>
      </c>
      <c r="E477" s="75">
        <v>0</v>
      </c>
      <c r="F477" s="46"/>
      <c r="G477" s="46">
        <f t="shared" si="753"/>
        <v>0</v>
      </c>
      <c r="H477" s="46"/>
      <c r="I477" s="47">
        <f t="shared" si="754"/>
        <v>0</v>
      </c>
      <c r="J477" s="47">
        <f t="shared" si="755"/>
        <v>0</v>
      </c>
      <c r="K477" s="146">
        <f>47371.35+(10500*6)</f>
        <v>110371.35</v>
      </c>
      <c r="L477" s="202"/>
      <c r="M477" s="146"/>
      <c r="N477" s="146"/>
      <c r="O477" s="51">
        <f t="shared" si="756"/>
        <v>47371.35</v>
      </c>
      <c r="P477" s="51">
        <f t="shared" si="756"/>
        <v>0</v>
      </c>
      <c r="Q477" s="51">
        <f t="shared" si="756"/>
        <v>0</v>
      </c>
      <c r="R477" s="52">
        <f t="shared" si="757"/>
        <v>47371.35</v>
      </c>
      <c r="S477" s="52">
        <f t="shared" si="757"/>
        <v>0</v>
      </c>
      <c r="T477" s="52">
        <f t="shared" si="757"/>
        <v>0</v>
      </c>
      <c r="U477" s="369">
        <f t="shared" si="758"/>
        <v>63000.000000000007</v>
      </c>
      <c r="V477" s="369">
        <f t="shared" si="759"/>
        <v>0</v>
      </c>
      <c r="W477" s="369">
        <f t="shared" si="760"/>
        <v>0</v>
      </c>
      <c r="X477" s="53">
        <f t="shared" si="749"/>
        <v>0.42919969720402984</v>
      </c>
      <c r="Y477" s="53">
        <f t="shared" si="750"/>
        <v>0</v>
      </c>
      <c r="Z477" s="53">
        <f t="shared" si="515"/>
        <v>0</v>
      </c>
      <c r="AA477" s="152">
        <v>4709.59</v>
      </c>
      <c r="AB477" s="152"/>
      <c r="AC477" s="148"/>
      <c r="AD477" s="152">
        <v>4369.59</v>
      </c>
      <c r="AE477" s="132"/>
      <c r="AF477" s="132"/>
      <c r="AG477" s="134">
        <v>4289.59</v>
      </c>
      <c r="AH477" s="132"/>
      <c r="AI477" s="148"/>
      <c r="AJ477" s="152">
        <v>12493.52</v>
      </c>
      <c r="AK477" s="148"/>
      <c r="AL477" s="148"/>
      <c r="AM477" s="152">
        <v>11053.52</v>
      </c>
      <c r="AN477" s="148"/>
      <c r="AO477" s="148"/>
      <c r="AP477" s="152">
        <v>10455.540000000001</v>
      </c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148"/>
      <c r="BN477" s="54">
        <f t="shared" si="771"/>
        <v>47371.35</v>
      </c>
      <c r="BO477" s="58">
        <f t="shared" si="772"/>
        <v>0</v>
      </c>
      <c r="BP477" s="54">
        <f t="shared" si="773"/>
        <v>47371.35</v>
      </c>
      <c r="BQ477" s="54">
        <f t="shared" si="774"/>
        <v>63000.000000000007</v>
      </c>
      <c r="BR477" s="54">
        <f t="shared" si="775"/>
        <v>0</v>
      </c>
      <c r="BS477" s="54">
        <f t="shared" si="776"/>
        <v>63000.000000000007</v>
      </c>
      <c r="BT477" s="54">
        <f t="shared" si="777"/>
        <v>0</v>
      </c>
      <c r="BU477" s="54">
        <f t="shared" si="778"/>
        <v>47371.35</v>
      </c>
      <c r="BV477" s="54">
        <f t="shared" si="779"/>
        <v>63000.000000000007</v>
      </c>
      <c r="BW477" s="54">
        <f t="shared" si="780"/>
        <v>47371.35</v>
      </c>
      <c r="BX477" s="1"/>
      <c r="BY477" s="1"/>
      <c r="BZ477" s="1"/>
      <c r="CA477" s="1"/>
      <c r="CB477" s="1"/>
      <c r="CC477" s="1"/>
      <c r="CD477" s="1"/>
      <c r="CE477" s="1"/>
      <c r="CF477" s="1"/>
      <c r="CG477" s="1"/>
    </row>
    <row r="478" spans="1:85" ht="15.75" customHeight="1">
      <c r="A478" s="223"/>
      <c r="B478" s="451"/>
      <c r="C478" s="394" t="s">
        <v>272</v>
      </c>
      <c r="D478" s="86" t="s">
        <v>273</v>
      </c>
      <c r="E478" s="75">
        <v>0</v>
      </c>
      <c r="F478" s="46"/>
      <c r="G478" s="46">
        <f t="shared" si="753"/>
        <v>0</v>
      </c>
      <c r="H478" s="46"/>
      <c r="I478" s="47">
        <f t="shared" si="754"/>
        <v>0</v>
      </c>
      <c r="J478" s="47">
        <f t="shared" si="755"/>
        <v>0</v>
      </c>
      <c r="K478" s="146">
        <f>368674.17+263322.94</f>
        <v>631997.11</v>
      </c>
      <c r="L478" s="202"/>
      <c r="M478" s="146"/>
      <c r="N478" s="146"/>
      <c r="O478" s="51">
        <f t="shared" si="756"/>
        <v>263322.94</v>
      </c>
      <c r="P478" s="51">
        <f t="shared" si="756"/>
        <v>0</v>
      </c>
      <c r="Q478" s="51">
        <f t="shared" si="756"/>
        <v>0</v>
      </c>
      <c r="R478" s="52">
        <f t="shared" si="757"/>
        <v>263322.94</v>
      </c>
      <c r="S478" s="52">
        <f t="shared" si="757"/>
        <v>0</v>
      </c>
      <c r="T478" s="52">
        <f t="shared" si="757"/>
        <v>0</v>
      </c>
      <c r="U478" s="369">
        <f t="shared" si="758"/>
        <v>368674.17</v>
      </c>
      <c r="V478" s="369">
        <f t="shared" si="759"/>
        <v>0</v>
      </c>
      <c r="W478" s="369">
        <f t="shared" si="760"/>
        <v>0</v>
      </c>
      <c r="X478" s="53">
        <f t="shared" si="749"/>
        <v>0.41665212677950381</v>
      </c>
      <c r="Y478" s="53">
        <f t="shared" si="750"/>
        <v>0</v>
      </c>
      <c r="Z478" s="53">
        <f t="shared" si="515"/>
        <v>0</v>
      </c>
      <c r="AA478" s="152">
        <v>86412.86</v>
      </c>
      <c r="AB478" s="152"/>
      <c r="AC478" s="148"/>
      <c r="AD478" s="152">
        <v>51741.35</v>
      </c>
      <c r="AE478" s="132"/>
      <c r="AF478" s="132"/>
      <c r="AG478" s="134">
        <v>61024.23</v>
      </c>
      <c r="AH478" s="132"/>
      <c r="AI478" s="148"/>
      <c r="AJ478" s="152">
        <v>28308</v>
      </c>
      <c r="AK478" s="148"/>
      <c r="AL478" s="148"/>
      <c r="AM478" s="152">
        <v>35836.5</v>
      </c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8"/>
      <c r="BN478" s="54">
        <f t="shared" si="771"/>
        <v>263322.94</v>
      </c>
      <c r="BO478" s="58">
        <f t="shared" si="772"/>
        <v>0</v>
      </c>
      <c r="BP478" s="54">
        <f t="shared" si="773"/>
        <v>263322.94</v>
      </c>
      <c r="BQ478" s="54">
        <f t="shared" si="774"/>
        <v>368674.17</v>
      </c>
      <c r="BR478" s="54">
        <f t="shared" si="775"/>
        <v>0</v>
      </c>
      <c r="BS478" s="54">
        <f t="shared" si="776"/>
        <v>368674.17</v>
      </c>
      <c r="BT478" s="54">
        <f t="shared" si="777"/>
        <v>0</v>
      </c>
      <c r="BU478" s="54">
        <f t="shared" si="778"/>
        <v>263322.94</v>
      </c>
      <c r="BV478" s="54">
        <f t="shared" si="779"/>
        <v>368674.17</v>
      </c>
      <c r="BW478" s="54">
        <f t="shared" si="780"/>
        <v>263322.94</v>
      </c>
      <c r="BX478" s="1"/>
      <c r="BY478" s="1"/>
      <c r="BZ478" s="1"/>
      <c r="CA478" s="1"/>
      <c r="CB478" s="1"/>
      <c r="CC478" s="1"/>
      <c r="CD478" s="1"/>
      <c r="CE478" s="1"/>
      <c r="CF478" s="1"/>
      <c r="CG478" s="1"/>
    </row>
    <row r="479" spans="1:85" ht="15.75" customHeight="1">
      <c r="A479" s="223"/>
      <c r="B479" s="451"/>
      <c r="C479" s="394" t="s">
        <v>892</v>
      </c>
      <c r="D479" s="224" t="s">
        <v>893</v>
      </c>
      <c r="E479" s="75">
        <v>0</v>
      </c>
      <c r="F479" s="46"/>
      <c r="G479" s="46">
        <f t="shared" si="753"/>
        <v>0</v>
      </c>
      <c r="H479" s="46"/>
      <c r="I479" s="47">
        <f t="shared" si="754"/>
        <v>0</v>
      </c>
      <c r="J479" s="47">
        <f t="shared" si="755"/>
        <v>0</v>
      </c>
      <c r="K479" s="202">
        <v>46289</v>
      </c>
      <c r="L479" s="202"/>
      <c r="M479" s="146"/>
      <c r="N479" s="146"/>
      <c r="O479" s="51">
        <f t="shared" si="756"/>
        <v>46289</v>
      </c>
      <c r="P479" s="51">
        <f t="shared" si="756"/>
        <v>0</v>
      </c>
      <c r="Q479" s="51">
        <f t="shared" si="756"/>
        <v>0</v>
      </c>
      <c r="R479" s="52">
        <f t="shared" si="757"/>
        <v>46289</v>
      </c>
      <c r="S479" s="52">
        <f t="shared" si="757"/>
        <v>0</v>
      </c>
      <c r="T479" s="52">
        <f t="shared" si="757"/>
        <v>0</v>
      </c>
      <c r="U479" s="369">
        <f t="shared" si="758"/>
        <v>0</v>
      </c>
      <c r="V479" s="369">
        <f t="shared" si="759"/>
        <v>0</v>
      </c>
      <c r="W479" s="369">
        <f t="shared" si="760"/>
        <v>0</v>
      </c>
      <c r="X479" s="53">
        <f t="shared" si="749"/>
        <v>1</v>
      </c>
      <c r="Y479" s="53">
        <f t="shared" si="750"/>
        <v>0</v>
      </c>
      <c r="Z479" s="53">
        <f t="shared" si="515"/>
        <v>0</v>
      </c>
      <c r="AA479" s="148"/>
      <c r="AB479" s="152"/>
      <c r="AC479" s="148"/>
      <c r="AD479" s="148"/>
      <c r="AE479" s="132"/>
      <c r="AF479" s="132"/>
      <c r="AG479" s="132"/>
      <c r="AH479" s="132"/>
      <c r="AI479" s="148"/>
      <c r="AJ479" s="152">
        <v>46289</v>
      </c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48"/>
      <c r="BJ479" s="148"/>
      <c r="BK479" s="148"/>
      <c r="BL479" s="148"/>
      <c r="BM479" s="148"/>
      <c r="BN479" s="54">
        <f t="shared" si="771"/>
        <v>46289</v>
      </c>
      <c r="BO479" s="58">
        <f t="shared" si="772"/>
        <v>0</v>
      </c>
      <c r="BP479" s="54">
        <f t="shared" si="773"/>
        <v>46289</v>
      </c>
      <c r="BQ479" s="54">
        <f t="shared" si="774"/>
        <v>0</v>
      </c>
      <c r="BR479" s="54">
        <f t="shared" si="775"/>
        <v>0</v>
      </c>
      <c r="BS479" s="54">
        <f t="shared" si="776"/>
        <v>0</v>
      </c>
      <c r="BT479" s="54">
        <f t="shared" si="777"/>
        <v>0</v>
      </c>
      <c r="BU479" s="54">
        <f t="shared" si="778"/>
        <v>46289</v>
      </c>
      <c r="BV479" s="54">
        <f t="shared" si="779"/>
        <v>0</v>
      </c>
      <c r="BW479" s="54">
        <f t="shared" si="780"/>
        <v>46289</v>
      </c>
      <c r="BX479" s="1"/>
      <c r="BY479" s="1"/>
      <c r="BZ479" s="1"/>
      <c r="CA479" s="1"/>
      <c r="CB479" s="1"/>
      <c r="CC479" s="1"/>
      <c r="CD479" s="1"/>
      <c r="CE479" s="1"/>
      <c r="CF479" s="1"/>
      <c r="CG479" s="1"/>
    </row>
    <row r="480" spans="1:85" ht="21">
      <c r="A480" s="37"/>
      <c r="B480" s="425" t="s">
        <v>894</v>
      </c>
      <c r="C480" s="393"/>
      <c r="D480" s="38"/>
      <c r="E480" s="225">
        <v>0</v>
      </c>
      <c r="F480" s="225">
        <f>504546-70636.44-300000-5000-150000+21090.44</f>
        <v>0</v>
      </c>
      <c r="G480" s="39">
        <f t="shared" si="753"/>
        <v>0</v>
      </c>
      <c r="H480" s="225">
        <v>0</v>
      </c>
      <c r="I480" s="225">
        <v>0</v>
      </c>
      <c r="J480" s="225">
        <v>0</v>
      </c>
      <c r="K480" s="225">
        <v>0</v>
      </c>
      <c r="L480" s="225">
        <v>0</v>
      </c>
      <c r="M480" s="225">
        <v>0</v>
      </c>
      <c r="N480" s="225">
        <v>0</v>
      </c>
      <c r="O480" s="225">
        <v>0</v>
      </c>
      <c r="P480" s="225">
        <v>0</v>
      </c>
      <c r="Q480" s="225">
        <v>0</v>
      </c>
      <c r="R480" s="225">
        <v>0</v>
      </c>
      <c r="S480" s="225">
        <v>0</v>
      </c>
      <c r="T480" s="225">
        <v>0</v>
      </c>
      <c r="U480" s="367">
        <v>0</v>
      </c>
      <c r="V480" s="367">
        <v>0</v>
      </c>
      <c r="W480" s="367">
        <v>0</v>
      </c>
      <c r="X480" s="41">
        <f t="shared" si="749"/>
        <v>0</v>
      </c>
      <c r="Y480" s="41">
        <f t="shared" si="750"/>
        <v>0</v>
      </c>
      <c r="Z480" s="41">
        <f t="shared" si="515"/>
        <v>0</v>
      </c>
      <c r="AA480" s="225">
        <v>0</v>
      </c>
      <c r="AB480" s="225">
        <v>0</v>
      </c>
      <c r="AC480" s="225">
        <v>0</v>
      </c>
      <c r="AD480" s="225">
        <v>0</v>
      </c>
      <c r="AE480" s="225">
        <v>0</v>
      </c>
      <c r="AF480" s="225">
        <v>0</v>
      </c>
      <c r="AG480" s="225">
        <v>0</v>
      </c>
      <c r="AH480" s="225">
        <v>0</v>
      </c>
      <c r="AI480" s="225">
        <v>0</v>
      </c>
      <c r="AJ480" s="225">
        <v>0</v>
      </c>
      <c r="AK480" s="225">
        <v>0</v>
      </c>
      <c r="AL480" s="225">
        <v>0</v>
      </c>
      <c r="AM480" s="225">
        <v>0</v>
      </c>
      <c r="AN480" s="225">
        <v>0</v>
      </c>
      <c r="AO480" s="225">
        <v>0</v>
      </c>
      <c r="AP480" s="225">
        <v>0</v>
      </c>
      <c r="AQ480" s="225">
        <v>0</v>
      </c>
      <c r="AR480" s="225">
        <v>0</v>
      </c>
      <c r="AS480" s="225">
        <v>0</v>
      </c>
      <c r="AT480" s="225">
        <v>0</v>
      </c>
      <c r="AU480" s="225">
        <v>0</v>
      </c>
      <c r="AV480" s="225">
        <v>0</v>
      </c>
      <c r="AW480" s="225">
        <v>0</v>
      </c>
      <c r="AX480" s="225">
        <v>0</v>
      </c>
      <c r="AY480" s="225">
        <v>0</v>
      </c>
      <c r="AZ480" s="225">
        <v>0</v>
      </c>
      <c r="BA480" s="225">
        <v>0</v>
      </c>
      <c r="BB480" s="225">
        <v>0</v>
      </c>
      <c r="BC480" s="225">
        <v>0</v>
      </c>
      <c r="BD480" s="225">
        <v>0</v>
      </c>
      <c r="BE480" s="225">
        <v>0</v>
      </c>
      <c r="BF480" s="225">
        <v>0</v>
      </c>
      <c r="BG480" s="225">
        <v>0</v>
      </c>
      <c r="BH480" s="225">
        <v>0</v>
      </c>
      <c r="BI480" s="225">
        <v>0</v>
      </c>
      <c r="BJ480" s="225">
        <v>0</v>
      </c>
      <c r="BK480" s="225">
        <v>0</v>
      </c>
      <c r="BL480" s="225">
        <v>0</v>
      </c>
      <c r="BM480" s="225">
        <v>0</v>
      </c>
      <c r="BN480" s="225">
        <v>0</v>
      </c>
      <c r="BO480" s="225">
        <v>0</v>
      </c>
      <c r="BP480" s="225">
        <v>0</v>
      </c>
      <c r="BQ480" s="225">
        <v>0</v>
      </c>
      <c r="BR480" s="225">
        <v>0</v>
      </c>
      <c r="BS480" s="225">
        <v>0</v>
      </c>
      <c r="BT480" s="225">
        <v>0</v>
      </c>
      <c r="BU480" s="225">
        <v>0</v>
      </c>
      <c r="BV480" s="225">
        <v>0</v>
      </c>
      <c r="BW480" s="225">
        <v>0</v>
      </c>
      <c r="BX480" s="1"/>
      <c r="BY480" s="1"/>
      <c r="BZ480" s="1"/>
      <c r="CA480" s="1"/>
      <c r="CB480" s="1"/>
      <c r="CC480" s="1"/>
      <c r="CD480" s="1"/>
      <c r="CE480" s="1"/>
      <c r="CF480" s="1"/>
      <c r="CG480" s="1"/>
    </row>
    <row r="481" spans="1:85" ht="15.75" customHeight="1">
      <c r="A481" s="223"/>
      <c r="B481" s="451"/>
      <c r="C481" s="407"/>
      <c r="D481" s="226" t="s">
        <v>895</v>
      </c>
      <c r="E481" s="227" t="s">
        <v>896</v>
      </c>
      <c r="F481" s="228" t="s">
        <v>897</v>
      </c>
      <c r="G481" s="226" t="s">
        <v>898</v>
      </c>
      <c r="H481" s="226" t="s">
        <v>899</v>
      </c>
      <c r="I481" s="507" t="s">
        <v>900</v>
      </c>
      <c r="J481" s="499"/>
      <c r="K481" s="229" t="s">
        <v>85</v>
      </c>
      <c r="L481" s="229" t="s">
        <v>86</v>
      </c>
      <c r="M481" s="230" t="s">
        <v>901</v>
      </c>
      <c r="N481" s="229" t="s">
        <v>899</v>
      </c>
      <c r="O481" s="229" t="s">
        <v>85</v>
      </c>
      <c r="P481" s="229" t="s">
        <v>86</v>
      </c>
      <c r="Q481" s="229" t="s">
        <v>899</v>
      </c>
      <c r="R481" s="229" t="s">
        <v>85</v>
      </c>
      <c r="S481" s="229" t="s">
        <v>86</v>
      </c>
      <c r="T481" s="229" t="s">
        <v>899</v>
      </c>
      <c r="U481" s="379" t="s">
        <v>85</v>
      </c>
      <c r="V481" s="379" t="s">
        <v>86</v>
      </c>
      <c r="W481" s="379" t="s">
        <v>899</v>
      </c>
      <c r="X481" s="231"/>
      <c r="Y481" s="232"/>
      <c r="Z481" s="231"/>
      <c r="AA481" s="507" t="s">
        <v>902</v>
      </c>
      <c r="AB481" s="498"/>
      <c r="AC481" s="498"/>
      <c r="AD481" s="498"/>
      <c r="AE481" s="498"/>
      <c r="AF481" s="499"/>
      <c r="AG481" s="502" t="s">
        <v>903</v>
      </c>
      <c r="AH481" s="498"/>
      <c r="AI481" s="498"/>
      <c r="AJ481" s="498"/>
      <c r="AK481" s="498"/>
      <c r="AL481" s="499"/>
      <c r="AM481" s="497" t="s">
        <v>904</v>
      </c>
      <c r="AN481" s="498"/>
      <c r="AO481" s="498"/>
      <c r="AP481" s="498"/>
      <c r="AQ481" s="498"/>
      <c r="AR481" s="499"/>
      <c r="AS481" s="500" t="s">
        <v>905</v>
      </c>
      <c r="AT481" s="498"/>
      <c r="AU481" s="498"/>
      <c r="AV481" s="498"/>
      <c r="AW481" s="498"/>
      <c r="AX481" s="499"/>
      <c r="AY481" s="501" t="s">
        <v>906</v>
      </c>
      <c r="AZ481" s="498"/>
      <c r="BA481" s="498"/>
      <c r="BB481" s="498"/>
      <c r="BC481" s="498"/>
      <c r="BD481" s="499"/>
      <c r="BE481" s="233"/>
      <c r="BF481" s="233"/>
      <c r="BG481" s="233"/>
      <c r="BH481" s="233"/>
      <c r="BI481" s="233"/>
      <c r="BJ481" s="233"/>
      <c r="BK481" s="233"/>
      <c r="BL481" s="233"/>
      <c r="BM481" s="233"/>
      <c r="BN481" s="234"/>
      <c r="BO481" s="235"/>
      <c r="BP481" s="234"/>
      <c r="BQ481" s="93"/>
      <c r="BR481" s="93"/>
      <c r="BS481" s="234"/>
      <c r="BT481" s="234"/>
      <c r="BU481" s="93" t="str">
        <f t="shared" ref="BU481:BU494" si="781">IF(BP481=0,"",BP481)</f>
        <v/>
      </c>
      <c r="BV481" s="93" t="str">
        <f t="shared" ref="BV481:BV494" si="782">IF(BS481=0,"",BS481)</f>
        <v/>
      </c>
      <c r="BW481" s="234"/>
      <c r="BX481" s="1"/>
      <c r="BY481" s="1"/>
      <c r="BZ481" s="1"/>
      <c r="CA481" s="1"/>
      <c r="CB481" s="1"/>
      <c r="CC481" s="1"/>
      <c r="CD481" s="1"/>
      <c r="CE481" s="1"/>
      <c r="CF481" s="1"/>
      <c r="CG481" s="1"/>
    </row>
    <row r="482" spans="1:85" ht="15.75" customHeight="1">
      <c r="A482" s="236"/>
      <c r="B482" s="452"/>
      <c r="C482" s="408"/>
      <c r="D482" s="237" t="s">
        <v>907</v>
      </c>
      <c r="E482" s="238">
        <f>E4+E8+E116+E196+E347</f>
        <v>4628865.2</v>
      </c>
      <c r="F482" s="74">
        <f>F4+F8+F116+F196+F347</f>
        <v>504546</v>
      </c>
      <c r="G482" s="74">
        <f>G4+G8+G116+G196+G347</f>
        <v>4124319.2</v>
      </c>
      <c r="H482" s="74">
        <f>H4+H8+H116+H196+H347</f>
        <v>13139944.870000001</v>
      </c>
      <c r="I482" s="239" t="s">
        <v>85</v>
      </c>
      <c r="J482" s="239" t="s">
        <v>899</v>
      </c>
      <c r="K482" s="52"/>
      <c r="L482" s="237"/>
      <c r="M482" s="128"/>
      <c r="N482" s="52"/>
      <c r="O482" s="52"/>
      <c r="P482" s="52"/>
      <c r="Q482" s="52"/>
      <c r="R482" s="52"/>
      <c r="S482" s="52"/>
      <c r="T482" s="52"/>
      <c r="U482" s="374"/>
      <c r="V482" s="374"/>
      <c r="W482" s="374"/>
      <c r="X482" s="231"/>
      <c r="Y482" s="232"/>
      <c r="Z482" s="231"/>
      <c r="AA482" s="240" t="s">
        <v>58</v>
      </c>
      <c r="AB482" s="241" t="s">
        <v>59</v>
      </c>
      <c r="AC482" s="241" t="s">
        <v>60</v>
      </c>
      <c r="AD482" s="240" t="s">
        <v>61</v>
      </c>
      <c r="AE482" s="240" t="s">
        <v>62</v>
      </c>
      <c r="AF482" s="240" t="s">
        <v>63</v>
      </c>
      <c r="AG482" s="240" t="s">
        <v>58</v>
      </c>
      <c r="AH482" s="241" t="s">
        <v>59</v>
      </c>
      <c r="AI482" s="241" t="s">
        <v>60</v>
      </c>
      <c r="AJ482" s="240" t="s">
        <v>61</v>
      </c>
      <c r="AK482" s="240" t="s">
        <v>62</v>
      </c>
      <c r="AL482" s="240" t="s">
        <v>63</v>
      </c>
      <c r="AM482" s="240" t="s">
        <v>58</v>
      </c>
      <c r="AN482" s="241" t="s">
        <v>59</v>
      </c>
      <c r="AO482" s="241" t="s">
        <v>60</v>
      </c>
      <c r="AP482" s="240" t="s">
        <v>61</v>
      </c>
      <c r="AQ482" s="240" t="s">
        <v>62</v>
      </c>
      <c r="AR482" s="240" t="s">
        <v>63</v>
      </c>
      <c r="AS482" s="240" t="s">
        <v>58</v>
      </c>
      <c r="AT482" s="241" t="s">
        <v>59</v>
      </c>
      <c r="AU482" s="241" t="s">
        <v>60</v>
      </c>
      <c r="AV482" s="240" t="s">
        <v>61</v>
      </c>
      <c r="AW482" s="240" t="s">
        <v>62</v>
      </c>
      <c r="AX482" s="240" t="s">
        <v>63</v>
      </c>
      <c r="AY482" s="240" t="s">
        <v>58</v>
      </c>
      <c r="AZ482" s="241" t="s">
        <v>59</v>
      </c>
      <c r="BA482" s="241" t="s">
        <v>60</v>
      </c>
      <c r="BB482" s="240" t="s">
        <v>61</v>
      </c>
      <c r="BC482" s="240" t="s">
        <v>62</v>
      </c>
      <c r="BD482" s="240" t="s">
        <v>63</v>
      </c>
      <c r="BE482" s="233"/>
      <c r="BF482" s="233"/>
      <c r="BG482" s="233"/>
      <c r="BH482" s="233"/>
      <c r="BI482" s="233"/>
      <c r="BJ482" s="233"/>
      <c r="BK482" s="233"/>
      <c r="BL482" s="233"/>
      <c r="BM482" s="233"/>
      <c r="BN482" s="234"/>
      <c r="BO482" s="235"/>
      <c r="BP482" s="234"/>
      <c r="BQ482" s="93"/>
      <c r="BR482" s="93"/>
      <c r="BS482" s="234"/>
      <c r="BT482" s="234"/>
      <c r="BU482" s="93" t="str">
        <f t="shared" si="781"/>
        <v/>
      </c>
      <c r="BV482" s="93" t="str">
        <f t="shared" si="782"/>
        <v/>
      </c>
      <c r="BW482" s="234"/>
      <c r="BX482" s="1"/>
      <c r="BY482" s="1"/>
      <c r="BZ482" s="1"/>
      <c r="CA482" s="1"/>
      <c r="CB482" s="1"/>
      <c r="CC482" s="1"/>
      <c r="CD482" s="1"/>
      <c r="CE482" s="1"/>
      <c r="CF482" s="1"/>
      <c r="CG482" s="1"/>
    </row>
    <row r="483" spans="1:85" ht="15.75" customHeight="1">
      <c r="A483" s="242"/>
      <c r="B483" s="452"/>
      <c r="C483" s="408"/>
      <c r="D483" s="237" t="s">
        <v>908</v>
      </c>
      <c r="E483" s="243"/>
      <c r="F483" s="52"/>
      <c r="G483" s="52">
        <f>SUM(AA483:AF483)+SUM(AA485:AF485)</f>
        <v>4236096.5999999996</v>
      </c>
      <c r="H483" s="52">
        <f>SUM(AG483:BD483)+SUM(AG485:BD485)</f>
        <v>3425529.27</v>
      </c>
      <c r="I483" s="36">
        <f>G483/G482</f>
        <v>1.0271020244989766</v>
      </c>
      <c r="J483" s="36">
        <f>H483/H482</f>
        <v>0.26069586317830568</v>
      </c>
      <c r="K483" s="52"/>
      <c r="L483" s="52"/>
      <c r="M483" s="128"/>
      <c r="N483" s="52"/>
      <c r="O483" s="52"/>
      <c r="P483" s="52"/>
      <c r="Q483" s="52"/>
      <c r="R483" s="52"/>
      <c r="S483" s="52"/>
      <c r="T483" s="52"/>
      <c r="U483" s="374"/>
      <c r="V483" s="374"/>
      <c r="W483" s="374"/>
      <c r="X483" s="231"/>
      <c r="Y483" s="232"/>
      <c r="Z483" s="231"/>
      <c r="AA483" s="244">
        <f>1157216</f>
        <v>1157216</v>
      </c>
      <c r="AB483" s="134">
        <v>385739</v>
      </c>
      <c r="AC483" s="132">
        <f>80000</f>
        <v>80000</v>
      </c>
      <c r="AD483" s="245">
        <v>1928694</v>
      </c>
      <c r="AE483" s="246">
        <f>25700+232108.22+9200</f>
        <v>267008.21999999997</v>
      </c>
      <c r="AF483" s="246">
        <f>7600+129295-598.46-642.9</f>
        <v>135653.64000000001</v>
      </c>
      <c r="AG483" s="132"/>
      <c r="AH483" s="134">
        <f>140000+322000+340000</f>
        <v>802000</v>
      </c>
      <c r="AI483" s="132"/>
      <c r="AJ483" s="245">
        <f>1082348+1004005</f>
        <v>2086353</v>
      </c>
      <c r="AK483" s="245">
        <v>440000</v>
      </c>
      <c r="AL483" s="246"/>
      <c r="AM483" s="132"/>
      <c r="AN483" s="132">
        <f>203104+212</f>
        <v>203316</v>
      </c>
      <c r="AO483" s="132"/>
      <c r="AP483" s="246"/>
      <c r="AQ483" s="246"/>
      <c r="AR483" s="246"/>
      <c r="AS483" s="132"/>
      <c r="AT483" s="132"/>
      <c r="AU483" s="132"/>
      <c r="AV483" s="246"/>
      <c r="AW483" s="245">
        <v>61482.48</v>
      </c>
      <c r="AX483" s="246"/>
      <c r="AY483" s="132"/>
      <c r="AZ483" s="132"/>
      <c r="BA483" s="132"/>
      <c r="BB483" s="246"/>
      <c r="BC483" s="246"/>
      <c r="BD483" s="246"/>
      <c r="BE483" s="235"/>
      <c r="BF483" s="235"/>
      <c r="BG483" s="235"/>
      <c r="BH483" s="235"/>
      <c r="BI483" s="235"/>
      <c r="BJ483" s="235"/>
      <c r="BK483" s="235"/>
      <c r="BL483" s="235"/>
      <c r="BM483" s="235"/>
      <c r="BN483" s="234"/>
      <c r="BO483" s="235"/>
      <c r="BP483" s="234"/>
      <c r="BQ483" s="93"/>
      <c r="BR483" s="93"/>
      <c r="BS483" s="234"/>
      <c r="BT483" s="234"/>
      <c r="BU483" s="93" t="str">
        <f t="shared" si="781"/>
        <v/>
      </c>
      <c r="BV483" s="93" t="str">
        <f t="shared" si="782"/>
        <v/>
      </c>
      <c r="BW483" s="234"/>
      <c r="BX483" s="1"/>
      <c r="BY483" s="1"/>
      <c r="BZ483" s="1"/>
      <c r="CA483" s="1"/>
      <c r="CB483" s="1"/>
      <c r="CC483" s="1"/>
      <c r="CD483" s="1"/>
      <c r="CE483" s="1"/>
      <c r="CF483" s="1"/>
      <c r="CG483" s="1"/>
    </row>
    <row r="484" spans="1:85" ht="15.75" customHeight="1">
      <c r="A484" s="242"/>
      <c r="B484" s="452"/>
      <c r="C484" s="408"/>
      <c r="D484" s="237" t="s">
        <v>909</v>
      </c>
      <c r="E484" s="238"/>
      <c r="F484" s="74"/>
      <c r="G484" s="74">
        <f>K484</f>
        <v>3636600.97</v>
      </c>
      <c r="H484" s="74">
        <f>N484</f>
        <v>3320428.75</v>
      </c>
      <c r="I484" s="36">
        <f>G484/G483</f>
        <v>0.85847923534132831</v>
      </c>
      <c r="J484" s="36">
        <f>H484/H483</f>
        <v>0.96931845804954986</v>
      </c>
      <c r="K484" s="52">
        <f>K4+K8+K116+K196+K347</f>
        <v>3636600.97</v>
      </c>
      <c r="L484" s="52">
        <f>L4+L8+L116+L196+L347</f>
        <v>3734259.4299999992</v>
      </c>
      <c r="M484" s="128">
        <f>M4+M8+M116+M196+M347</f>
        <v>114521.33</v>
      </c>
      <c r="N484" s="52">
        <f>N4+N8+N116+N196+N347</f>
        <v>3320428.75</v>
      </c>
      <c r="O484" s="52"/>
      <c r="P484" s="52"/>
      <c r="Q484" s="52"/>
      <c r="R484" s="52"/>
      <c r="S484" s="52"/>
      <c r="T484" s="52"/>
      <c r="U484" s="374"/>
      <c r="V484" s="374"/>
      <c r="W484" s="374"/>
      <c r="X484" s="231"/>
      <c r="Y484" s="232"/>
      <c r="Z484" s="231"/>
      <c r="AA484" s="240" t="s">
        <v>64</v>
      </c>
      <c r="AB484" s="240" t="s">
        <v>65</v>
      </c>
      <c r="AC484" s="240" t="s">
        <v>66</v>
      </c>
      <c r="AD484" s="247" t="s">
        <v>67</v>
      </c>
      <c r="AE484" s="248" t="s">
        <v>68</v>
      </c>
      <c r="AF484" s="248" t="s">
        <v>69</v>
      </c>
      <c r="AG484" s="240" t="s">
        <v>64</v>
      </c>
      <c r="AH484" s="240" t="s">
        <v>65</v>
      </c>
      <c r="AI484" s="240" t="s">
        <v>66</v>
      </c>
      <c r="AJ484" s="247" t="s">
        <v>67</v>
      </c>
      <c r="AK484" s="248" t="s">
        <v>68</v>
      </c>
      <c r="AL484" s="248" t="s">
        <v>69</v>
      </c>
      <c r="AM484" s="240" t="s">
        <v>64</v>
      </c>
      <c r="AN484" s="240" t="s">
        <v>65</v>
      </c>
      <c r="AO484" s="240" t="s">
        <v>66</v>
      </c>
      <c r="AP484" s="247" t="s">
        <v>67</v>
      </c>
      <c r="AQ484" s="248" t="s">
        <v>68</v>
      </c>
      <c r="AR484" s="248" t="s">
        <v>69</v>
      </c>
      <c r="AS484" s="240" t="s">
        <v>64</v>
      </c>
      <c r="AT484" s="240" t="s">
        <v>65</v>
      </c>
      <c r="AU484" s="240" t="s">
        <v>66</v>
      </c>
      <c r="AV484" s="247" t="s">
        <v>67</v>
      </c>
      <c r="AW484" s="248" t="s">
        <v>68</v>
      </c>
      <c r="AX484" s="248" t="s">
        <v>69</v>
      </c>
      <c r="AY484" s="240" t="s">
        <v>64</v>
      </c>
      <c r="AZ484" s="240" t="s">
        <v>65</v>
      </c>
      <c r="BA484" s="240" t="s">
        <v>66</v>
      </c>
      <c r="BB484" s="247" t="s">
        <v>67</v>
      </c>
      <c r="BC484" s="248" t="s">
        <v>68</v>
      </c>
      <c r="BD484" s="248" t="s">
        <v>69</v>
      </c>
      <c r="BE484" s="235"/>
      <c r="BF484" s="235"/>
      <c r="BG484" s="235"/>
      <c r="BH484" s="235"/>
      <c r="BI484" s="235"/>
      <c r="BJ484" s="235"/>
      <c r="BK484" s="235"/>
      <c r="BL484" s="235"/>
      <c r="BM484" s="235"/>
      <c r="BN484" s="234"/>
      <c r="BO484" s="235"/>
      <c r="BP484" s="234"/>
      <c r="BQ484" s="93"/>
      <c r="BR484" s="93"/>
      <c r="BS484" s="234"/>
      <c r="BT484" s="234"/>
      <c r="BU484" s="93" t="str">
        <f t="shared" si="781"/>
        <v/>
      </c>
      <c r="BV484" s="93" t="str">
        <f t="shared" si="782"/>
        <v/>
      </c>
      <c r="BW484" s="234"/>
      <c r="BX484" s="1"/>
      <c r="BY484" s="1"/>
      <c r="BZ484" s="1"/>
      <c r="CA484" s="1"/>
      <c r="CB484" s="1"/>
      <c r="CC484" s="1"/>
      <c r="CD484" s="1"/>
      <c r="CE484" s="1"/>
      <c r="CF484" s="1"/>
      <c r="CG484" s="1"/>
    </row>
    <row r="485" spans="1:85" ht="15.75" customHeight="1">
      <c r="A485" s="242"/>
      <c r="B485" s="452"/>
      <c r="C485" s="408"/>
      <c r="D485" s="237" t="s">
        <v>910</v>
      </c>
      <c r="E485" s="238"/>
      <c r="F485" s="74"/>
      <c r="G485" s="74">
        <f>O485</f>
        <v>2357740.12</v>
      </c>
      <c r="H485" s="74">
        <f>Q485</f>
        <v>2016019.06</v>
      </c>
      <c r="I485" s="36">
        <f>G485/G483</f>
        <v>0.55658318084625369</v>
      </c>
      <c r="J485" s="36">
        <f>H485/H483</f>
        <v>0.58852775763904075</v>
      </c>
      <c r="K485" s="249"/>
      <c r="L485" s="249"/>
      <c r="M485" s="250"/>
      <c r="N485" s="249"/>
      <c r="O485" s="52">
        <f>O4+O8+O116+O196+O347</f>
        <v>2357740.12</v>
      </c>
      <c r="P485" s="52">
        <f>P4+P8+P116+P196+P347</f>
        <v>2889888.38</v>
      </c>
      <c r="Q485" s="52">
        <f>Q4+Q8+Q116+Q196+Q347</f>
        <v>2016019.06</v>
      </c>
      <c r="R485" s="52"/>
      <c r="S485" s="52"/>
      <c r="T485" s="52"/>
      <c r="U485" s="374"/>
      <c r="V485" s="374"/>
      <c r="W485" s="374"/>
      <c r="X485" s="231"/>
      <c r="Y485" s="232"/>
      <c r="Z485" s="231"/>
      <c r="AA485" s="132">
        <f>825.77+79100.77-1640</f>
        <v>78286.540000000008</v>
      </c>
      <c r="AB485" s="132"/>
      <c r="AC485" s="134">
        <f>200000+3499.2</f>
        <v>203499.2</v>
      </c>
      <c r="AD485" s="246"/>
      <c r="AE485" s="246"/>
      <c r="AF485" s="246"/>
      <c r="AG485" s="132"/>
      <c r="AH485" s="132"/>
      <c r="AI485" s="134">
        <f>-220000-200000+30210.99</f>
        <v>-389789.01</v>
      </c>
      <c r="AJ485" s="246"/>
      <c r="AK485" s="246"/>
      <c r="AL485" s="246"/>
      <c r="AM485" s="132"/>
      <c r="AN485" s="132"/>
      <c r="AO485" s="132"/>
      <c r="AP485" s="246"/>
      <c r="AQ485" s="246"/>
      <c r="AR485" s="246"/>
      <c r="AS485" s="132"/>
      <c r="AT485" s="132"/>
      <c r="AU485" s="132"/>
      <c r="AV485" s="246"/>
      <c r="AW485" s="246"/>
      <c r="AX485" s="246"/>
      <c r="AY485" s="134">
        <v>222166.8</v>
      </c>
      <c r="AZ485" s="132"/>
      <c r="BA485" s="132"/>
      <c r="BB485" s="246"/>
      <c r="BC485" s="246"/>
      <c r="BD485" s="246"/>
      <c r="BE485" s="235"/>
      <c r="BF485" s="235"/>
      <c r="BG485" s="235"/>
      <c r="BH485" s="235"/>
      <c r="BI485" s="235"/>
      <c r="BJ485" s="235"/>
      <c r="BK485" s="235"/>
      <c r="BL485" s="235"/>
      <c r="BM485" s="235"/>
      <c r="BN485" s="234"/>
      <c r="BO485" s="235"/>
      <c r="BP485" s="234"/>
      <c r="BQ485" s="93"/>
      <c r="BR485" s="93"/>
      <c r="BS485" s="234"/>
      <c r="BT485" s="234"/>
      <c r="BU485" s="93" t="str">
        <f t="shared" si="781"/>
        <v/>
      </c>
      <c r="BV485" s="93" t="str">
        <f t="shared" si="782"/>
        <v/>
      </c>
      <c r="BW485" s="234"/>
      <c r="BX485" s="1"/>
      <c r="BY485" s="1"/>
      <c r="BZ485" s="1"/>
      <c r="CA485" s="1"/>
      <c r="CB485" s="1"/>
      <c r="CC485" s="1"/>
      <c r="CD485" s="1"/>
      <c r="CE485" s="1"/>
      <c r="CF485" s="1"/>
      <c r="CG485" s="1"/>
    </row>
    <row r="486" spans="1:85" ht="15.75" customHeight="1">
      <c r="A486" s="242"/>
      <c r="B486" s="452"/>
      <c r="C486" s="409"/>
      <c r="D486" s="237" t="s">
        <v>911</v>
      </c>
      <c r="E486" s="238"/>
      <c r="F486" s="74"/>
      <c r="G486" s="74">
        <f>R486</f>
        <v>2357740.12</v>
      </c>
      <c r="H486" s="74">
        <f>T486</f>
        <v>2016019.06</v>
      </c>
      <c r="I486" s="36">
        <f>G486/G483</f>
        <v>0.55658318084625369</v>
      </c>
      <c r="J486" s="36">
        <f>H486/H483</f>
        <v>0.58852775763904075</v>
      </c>
      <c r="K486" s="249"/>
      <c r="L486" s="249"/>
      <c r="M486" s="250"/>
      <c r="N486" s="249"/>
      <c r="O486" s="249"/>
      <c r="P486" s="249"/>
      <c r="Q486" s="249"/>
      <c r="R486" s="52">
        <f t="shared" ref="R486:W486" si="783">R4+R8+R116+R196+R347</f>
        <v>2357740.12</v>
      </c>
      <c r="S486" s="52">
        <f t="shared" si="783"/>
        <v>2889888.38</v>
      </c>
      <c r="T486" s="52">
        <f t="shared" si="783"/>
        <v>2016019.06</v>
      </c>
      <c r="U486" s="374">
        <f t="shared" si="783"/>
        <v>1278860.8500000001</v>
      </c>
      <c r="V486" s="374">
        <f t="shared" si="783"/>
        <v>729849.72000000009</v>
      </c>
      <c r="W486" s="374">
        <f t="shared" si="783"/>
        <v>1304409.69</v>
      </c>
      <c r="X486" s="231"/>
      <c r="Y486" s="232"/>
      <c r="Z486" s="251"/>
      <c r="AD486" s="252"/>
      <c r="AE486" s="253"/>
      <c r="AF486" s="253"/>
      <c r="AG486" s="253"/>
      <c r="AH486" s="253"/>
      <c r="AI486" s="235"/>
      <c r="AJ486" s="235"/>
      <c r="AK486" s="235"/>
      <c r="AL486" s="235"/>
      <c r="AM486" s="235"/>
      <c r="AN486" s="235"/>
      <c r="AO486" s="235"/>
      <c r="AP486" s="235"/>
      <c r="AQ486" s="235"/>
      <c r="AR486" s="235"/>
      <c r="AS486" s="235"/>
      <c r="AT486" s="235"/>
      <c r="AU486" s="235"/>
      <c r="AV486" s="235"/>
      <c r="AW486" s="235"/>
      <c r="AX486" s="235"/>
      <c r="AY486" s="235"/>
      <c r="AZ486" s="235"/>
      <c r="BA486" s="235"/>
      <c r="BB486" s="235"/>
      <c r="BC486" s="235"/>
      <c r="BD486" s="235"/>
      <c r="BE486" s="235"/>
      <c r="BF486" s="235"/>
      <c r="BG486" s="235"/>
      <c r="BH486" s="235"/>
      <c r="BI486" s="235"/>
      <c r="BJ486" s="235"/>
      <c r="BK486" s="235"/>
      <c r="BL486" s="235"/>
      <c r="BM486" s="235"/>
      <c r="BN486" s="234"/>
      <c r="BO486" s="235"/>
      <c r="BP486" s="234"/>
      <c r="BQ486" s="93"/>
      <c r="BR486" s="93"/>
      <c r="BS486" s="234"/>
      <c r="BT486" s="234"/>
      <c r="BU486" s="93" t="str">
        <f t="shared" si="781"/>
        <v/>
      </c>
      <c r="BV486" s="93" t="str">
        <f t="shared" si="782"/>
        <v/>
      </c>
      <c r="BW486" s="234"/>
      <c r="BX486" s="1"/>
      <c r="BY486" s="1"/>
      <c r="BZ486" s="1"/>
      <c r="CA486" s="1"/>
      <c r="CB486" s="1"/>
      <c r="CC486" s="1"/>
      <c r="CD486" s="1"/>
      <c r="CE486" s="1"/>
      <c r="CF486" s="1"/>
      <c r="CG486" s="1"/>
    </row>
    <row r="487" spans="1:85" ht="15.75" customHeight="1">
      <c r="A487" s="242"/>
      <c r="B487" s="452"/>
      <c r="C487" s="409"/>
      <c r="D487" s="254" t="s">
        <v>912</v>
      </c>
      <c r="E487" s="255"/>
      <c r="F487" s="256"/>
      <c r="G487" s="256">
        <f>G482-G483</f>
        <v>-111777.39999999944</v>
      </c>
      <c r="H487" s="256">
        <f>H482-H483</f>
        <v>9714415.6000000015</v>
      </c>
      <c r="I487" s="257">
        <f>G487/G482</f>
        <v>-2.7102024498976567E-2</v>
      </c>
      <c r="J487" s="257">
        <f>H487/H482</f>
        <v>0.73930413682169438</v>
      </c>
      <c r="K487" s="521" t="s">
        <v>913</v>
      </c>
      <c r="L487" s="498"/>
      <c r="M487" s="498"/>
      <c r="N487" s="499"/>
      <c r="O487" s="258"/>
      <c r="P487" s="258"/>
      <c r="Q487" s="258"/>
      <c r="R487" s="258"/>
      <c r="S487" s="258"/>
      <c r="T487" s="258"/>
      <c r="U487" s="380"/>
      <c r="V487" s="380"/>
      <c r="W487" s="380"/>
      <c r="X487" s="231"/>
      <c r="Y487" s="232"/>
      <c r="Z487" s="251"/>
      <c r="AA487" s="502" t="s">
        <v>914</v>
      </c>
      <c r="AB487" s="498"/>
      <c r="AC487" s="499"/>
      <c r="AD487" s="252"/>
      <c r="AE487" s="253"/>
      <c r="AF487" s="253"/>
      <c r="AG487" s="253"/>
      <c r="AH487" s="253"/>
      <c r="AI487" s="235"/>
      <c r="AJ487" s="235"/>
      <c r="AK487" s="235"/>
      <c r="AL487" s="235"/>
      <c r="AM487" s="235"/>
      <c r="AN487" s="235"/>
      <c r="AO487" s="235"/>
      <c r="AP487" s="235"/>
      <c r="AQ487" s="235"/>
      <c r="AR487" s="235"/>
      <c r="AS487" s="235"/>
      <c r="AT487" s="235"/>
      <c r="AU487" s="235"/>
      <c r="AV487" s="235"/>
      <c r="AW487" s="235"/>
      <c r="AX487" s="235"/>
      <c r="AY487" s="235"/>
      <c r="AZ487" s="235"/>
      <c r="BA487" s="235"/>
      <c r="BB487" s="235"/>
      <c r="BC487" s="235"/>
      <c r="BD487" s="235"/>
      <c r="BE487" s="235"/>
      <c r="BF487" s="235"/>
      <c r="BG487" s="235"/>
      <c r="BH487" s="235"/>
      <c r="BI487" s="235"/>
      <c r="BJ487" s="235"/>
      <c r="BK487" s="235"/>
      <c r="BL487" s="235"/>
      <c r="BM487" s="235"/>
      <c r="BN487" s="234"/>
      <c r="BO487" s="235"/>
      <c r="BP487" s="234"/>
      <c r="BQ487" s="93"/>
      <c r="BR487" s="93"/>
      <c r="BS487" s="234"/>
      <c r="BT487" s="234"/>
      <c r="BU487" s="93" t="str">
        <f t="shared" si="781"/>
        <v/>
      </c>
      <c r="BV487" s="93" t="str">
        <f t="shared" si="782"/>
        <v/>
      </c>
      <c r="BW487" s="234"/>
      <c r="BX487" s="1"/>
      <c r="BY487" s="1"/>
      <c r="BZ487" s="1"/>
      <c r="CA487" s="1"/>
      <c r="CB487" s="1"/>
      <c r="CC487" s="1"/>
      <c r="CD487" s="1"/>
      <c r="CE487" s="1"/>
      <c r="CF487" s="1"/>
      <c r="CG487" s="1"/>
    </row>
    <row r="488" spans="1:85" ht="15.75" customHeight="1">
      <c r="A488" s="242"/>
      <c r="B488" s="452"/>
      <c r="C488" s="409"/>
      <c r="D488" s="254" t="s">
        <v>915</v>
      </c>
      <c r="E488" s="259"/>
      <c r="F488" s="260"/>
      <c r="G488" s="260">
        <f>G483-K484</f>
        <v>599495.62999999942</v>
      </c>
      <c r="H488" s="260">
        <f>H483-N484</f>
        <v>105100.52000000002</v>
      </c>
      <c r="I488" s="257">
        <f>G488/G483</f>
        <v>0.14152076465867172</v>
      </c>
      <c r="J488" s="257">
        <f>H488/H483</f>
        <v>3.068154195045019E-2</v>
      </c>
      <c r="K488" s="522" t="s">
        <v>916</v>
      </c>
      <c r="L488" s="499"/>
      <c r="M488" s="261">
        <f>SUM(AA483:AF483)+SUM(AA485:AF485)</f>
        <v>4236096.5999999996</v>
      </c>
      <c r="N488" s="32">
        <f t="shared" ref="N488:N493" si="784">M488*100/$M$493/100</f>
        <v>0.55289786683358366</v>
      </c>
      <c r="O488" s="258"/>
      <c r="P488" s="258"/>
      <c r="Q488" s="258"/>
      <c r="R488" s="258"/>
      <c r="S488" s="258"/>
      <c r="T488" s="258"/>
      <c r="U488" s="380"/>
      <c r="V488" s="380"/>
      <c r="W488" s="380"/>
      <c r="X488" s="231"/>
      <c r="Y488" s="232"/>
      <c r="Z488" s="251"/>
      <c r="AA488" s="503" t="s">
        <v>917</v>
      </c>
      <c r="AB488" s="499"/>
      <c r="AC488" s="149">
        <f>K474</f>
        <v>42956</v>
      </c>
      <c r="AD488" s="252"/>
      <c r="AE488" s="253"/>
      <c r="AF488" s="253"/>
      <c r="AG488" s="253"/>
      <c r="AH488" s="253"/>
      <c r="AI488" s="235"/>
      <c r="AJ488" s="235"/>
      <c r="AK488" s="235"/>
      <c r="AL488" s="235"/>
      <c r="AM488" s="235"/>
      <c r="AN488" s="235"/>
      <c r="AO488" s="235"/>
      <c r="AP488" s="235"/>
      <c r="AQ488" s="235"/>
      <c r="AR488" s="235"/>
      <c r="AS488" s="235"/>
      <c r="AT488" s="235"/>
      <c r="AU488" s="235"/>
      <c r="AV488" s="235"/>
      <c r="AW488" s="235"/>
      <c r="AX488" s="235"/>
      <c r="AY488" s="235"/>
      <c r="AZ488" s="235"/>
      <c r="BA488" s="235"/>
      <c r="BB488" s="235"/>
      <c r="BC488" s="235"/>
      <c r="BD488" s="235"/>
      <c r="BE488" s="235"/>
      <c r="BF488" s="235"/>
      <c r="BG488" s="235"/>
      <c r="BH488" s="235"/>
      <c r="BI488" s="235"/>
      <c r="BJ488" s="235"/>
      <c r="BK488" s="235"/>
      <c r="BL488" s="235"/>
      <c r="BM488" s="235"/>
      <c r="BN488" s="234"/>
      <c r="BO488" s="235"/>
      <c r="BP488" s="234"/>
      <c r="BQ488" s="93"/>
      <c r="BR488" s="93"/>
      <c r="BS488" s="234"/>
      <c r="BT488" s="234"/>
      <c r="BU488" s="93" t="str">
        <f t="shared" si="781"/>
        <v/>
      </c>
      <c r="BV488" s="93" t="str">
        <f t="shared" si="782"/>
        <v/>
      </c>
      <c r="BW488" s="234"/>
      <c r="BX488" s="1"/>
      <c r="BY488" s="1"/>
      <c r="BZ488" s="1"/>
      <c r="CA488" s="1"/>
      <c r="CB488" s="1"/>
      <c r="CC488" s="1"/>
      <c r="CD488" s="1"/>
      <c r="CE488" s="1"/>
      <c r="CF488" s="1"/>
      <c r="CG488" s="1"/>
    </row>
    <row r="489" spans="1:85" ht="15.75" customHeight="1">
      <c r="A489" s="242"/>
      <c r="B489" s="452"/>
      <c r="C489" s="409"/>
      <c r="D489" s="254" t="s">
        <v>918</v>
      </c>
      <c r="E489" s="259"/>
      <c r="F489" s="260"/>
      <c r="G489" s="260">
        <f>K484-O485</f>
        <v>1278860.8500000001</v>
      </c>
      <c r="H489" s="260">
        <f>N484-Q485</f>
        <v>1304409.69</v>
      </c>
      <c r="I489" s="257">
        <f>G489/K484</f>
        <v>0.35166378179786933</v>
      </c>
      <c r="J489" s="257">
        <f>H489/N484</f>
        <v>0.392843752482266</v>
      </c>
      <c r="K489" s="522" t="s">
        <v>553</v>
      </c>
      <c r="L489" s="499"/>
      <c r="M489" s="262">
        <f>SUM(AG483:AL483)+SUM(AG485:AL485)</f>
        <v>2938563.99</v>
      </c>
      <c r="N489" s="32">
        <f t="shared" si="784"/>
        <v>0.38354313299299747</v>
      </c>
      <c r="O489" s="258"/>
      <c r="P489" s="258"/>
      <c r="Q489" s="258"/>
      <c r="R489" s="258"/>
      <c r="S489" s="258"/>
      <c r="T489" s="258"/>
      <c r="U489" s="380"/>
      <c r="V489" s="380"/>
      <c r="W489" s="380"/>
      <c r="X489" s="231"/>
      <c r="Y489" s="232"/>
      <c r="Z489" s="251"/>
      <c r="AA489" s="503" t="s">
        <v>919</v>
      </c>
      <c r="AB489" s="499"/>
      <c r="AC489" s="149">
        <f>K475</f>
        <v>31686</v>
      </c>
      <c r="AD489" s="252"/>
      <c r="AE489" s="253"/>
      <c r="AF489" s="253"/>
      <c r="AG489" s="253"/>
      <c r="AH489" s="253"/>
      <c r="AI489" s="235"/>
      <c r="AJ489" s="235"/>
      <c r="AK489" s="235"/>
      <c r="AL489" s="235"/>
      <c r="AM489" s="235"/>
      <c r="AN489" s="235"/>
      <c r="AO489" s="235"/>
      <c r="AP489" s="235"/>
      <c r="AQ489" s="235"/>
      <c r="AR489" s="235"/>
      <c r="AS489" s="235"/>
      <c r="AT489" s="235"/>
      <c r="AU489" s="235"/>
      <c r="AV489" s="235"/>
      <c r="AW489" s="235"/>
      <c r="AX489" s="235"/>
      <c r="AY489" s="235"/>
      <c r="AZ489" s="235"/>
      <c r="BA489" s="235"/>
      <c r="BB489" s="235"/>
      <c r="BC489" s="235"/>
      <c r="BD489" s="235"/>
      <c r="BE489" s="235"/>
      <c r="BF489" s="235"/>
      <c r="BG489" s="235"/>
      <c r="BH489" s="235"/>
      <c r="BI489" s="235"/>
      <c r="BJ489" s="235"/>
      <c r="BK489" s="235"/>
      <c r="BL489" s="235"/>
      <c r="BM489" s="235"/>
      <c r="BN489" s="234"/>
      <c r="BO489" s="235"/>
      <c r="BP489" s="234"/>
      <c r="BQ489" s="93"/>
      <c r="BR489" s="93"/>
      <c r="BS489" s="234"/>
      <c r="BT489" s="234"/>
      <c r="BU489" s="93" t="str">
        <f t="shared" si="781"/>
        <v/>
      </c>
      <c r="BV489" s="93" t="str">
        <f t="shared" si="782"/>
        <v/>
      </c>
      <c r="BW489" s="234"/>
      <c r="BX489" s="1"/>
      <c r="BY489" s="1"/>
      <c r="BZ489" s="1"/>
      <c r="CA489" s="1"/>
      <c r="CB489" s="1"/>
      <c r="CC489" s="1"/>
      <c r="CD489" s="1"/>
      <c r="CE489" s="1"/>
      <c r="CF489" s="1"/>
      <c r="CG489" s="1"/>
    </row>
    <row r="490" spans="1:85" ht="15.75" customHeight="1">
      <c r="A490" s="242"/>
      <c r="B490" s="452"/>
      <c r="C490" s="409"/>
      <c r="D490" s="254" t="s">
        <v>920</v>
      </c>
      <c r="E490" s="259"/>
      <c r="F490" s="260"/>
      <c r="G490" s="260">
        <f>BN3</f>
        <v>2904130.96</v>
      </c>
      <c r="H490" s="260">
        <f>BO3</f>
        <v>2016019.06</v>
      </c>
      <c r="I490" s="257">
        <f>G490/O485</f>
        <v>1.231743454405823</v>
      </c>
      <c r="J490" s="257">
        <f>H490/Q485</f>
        <v>1</v>
      </c>
      <c r="K490" s="522" t="s">
        <v>650</v>
      </c>
      <c r="L490" s="499"/>
      <c r="M490" s="262">
        <f>SUM(AM483:AR483)+SUM(AM485:AR485)</f>
        <v>203316</v>
      </c>
      <c r="N490" s="32">
        <f t="shared" si="784"/>
        <v>2.6536926162905941E-2</v>
      </c>
      <c r="O490" s="258"/>
      <c r="P490" s="258"/>
      <c r="Q490" s="258"/>
      <c r="R490" s="258"/>
      <c r="S490" s="258"/>
      <c r="T490" s="258"/>
      <c r="U490" s="380"/>
      <c r="V490" s="380"/>
      <c r="W490" s="380"/>
      <c r="X490" s="231"/>
      <c r="Y490" s="232"/>
      <c r="Z490" s="251"/>
      <c r="AA490" s="503" t="s">
        <v>921</v>
      </c>
      <c r="AB490" s="499"/>
      <c r="AC490" s="149">
        <f>K476+K478</f>
        <v>907412.49</v>
      </c>
      <c r="AD490" s="252"/>
      <c r="AE490" s="253"/>
      <c r="AF490" s="253"/>
      <c r="AG490" s="253"/>
      <c r="AH490" s="253"/>
      <c r="AI490" s="235"/>
      <c r="AJ490" s="235"/>
      <c r="AK490" s="235"/>
      <c r="AL490" s="235"/>
      <c r="AM490" s="235"/>
      <c r="AN490" s="235"/>
      <c r="AO490" s="235"/>
      <c r="AP490" s="235"/>
      <c r="AQ490" s="235"/>
      <c r="AR490" s="235"/>
      <c r="AS490" s="235"/>
      <c r="AT490" s="235"/>
      <c r="AU490" s="235"/>
      <c r="AV490" s="235"/>
      <c r="AW490" s="235"/>
      <c r="AX490" s="235"/>
      <c r="AY490" s="235"/>
      <c r="AZ490" s="235"/>
      <c r="BA490" s="235"/>
      <c r="BB490" s="235"/>
      <c r="BC490" s="235"/>
      <c r="BD490" s="235"/>
      <c r="BE490" s="235"/>
      <c r="BF490" s="235"/>
      <c r="BG490" s="235"/>
      <c r="BH490" s="235"/>
      <c r="BI490" s="235"/>
      <c r="BJ490" s="235"/>
      <c r="BK490" s="235"/>
      <c r="BL490" s="235"/>
      <c r="BM490" s="235"/>
      <c r="BN490" s="234"/>
      <c r="BO490" s="235"/>
      <c r="BP490" s="234"/>
      <c r="BQ490" s="93"/>
      <c r="BR490" s="93"/>
      <c r="BS490" s="234"/>
      <c r="BT490" s="234"/>
      <c r="BU490" s="93" t="str">
        <f t="shared" si="781"/>
        <v/>
      </c>
      <c r="BV490" s="93" t="str">
        <f t="shared" si="782"/>
        <v/>
      </c>
      <c r="BW490" s="234"/>
      <c r="BX490" s="1"/>
      <c r="BY490" s="1"/>
      <c r="BZ490" s="1"/>
      <c r="CA490" s="1"/>
      <c r="CB490" s="1"/>
      <c r="CC490" s="1"/>
      <c r="CD490" s="1"/>
      <c r="CE490" s="1"/>
      <c r="CF490" s="1"/>
      <c r="CG490" s="1"/>
    </row>
    <row r="491" spans="1:85" ht="15.75" customHeight="1">
      <c r="A491" s="263"/>
      <c r="B491" s="451"/>
      <c r="C491" s="409"/>
      <c r="D491" s="264" t="s">
        <v>922</v>
      </c>
      <c r="E491" s="265"/>
      <c r="F491" s="266"/>
      <c r="G491" s="266">
        <f>L484-P485-M484</f>
        <v>729849.71999999939</v>
      </c>
      <c r="H491" s="264"/>
      <c r="I491" s="267">
        <f>G491/L484</f>
        <v>0.19544697782285564</v>
      </c>
      <c r="J491" s="268"/>
      <c r="K491" s="522" t="s">
        <v>923</v>
      </c>
      <c r="L491" s="499"/>
      <c r="M491" s="262">
        <f>SUM(AS483:AX483)+SUM(AS485:AX485)</f>
        <v>61482.48</v>
      </c>
      <c r="N491" s="32">
        <f t="shared" si="784"/>
        <v>8.0247301347279171E-3</v>
      </c>
      <c r="O491" s="235"/>
      <c r="P491" s="235"/>
      <c r="Q491" s="235"/>
      <c r="R491" s="235"/>
      <c r="S491" s="235"/>
      <c r="T491" s="235"/>
      <c r="U491" s="381"/>
      <c r="V491" s="381"/>
      <c r="W491" s="381"/>
      <c r="X491" s="269"/>
      <c r="Y491" s="270"/>
      <c r="Z491" s="269"/>
      <c r="AA491" s="503" t="s">
        <v>924</v>
      </c>
      <c r="AB491" s="499"/>
      <c r="AC491" s="149">
        <f>K477</f>
        <v>110371.35</v>
      </c>
      <c r="AD491" s="235"/>
      <c r="AE491" s="253"/>
      <c r="AF491" s="253"/>
      <c r="AG491" s="253"/>
      <c r="AH491" s="253"/>
      <c r="AI491" s="235"/>
      <c r="AJ491" s="235"/>
      <c r="AK491" s="235"/>
      <c r="AL491" s="235"/>
      <c r="AM491" s="235"/>
      <c r="AN491" s="235"/>
      <c r="AO491" s="235"/>
      <c r="AP491" s="235"/>
      <c r="AQ491" s="235"/>
      <c r="AR491" s="235"/>
      <c r="AS491" s="235"/>
      <c r="AT491" s="235"/>
      <c r="AU491" s="235"/>
      <c r="AV491" s="235"/>
      <c r="AW491" s="235"/>
      <c r="AX491" s="235"/>
      <c r="AY491" s="235"/>
      <c r="AZ491" s="235"/>
      <c r="BA491" s="235"/>
      <c r="BB491" s="235"/>
      <c r="BC491" s="235"/>
      <c r="BD491" s="235"/>
      <c r="BE491" s="235"/>
      <c r="BF491" s="235"/>
      <c r="BG491" s="235"/>
      <c r="BH491" s="235"/>
      <c r="BI491" s="235"/>
      <c r="BJ491" s="235"/>
      <c r="BK491" s="235"/>
      <c r="BL491" s="235"/>
      <c r="BM491" s="235"/>
      <c r="BN491" s="234"/>
      <c r="BO491" s="235"/>
      <c r="BP491" s="234"/>
      <c r="BQ491" s="93"/>
      <c r="BR491" s="93"/>
      <c r="BS491" s="234"/>
      <c r="BT491" s="234"/>
      <c r="BU491" s="93" t="str">
        <f t="shared" si="781"/>
        <v/>
      </c>
      <c r="BV491" s="93" t="str">
        <f t="shared" si="782"/>
        <v/>
      </c>
      <c r="BW491" s="234"/>
      <c r="BX491" s="1"/>
      <c r="BY491" s="1"/>
      <c r="BZ491" s="1"/>
      <c r="CA491" s="1"/>
      <c r="CB491" s="1"/>
      <c r="CC491" s="1"/>
      <c r="CD491" s="1"/>
      <c r="CE491" s="1"/>
      <c r="CF491" s="1"/>
      <c r="CG491" s="1"/>
    </row>
    <row r="492" spans="1:85" ht="15.75" customHeight="1">
      <c r="A492" s="263"/>
      <c r="B492" s="451"/>
      <c r="C492" s="409"/>
      <c r="D492" s="264" t="s">
        <v>925</v>
      </c>
      <c r="E492" s="271"/>
      <c r="F492" s="264"/>
      <c r="G492" s="266">
        <f>P485</f>
        <v>2889888.38</v>
      </c>
      <c r="H492" s="272"/>
      <c r="I492" s="267">
        <f>G492/L484</f>
        <v>0.77388527341818891</v>
      </c>
      <c r="J492" s="273"/>
      <c r="K492" s="522" t="s">
        <v>926</v>
      </c>
      <c r="L492" s="499"/>
      <c r="M492" s="262">
        <f>SUM(AY483:BD483)+SUM(AY485:BD485)</f>
        <v>222166.8</v>
      </c>
      <c r="N492" s="32">
        <f t="shared" si="784"/>
        <v>2.8997343875784943E-2</v>
      </c>
      <c r="O492" s="235"/>
      <c r="P492" s="235"/>
      <c r="Q492" s="235"/>
      <c r="R492" s="235"/>
      <c r="S492" s="235"/>
      <c r="T492" s="235"/>
      <c r="U492" s="381"/>
      <c r="V492" s="381"/>
      <c r="W492" s="381"/>
      <c r="X492" s="269"/>
      <c r="Y492" s="270"/>
      <c r="Z492" s="269"/>
      <c r="AA492" s="503" t="s">
        <v>927</v>
      </c>
      <c r="AB492" s="499"/>
      <c r="AC492" s="149">
        <f>K479</f>
        <v>46289</v>
      </c>
      <c r="AD492" s="235"/>
      <c r="AE492" s="253"/>
      <c r="AF492" s="253"/>
      <c r="AG492" s="253"/>
      <c r="AH492" s="253"/>
      <c r="AI492" s="235"/>
      <c r="AJ492" s="235"/>
      <c r="AK492" s="235"/>
      <c r="AL492" s="235"/>
      <c r="AM492" s="235"/>
      <c r="AN492" s="235"/>
      <c r="AO492" s="235"/>
      <c r="AP492" s="235"/>
      <c r="AQ492" s="235"/>
      <c r="AR492" s="235"/>
      <c r="AS492" s="235"/>
      <c r="AT492" s="235"/>
      <c r="AU492" s="235"/>
      <c r="AV492" s="235"/>
      <c r="AW492" s="235"/>
      <c r="AX492" s="235"/>
      <c r="AY492" s="235"/>
      <c r="AZ492" s="235"/>
      <c r="BA492" s="235"/>
      <c r="BB492" s="235"/>
      <c r="BC492" s="235"/>
      <c r="BD492" s="235"/>
      <c r="BE492" s="235"/>
      <c r="BF492" s="235"/>
      <c r="BG492" s="235"/>
      <c r="BH492" s="235"/>
      <c r="BI492" s="235"/>
      <c r="BJ492" s="235"/>
      <c r="BK492" s="235"/>
      <c r="BL492" s="235"/>
      <c r="BM492" s="235"/>
      <c r="BN492" s="234"/>
      <c r="BO492" s="235"/>
      <c r="BP492" s="234"/>
      <c r="BQ492" s="93"/>
      <c r="BR492" s="93"/>
      <c r="BS492" s="234"/>
      <c r="BT492" s="234"/>
      <c r="BU492" s="93" t="str">
        <f t="shared" si="781"/>
        <v/>
      </c>
      <c r="BV492" s="93" t="str">
        <f t="shared" si="782"/>
        <v/>
      </c>
      <c r="BW492" s="234"/>
      <c r="BX492" s="1"/>
      <c r="BY492" s="1"/>
      <c r="BZ492" s="1"/>
      <c r="CA492" s="1"/>
      <c r="CB492" s="1"/>
      <c r="CC492" s="1"/>
      <c r="CD492" s="1"/>
      <c r="CE492" s="1"/>
      <c r="CF492" s="1"/>
      <c r="CG492" s="1"/>
    </row>
    <row r="493" spans="1:85" ht="15.75" customHeight="1">
      <c r="A493" s="263"/>
      <c r="B493" s="451"/>
      <c r="C493" s="409"/>
      <c r="D493" s="264" t="s">
        <v>928</v>
      </c>
      <c r="E493" s="271"/>
      <c r="F493" s="264"/>
      <c r="G493" s="266">
        <f>M484</f>
        <v>114521.33</v>
      </c>
      <c r="H493" s="272"/>
      <c r="I493" s="267">
        <f>G493/L484</f>
        <v>3.0667748758955407E-2</v>
      </c>
      <c r="J493" s="273"/>
      <c r="K493" s="523" t="s">
        <v>929</v>
      </c>
      <c r="L493" s="499"/>
      <c r="M493" s="274">
        <f>SUM(M488:M492)</f>
        <v>7661625.8700000001</v>
      </c>
      <c r="N493" s="275">
        <f t="shared" si="784"/>
        <v>1</v>
      </c>
      <c r="O493" s="235"/>
      <c r="P493" s="235"/>
      <c r="Q493" s="235"/>
      <c r="R493" s="235"/>
      <c r="S493" s="235"/>
      <c r="T493" s="235"/>
      <c r="U493" s="381"/>
      <c r="V493" s="381"/>
      <c r="W493" s="381"/>
      <c r="X493" s="269"/>
      <c r="Y493" s="270"/>
      <c r="Z493" s="269"/>
      <c r="AA493" s="517" t="s">
        <v>114</v>
      </c>
      <c r="AB493" s="499"/>
      <c r="AC493" s="260">
        <f>SUM(AC488:AC492)</f>
        <v>1138714.8400000001</v>
      </c>
      <c r="AD493" s="235"/>
      <c r="AE493" s="253"/>
      <c r="AF493" s="253"/>
      <c r="AG493" s="253"/>
      <c r="AH493" s="253"/>
      <c r="AI493" s="235"/>
      <c r="AJ493" s="235"/>
      <c r="AK493" s="235"/>
      <c r="AL493" s="235"/>
      <c r="AM493" s="235"/>
      <c r="AN493" s="235"/>
      <c r="AO493" s="235"/>
      <c r="AP493" s="235"/>
      <c r="AQ493" s="235"/>
      <c r="AR493" s="235"/>
      <c r="AS493" s="235"/>
      <c r="AT493" s="235"/>
      <c r="AU493" s="235"/>
      <c r="AV493" s="235"/>
      <c r="AW493" s="235"/>
      <c r="AX493" s="235"/>
      <c r="AY493" s="235"/>
      <c r="AZ493" s="235"/>
      <c r="BA493" s="235"/>
      <c r="BB493" s="235"/>
      <c r="BC493" s="235"/>
      <c r="BD493" s="235"/>
      <c r="BE493" s="235"/>
      <c r="BF493" s="235"/>
      <c r="BG493" s="235"/>
      <c r="BH493" s="235"/>
      <c r="BI493" s="235"/>
      <c r="BJ493" s="235"/>
      <c r="BK493" s="235"/>
      <c r="BL493" s="235"/>
      <c r="BM493" s="235"/>
      <c r="BN493" s="234"/>
      <c r="BO493" s="235"/>
      <c r="BP493" s="234"/>
      <c r="BQ493" s="93"/>
      <c r="BR493" s="93"/>
      <c r="BS493" s="234"/>
      <c r="BT493" s="234"/>
      <c r="BU493" s="93" t="str">
        <f t="shared" si="781"/>
        <v/>
      </c>
      <c r="BV493" s="93" t="str">
        <f t="shared" si="782"/>
        <v/>
      </c>
      <c r="BW493" s="234"/>
      <c r="BX493" s="1"/>
      <c r="BY493" s="1"/>
      <c r="BZ493" s="1"/>
      <c r="CA493" s="1"/>
      <c r="CB493" s="1"/>
      <c r="CC493" s="1"/>
      <c r="CD493" s="1"/>
      <c r="CE493" s="1"/>
      <c r="CF493" s="1"/>
      <c r="CG493" s="1"/>
    </row>
    <row r="494" spans="1:85" ht="15.75" customHeight="1">
      <c r="A494" s="276"/>
      <c r="B494" s="453"/>
      <c r="C494" s="410"/>
      <c r="D494" s="277"/>
      <c r="E494" s="278"/>
      <c r="F494" s="235"/>
      <c r="G494" s="279"/>
      <c r="H494" s="279"/>
      <c r="I494" s="269"/>
      <c r="J494" s="269"/>
      <c r="K494" s="235"/>
      <c r="L494" s="280"/>
      <c r="M494" s="235"/>
      <c r="N494" s="235"/>
      <c r="O494" s="235"/>
      <c r="P494" s="235"/>
      <c r="Q494" s="235"/>
      <c r="R494" s="235"/>
      <c r="S494" s="235"/>
      <c r="T494" s="235"/>
      <c r="U494" s="381"/>
      <c r="V494" s="381"/>
      <c r="W494" s="381"/>
      <c r="X494" s="269"/>
      <c r="Y494" s="270"/>
      <c r="Z494" s="269"/>
      <c r="AA494" s="235"/>
      <c r="AB494" s="235"/>
      <c r="AC494" s="235"/>
      <c r="AD494" s="235"/>
      <c r="AE494" s="253"/>
      <c r="AF494" s="253"/>
      <c r="AG494" s="253"/>
      <c r="AH494" s="253"/>
      <c r="AI494" s="235"/>
      <c r="AJ494" s="235"/>
      <c r="AK494" s="235"/>
      <c r="AL494" s="235"/>
      <c r="AM494" s="235"/>
      <c r="AN494" s="235"/>
      <c r="AO494" s="235"/>
      <c r="AP494" s="235"/>
      <c r="AQ494" s="235"/>
      <c r="AR494" s="235"/>
      <c r="AS494" s="235"/>
      <c r="AT494" s="235"/>
      <c r="AU494" s="235"/>
      <c r="AV494" s="235"/>
      <c r="AW494" s="235"/>
      <c r="AX494" s="235"/>
      <c r="AY494" s="235"/>
      <c r="AZ494" s="235"/>
      <c r="BA494" s="235"/>
      <c r="BB494" s="235"/>
      <c r="BC494" s="235"/>
      <c r="BD494" s="235"/>
      <c r="BE494" s="235"/>
      <c r="BF494" s="235"/>
      <c r="BG494" s="235"/>
      <c r="BH494" s="235"/>
      <c r="BI494" s="235"/>
      <c r="BJ494" s="235"/>
      <c r="BK494" s="235"/>
      <c r="BL494" s="235"/>
      <c r="BM494" s="235"/>
      <c r="BN494" s="234"/>
      <c r="BO494" s="235"/>
      <c r="BP494" s="234"/>
      <c r="BQ494" s="93"/>
      <c r="BR494" s="93"/>
      <c r="BS494" s="234"/>
      <c r="BT494" s="234"/>
      <c r="BU494" s="93" t="str">
        <f t="shared" si="781"/>
        <v/>
      </c>
      <c r="BV494" s="93" t="str">
        <f t="shared" si="782"/>
        <v/>
      </c>
      <c r="BW494" s="234"/>
      <c r="BX494" s="1"/>
      <c r="BY494" s="1"/>
      <c r="BZ494" s="1"/>
      <c r="CA494" s="1"/>
      <c r="CB494" s="1"/>
      <c r="CC494" s="1"/>
      <c r="CD494" s="1"/>
      <c r="CE494" s="1"/>
      <c r="CF494" s="1"/>
      <c r="CG494" s="1"/>
    </row>
    <row r="495" spans="1:85" ht="15.75" customHeight="1">
      <c r="A495" s="276"/>
      <c r="B495" s="453"/>
      <c r="C495" s="410"/>
      <c r="D495" s="277"/>
      <c r="E495" s="278"/>
      <c r="F495" s="235"/>
      <c r="G495" s="279"/>
      <c r="H495" s="279"/>
      <c r="I495" s="269"/>
      <c r="J495" s="269"/>
      <c r="K495" s="235"/>
      <c r="L495" s="280"/>
      <c r="M495" s="235"/>
      <c r="N495" s="235"/>
      <c r="O495" s="235"/>
      <c r="P495" s="235"/>
      <c r="Q495" s="235"/>
      <c r="R495" s="235"/>
      <c r="S495" s="235"/>
      <c r="T495" s="235"/>
      <c r="U495" s="381"/>
      <c r="V495" s="381"/>
      <c r="W495" s="381"/>
      <c r="X495" s="269"/>
      <c r="Y495" s="270"/>
      <c r="Z495" s="269"/>
      <c r="AA495" s="235"/>
      <c r="AB495" s="235"/>
      <c r="AC495" s="235"/>
      <c r="AD495" s="235"/>
      <c r="AE495" s="253"/>
      <c r="AF495" s="253"/>
      <c r="AG495" s="253"/>
      <c r="AH495" s="253"/>
      <c r="AI495" s="235"/>
      <c r="AJ495" s="235"/>
      <c r="AK495" s="235"/>
      <c r="AL495" s="235"/>
      <c r="AM495" s="235"/>
      <c r="AN495" s="235"/>
      <c r="AO495" s="235"/>
      <c r="AP495" s="235"/>
      <c r="AQ495" s="235"/>
      <c r="AR495" s="235"/>
      <c r="AS495" s="235"/>
      <c r="AT495" s="235"/>
      <c r="AU495" s="235"/>
      <c r="AV495" s="235"/>
      <c r="AW495" s="235"/>
      <c r="AX495" s="235"/>
      <c r="AY495" s="235"/>
      <c r="AZ495" s="235"/>
      <c r="BA495" s="235"/>
      <c r="BB495" s="235"/>
      <c r="BC495" s="235"/>
      <c r="BD495" s="235"/>
      <c r="BE495" s="235"/>
      <c r="BF495" s="235"/>
      <c r="BG495" s="235"/>
      <c r="BH495" s="235"/>
      <c r="BI495" s="235"/>
      <c r="BJ495" s="235"/>
      <c r="BK495" s="235"/>
      <c r="BL495" s="235"/>
      <c r="BM495" s="235"/>
      <c r="BN495" s="234"/>
      <c r="BO495" s="235"/>
      <c r="BP495" s="234"/>
      <c r="BQ495" s="93"/>
      <c r="BR495" s="93"/>
      <c r="BS495" s="234"/>
      <c r="BT495" s="234"/>
      <c r="BU495" s="93"/>
      <c r="BV495" s="93"/>
      <c r="BW495" s="234"/>
      <c r="BX495" s="1"/>
      <c r="BY495" s="1"/>
      <c r="BZ495" s="1"/>
      <c r="CA495" s="1"/>
      <c r="CB495" s="1"/>
      <c r="CC495" s="1"/>
      <c r="CD495" s="1"/>
      <c r="CE495" s="1"/>
      <c r="CF495" s="1"/>
      <c r="CG495" s="1"/>
    </row>
    <row r="496" spans="1:85" ht="15.75" customHeight="1">
      <c r="A496" s="276"/>
      <c r="B496" s="453"/>
      <c r="C496" s="411"/>
      <c r="D496" s="281"/>
      <c r="E496" s="278"/>
      <c r="F496" s="235"/>
      <c r="G496" s="279"/>
      <c r="H496" s="279"/>
      <c r="I496" s="269"/>
      <c r="J496" s="269"/>
      <c r="K496" s="235"/>
      <c r="L496" s="280"/>
      <c r="M496" s="235"/>
      <c r="N496" s="235"/>
      <c r="O496" s="235"/>
      <c r="P496" s="235"/>
      <c r="Q496" s="235"/>
      <c r="R496" s="235"/>
      <c r="S496" s="235"/>
      <c r="T496" s="235"/>
      <c r="U496" s="381"/>
      <c r="V496" s="381"/>
      <c r="W496" s="381"/>
      <c r="X496" s="269"/>
      <c r="Y496" s="270"/>
      <c r="Z496" s="269"/>
      <c r="AA496" s="235"/>
      <c r="AB496" s="235"/>
      <c r="AC496" s="235"/>
      <c r="AD496" s="235"/>
      <c r="AE496" s="253"/>
      <c r="AF496" s="253"/>
      <c r="AG496" s="253"/>
      <c r="AH496" s="253"/>
      <c r="AI496" s="235"/>
      <c r="AJ496" s="235"/>
      <c r="AK496" s="235"/>
      <c r="AL496" s="235"/>
      <c r="AM496" s="235"/>
      <c r="AN496" s="235"/>
      <c r="AO496" s="235"/>
      <c r="AP496" s="235"/>
      <c r="AQ496" s="235"/>
      <c r="AR496" s="235"/>
      <c r="AS496" s="235"/>
      <c r="AT496" s="235"/>
      <c r="AU496" s="235"/>
      <c r="AV496" s="235"/>
      <c r="AW496" s="235"/>
      <c r="AX496" s="235"/>
      <c r="AY496" s="235"/>
      <c r="AZ496" s="235"/>
      <c r="BA496" s="235"/>
      <c r="BB496" s="235"/>
      <c r="BC496" s="235"/>
      <c r="BD496" s="235"/>
      <c r="BE496" s="235"/>
      <c r="BF496" s="235"/>
      <c r="BG496" s="235"/>
      <c r="BH496" s="235"/>
      <c r="BI496" s="235"/>
      <c r="BJ496" s="235"/>
      <c r="BK496" s="235"/>
      <c r="BL496" s="235"/>
      <c r="BM496" s="235"/>
      <c r="BN496" s="234"/>
      <c r="BO496" s="235"/>
      <c r="BP496" s="234"/>
      <c r="BQ496" s="93"/>
      <c r="BR496" s="93"/>
      <c r="BS496" s="234"/>
      <c r="BT496" s="234"/>
      <c r="BU496" s="93"/>
      <c r="BV496" s="93"/>
      <c r="BW496" s="234"/>
      <c r="BX496" s="1"/>
      <c r="BY496" s="1"/>
      <c r="BZ496" s="1"/>
      <c r="CA496" s="1"/>
      <c r="CB496" s="1"/>
      <c r="CC496" s="1"/>
      <c r="CD496" s="1"/>
      <c r="CE496" s="1"/>
      <c r="CF496" s="1"/>
      <c r="CG496" s="1"/>
    </row>
    <row r="497" spans="1:85" ht="15.75" customHeight="1">
      <c r="A497" s="276"/>
      <c r="B497" s="454"/>
      <c r="C497" s="412"/>
      <c r="D497" s="282"/>
      <c r="E497" s="518" t="s">
        <v>52</v>
      </c>
      <c r="F497" s="519"/>
      <c r="G497" s="519"/>
      <c r="H497" s="519"/>
      <c r="I497" s="519"/>
      <c r="J497" s="519"/>
      <c r="K497" s="520" t="s">
        <v>53</v>
      </c>
      <c r="L497" s="519"/>
      <c r="M497" s="519"/>
      <c r="N497" s="519"/>
      <c r="O497" s="285"/>
      <c r="P497" s="285"/>
      <c r="Q497" s="285"/>
      <c r="R497" s="285"/>
      <c r="S497" s="285"/>
      <c r="T497" s="285"/>
      <c r="U497" s="382"/>
      <c r="V497" s="382"/>
      <c r="W497" s="382"/>
      <c r="X497" s="285"/>
      <c r="Y497" s="286"/>
      <c r="Z497" s="285"/>
      <c r="AA497" s="285"/>
      <c r="AB497" s="285"/>
      <c r="AC497" s="285"/>
      <c r="AD497" s="285"/>
      <c r="AE497" s="287"/>
      <c r="AF497" s="287"/>
      <c r="AG497" s="287"/>
      <c r="AH497" s="287"/>
      <c r="AI497" s="285"/>
      <c r="AJ497" s="285"/>
      <c r="AK497" s="285"/>
      <c r="AL497" s="285"/>
      <c r="AM497" s="285"/>
      <c r="AN497" s="285"/>
      <c r="AO497" s="285"/>
      <c r="AP497" s="285"/>
      <c r="AQ497" s="285"/>
      <c r="AR497" s="285"/>
      <c r="AS497" s="285"/>
      <c r="AT497" s="285"/>
      <c r="AU497" s="285"/>
      <c r="AV497" s="285"/>
      <c r="AW497" s="285"/>
      <c r="AX497" s="285"/>
      <c r="AY497" s="285"/>
      <c r="AZ497" s="285"/>
      <c r="BA497" s="285"/>
      <c r="BB497" s="285"/>
      <c r="BC497" s="285"/>
      <c r="BD497" s="285"/>
      <c r="BE497" s="285"/>
      <c r="BF497" s="285"/>
      <c r="BG497" s="285"/>
      <c r="BH497" s="285"/>
      <c r="BI497" s="285"/>
      <c r="BJ497" s="285"/>
      <c r="BK497" s="285"/>
      <c r="BL497" s="285"/>
      <c r="BM497" s="285"/>
      <c r="BN497" s="288"/>
      <c r="BO497" s="285"/>
      <c r="BP497" s="288"/>
      <c r="BQ497" s="289"/>
      <c r="BR497" s="289"/>
      <c r="BS497" s="288"/>
      <c r="BT497" s="288"/>
      <c r="BU497" s="289"/>
      <c r="BV497" s="289"/>
      <c r="BW497" s="288"/>
      <c r="BX497" s="1"/>
      <c r="BY497" s="1"/>
      <c r="BZ497" s="1"/>
      <c r="CA497" s="1"/>
      <c r="CB497" s="1"/>
      <c r="CC497" s="1"/>
      <c r="CD497" s="1"/>
      <c r="CE497" s="1"/>
      <c r="CF497" s="1"/>
      <c r="CG497" s="1"/>
    </row>
    <row r="498" spans="1:85" ht="15.75" customHeight="1">
      <c r="A498" s="276"/>
      <c r="B498" s="454"/>
      <c r="C498" s="413" t="s">
        <v>930</v>
      </c>
      <c r="D498" s="290"/>
      <c r="E498" s="283" t="s">
        <v>85</v>
      </c>
      <c r="F498" s="284" t="s">
        <v>897</v>
      </c>
      <c r="G498" s="291" t="s">
        <v>931</v>
      </c>
      <c r="H498" s="291" t="s">
        <v>926</v>
      </c>
      <c r="I498" s="292"/>
      <c r="J498" s="292"/>
      <c r="K498" s="284" t="s">
        <v>85</v>
      </c>
      <c r="L498" s="293" t="s">
        <v>86</v>
      </c>
      <c r="M498" s="294" t="s">
        <v>932</v>
      </c>
      <c r="N498" s="284" t="s">
        <v>926</v>
      </c>
      <c r="O498" s="285"/>
      <c r="P498" s="285"/>
      <c r="Q498" s="285"/>
      <c r="R498" s="285"/>
      <c r="S498" s="285"/>
      <c r="T498" s="285"/>
      <c r="U498" s="382"/>
      <c r="V498" s="382"/>
      <c r="W498" s="382"/>
      <c r="X498" s="285"/>
      <c r="Y498" s="286"/>
      <c r="Z498" s="285"/>
      <c r="AA498" s="285"/>
      <c r="AB498" s="285"/>
      <c r="AC498" s="285"/>
      <c r="AD498" s="285"/>
      <c r="AE498" s="287"/>
      <c r="AF498" s="287"/>
      <c r="AG498" s="287"/>
      <c r="AH498" s="287"/>
      <c r="AI498" s="285"/>
      <c r="AJ498" s="285"/>
      <c r="AK498" s="285"/>
      <c r="AL498" s="285"/>
      <c r="AM498" s="285"/>
      <c r="AN498" s="285"/>
      <c r="AO498" s="285"/>
      <c r="AP498" s="285"/>
      <c r="AQ498" s="285"/>
      <c r="AR498" s="285"/>
      <c r="AS498" s="285"/>
      <c r="AT498" s="285"/>
      <c r="AU498" s="285"/>
      <c r="AV498" s="285"/>
      <c r="AW498" s="285"/>
      <c r="AX498" s="285"/>
      <c r="AY498" s="285"/>
      <c r="AZ498" s="285"/>
      <c r="BA498" s="285"/>
      <c r="BB498" s="285"/>
      <c r="BC498" s="285"/>
      <c r="BD498" s="285"/>
      <c r="BE498" s="285"/>
      <c r="BF498" s="285"/>
      <c r="BG498" s="285"/>
      <c r="BH498" s="285"/>
      <c r="BI498" s="285"/>
      <c r="BJ498" s="285"/>
      <c r="BK498" s="285"/>
      <c r="BL498" s="285"/>
      <c r="BM498" s="285"/>
      <c r="BN498" s="288"/>
      <c r="BO498" s="285"/>
      <c r="BP498" s="288"/>
      <c r="BQ498" s="289"/>
      <c r="BR498" s="289"/>
      <c r="BS498" s="288"/>
      <c r="BT498" s="288"/>
      <c r="BU498" s="289"/>
      <c r="BV498" s="289"/>
      <c r="BW498" s="288"/>
      <c r="BX498" s="1"/>
      <c r="BY498" s="1"/>
      <c r="BZ498" s="1"/>
      <c r="CA498" s="1"/>
      <c r="CB498" s="1"/>
      <c r="CC498" s="1"/>
      <c r="CD498" s="1"/>
      <c r="CE498" s="1"/>
      <c r="CF498" s="1"/>
      <c r="CG498" s="1"/>
    </row>
    <row r="499" spans="1:85" ht="15.75" customHeight="1">
      <c r="A499" s="295"/>
      <c r="B499" s="455"/>
      <c r="C499" s="414"/>
      <c r="D499" s="296" t="s">
        <v>933</v>
      </c>
      <c r="E499" s="297">
        <f>E3-E500</f>
        <v>0</v>
      </c>
      <c r="F499" s="297">
        <f>F3-F500</f>
        <v>0</v>
      </c>
      <c r="G499" s="297">
        <f>G3-G500</f>
        <v>0</v>
      </c>
      <c r="H499" s="297">
        <f>H3-H500</f>
        <v>0</v>
      </c>
      <c r="I499" s="298">
        <f t="shared" ref="I499:I500" si="785">IF(G499&gt;0,K499/G499,0)</f>
        <v>0</v>
      </c>
      <c r="J499" s="298">
        <f t="shared" ref="J499:J500" si="786">IF(G499&gt;0,O499/G499,0)</f>
        <v>0</v>
      </c>
      <c r="K499" s="297">
        <f t="shared" ref="K499:W499" si="787">K3-K500</f>
        <v>0</v>
      </c>
      <c r="L499" s="297">
        <f t="shared" si="787"/>
        <v>0</v>
      </c>
      <c r="M499" s="297">
        <f t="shared" si="787"/>
        <v>0</v>
      </c>
      <c r="N499" s="297">
        <f t="shared" si="787"/>
        <v>0</v>
      </c>
      <c r="O499" s="297">
        <f t="shared" si="787"/>
        <v>0</v>
      </c>
      <c r="P499" s="297">
        <f t="shared" si="787"/>
        <v>0</v>
      </c>
      <c r="Q499" s="297">
        <f t="shared" si="787"/>
        <v>0</v>
      </c>
      <c r="R499" s="297">
        <f t="shared" si="787"/>
        <v>0</v>
      </c>
      <c r="S499" s="297">
        <f t="shared" si="787"/>
        <v>0</v>
      </c>
      <c r="T499" s="297">
        <f t="shared" si="787"/>
        <v>0</v>
      </c>
      <c r="U499" s="383">
        <f t="shared" si="787"/>
        <v>0</v>
      </c>
      <c r="V499" s="383">
        <f t="shared" si="787"/>
        <v>0</v>
      </c>
      <c r="W499" s="383">
        <f t="shared" si="787"/>
        <v>0</v>
      </c>
      <c r="X499" s="299">
        <f t="shared" ref="X499:X530" si="788">IF(O499&gt;0,O499/K499,0)</f>
        <v>0</v>
      </c>
      <c r="Y499" s="299">
        <f t="shared" ref="Y499:Y530" si="789">IF(P499&gt;0,P499/L499,0)</f>
        <v>0</v>
      </c>
      <c r="Z499" s="299">
        <f t="shared" ref="Z499:Z593" si="790">IF(Q499&gt;0,Q499/N499,0)</f>
        <v>0</v>
      </c>
      <c r="AA499" s="297">
        <f t="shared" ref="AA499:BW499" si="791">AA3-AA500</f>
        <v>0</v>
      </c>
      <c r="AB499" s="297">
        <f t="shared" si="791"/>
        <v>0</v>
      </c>
      <c r="AC499" s="297">
        <f t="shared" si="791"/>
        <v>0</v>
      </c>
      <c r="AD499" s="297">
        <f t="shared" si="791"/>
        <v>0</v>
      </c>
      <c r="AE499" s="297">
        <f t="shared" si="791"/>
        <v>0</v>
      </c>
      <c r="AF499" s="297">
        <f t="shared" si="791"/>
        <v>0</v>
      </c>
      <c r="AG499" s="297">
        <f t="shared" si="791"/>
        <v>0</v>
      </c>
      <c r="AH499" s="297">
        <f t="shared" si="791"/>
        <v>0</v>
      </c>
      <c r="AI499" s="297">
        <f t="shared" si="791"/>
        <v>0</v>
      </c>
      <c r="AJ499" s="297">
        <f t="shared" si="791"/>
        <v>0</v>
      </c>
      <c r="AK499" s="297">
        <f t="shared" si="791"/>
        <v>0</v>
      </c>
      <c r="AL499" s="297">
        <f t="shared" si="791"/>
        <v>0</v>
      </c>
      <c r="AM499" s="297">
        <f t="shared" si="791"/>
        <v>0</v>
      </c>
      <c r="AN499" s="297">
        <f t="shared" si="791"/>
        <v>0</v>
      </c>
      <c r="AO499" s="297">
        <f t="shared" si="791"/>
        <v>0</v>
      </c>
      <c r="AP499" s="297">
        <f t="shared" si="791"/>
        <v>0</v>
      </c>
      <c r="AQ499" s="297">
        <f t="shared" si="791"/>
        <v>0</v>
      </c>
      <c r="AR499" s="297">
        <f t="shared" si="791"/>
        <v>0</v>
      </c>
      <c r="AS499" s="297">
        <f t="shared" si="791"/>
        <v>0</v>
      </c>
      <c r="AT499" s="297">
        <f t="shared" si="791"/>
        <v>0</v>
      </c>
      <c r="AU499" s="297">
        <f t="shared" si="791"/>
        <v>0</v>
      </c>
      <c r="AV499" s="297">
        <f t="shared" si="791"/>
        <v>0</v>
      </c>
      <c r="AW499" s="297">
        <f t="shared" si="791"/>
        <v>0</v>
      </c>
      <c r="AX499" s="297">
        <f t="shared" si="791"/>
        <v>0</v>
      </c>
      <c r="AY499" s="297">
        <f t="shared" si="791"/>
        <v>0</v>
      </c>
      <c r="AZ499" s="297">
        <f t="shared" si="791"/>
        <v>0</v>
      </c>
      <c r="BA499" s="297">
        <f t="shared" si="791"/>
        <v>0</v>
      </c>
      <c r="BB499" s="297">
        <f t="shared" si="791"/>
        <v>0</v>
      </c>
      <c r="BC499" s="297">
        <f t="shared" si="791"/>
        <v>0</v>
      </c>
      <c r="BD499" s="297">
        <f t="shared" si="791"/>
        <v>0</v>
      </c>
      <c r="BE499" s="297">
        <f t="shared" si="791"/>
        <v>0</v>
      </c>
      <c r="BF499" s="297">
        <f t="shared" si="791"/>
        <v>0</v>
      </c>
      <c r="BG499" s="297">
        <f t="shared" si="791"/>
        <v>0</v>
      </c>
      <c r="BH499" s="297">
        <f t="shared" si="791"/>
        <v>0</v>
      </c>
      <c r="BI499" s="297">
        <f t="shared" si="791"/>
        <v>0</v>
      </c>
      <c r="BJ499" s="297">
        <f t="shared" si="791"/>
        <v>0</v>
      </c>
      <c r="BK499" s="297">
        <f t="shared" si="791"/>
        <v>0</v>
      </c>
      <c r="BL499" s="297">
        <f t="shared" si="791"/>
        <v>0</v>
      </c>
      <c r="BM499" s="297">
        <f t="shared" si="791"/>
        <v>0</v>
      </c>
      <c r="BN499" s="297">
        <f t="shared" si="791"/>
        <v>0</v>
      </c>
      <c r="BO499" s="297">
        <f t="shared" si="791"/>
        <v>0</v>
      </c>
      <c r="BP499" s="297">
        <f t="shared" si="791"/>
        <v>0</v>
      </c>
      <c r="BQ499" s="297">
        <f t="shared" si="791"/>
        <v>0</v>
      </c>
      <c r="BR499" s="297">
        <f t="shared" si="791"/>
        <v>0</v>
      </c>
      <c r="BS499" s="297">
        <f t="shared" si="791"/>
        <v>0</v>
      </c>
      <c r="BT499" s="297">
        <f t="shared" si="791"/>
        <v>0</v>
      </c>
      <c r="BU499" s="297">
        <f t="shared" si="791"/>
        <v>0</v>
      </c>
      <c r="BV499" s="297">
        <f t="shared" si="791"/>
        <v>0</v>
      </c>
      <c r="BW499" s="297">
        <f t="shared" si="791"/>
        <v>0</v>
      </c>
      <c r="BX499" s="1"/>
      <c r="BY499" s="1"/>
      <c r="BZ499" s="1"/>
      <c r="CA499" s="1"/>
      <c r="CB499" s="1"/>
      <c r="CC499" s="1"/>
      <c r="CD499" s="1"/>
      <c r="CE499" s="1"/>
      <c r="CF499" s="1"/>
      <c r="CG499" s="1"/>
    </row>
    <row r="500" spans="1:85" ht="15.75" customHeight="1">
      <c r="A500" s="295"/>
      <c r="B500" s="455"/>
      <c r="C500" s="415" t="s">
        <v>934</v>
      </c>
      <c r="D500" s="300" t="s">
        <v>114</v>
      </c>
      <c r="E500" s="301">
        <f>SUM(E501:E593)</f>
        <v>4628865.2</v>
      </c>
      <c r="F500" s="302">
        <f>F3</f>
        <v>504546</v>
      </c>
      <c r="G500" s="301">
        <f>SUM(G501:G593)</f>
        <v>4124319.1999999997</v>
      </c>
      <c r="H500" s="301">
        <f>SUM(H501:H593)</f>
        <v>13139944.870000001</v>
      </c>
      <c r="I500" s="303">
        <f t="shared" si="785"/>
        <v>1.1578434108591791</v>
      </c>
      <c r="J500" s="303">
        <f t="shared" si="786"/>
        <v>0.70414796216548903</v>
      </c>
      <c r="K500" s="301">
        <f>SUM(K501:K593)</f>
        <v>4775315.8100000005</v>
      </c>
      <c r="L500" s="301">
        <f t="shared" ref="L500:W500" si="792">SUM(L501:L593)</f>
        <v>3734259.43</v>
      </c>
      <c r="M500" s="304">
        <f t="shared" si="792"/>
        <v>114521.33</v>
      </c>
      <c r="N500" s="301">
        <f t="shared" si="792"/>
        <v>3320428.75</v>
      </c>
      <c r="O500" s="301">
        <f t="shared" si="792"/>
        <v>2904130.96</v>
      </c>
      <c r="P500" s="301">
        <f t="shared" si="792"/>
        <v>2889888.38</v>
      </c>
      <c r="Q500" s="301">
        <f t="shared" si="792"/>
        <v>2016019.0599999998</v>
      </c>
      <c r="R500" s="302">
        <f t="shared" si="792"/>
        <v>2904130.96</v>
      </c>
      <c r="S500" s="302">
        <f t="shared" si="792"/>
        <v>2889888.38</v>
      </c>
      <c r="T500" s="302">
        <f t="shared" si="792"/>
        <v>2016019.0599999998</v>
      </c>
      <c r="U500" s="384">
        <f t="shared" si="792"/>
        <v>1871184.8499999999</v>
      </c>
      <c r="V500" s="384">
        <f t="shared" si="792"/>
        <v>729849.72</v>
      </c>
      <c r="W500" s="384">
        <f t="shared" si="792"/>
        <v>1304409.69</v>
      </c>
      <c r="X500" s="305">
        <f t="shared" si="788"/>
        <v>0.60815474317289175</v>
      </c>
      <c r="Y500" s="305">
        <f t="shared" si="789"/>
        <v>0.7738852734181888</v>
      </c>
      <c r="Z500" s="305">
        <f t="shared" si="790"/>
        <v>0.60715624751773389</v>
      </c>
      <c r="AA500" s="301">
        <f t="shared" ref="AA500:BW500" si="793">SUM(AA501:AA593)</f>
        <v>117632.43</v>
      </c>
      <c r="AB500" s="301">
        <f t="shared" si="793"/>
        <v>436924.13</v>
      </c>
      <c r="AC500" s="301">
        <f t="shared" si="793"/>
        <v>0</v>
      </c>
      <c r="AD500" s="301">
        <f t="shared" si="793"/>
        <v>103253.87</v>
      </c>
      <c r="AE500" s="301">
        <f t="shared" si="793"/>
        <v>376933.12999999989</v>
      </c>
      <c r="AF500" s="301">
        <f t="shared" si="793"/>
        <v>405.27</v>
      </c>
      <c r="AG500" s="301">
        <f t="shared" si="793"/>
        <v>316244.53999999998</v>
      </c>
      <c r="AH500" s="301">
        <f t="shared" si="793"/>
        <v>758963.84000000008</v>
      </c>
      <c r="AI500" s="301">
        <f t="shared" si="793"/>
        <v>106717.36</v>
      </c>
      <c r="AJ500" s="301">
        <f t="shared" si="793"/>
        <v>270181.07</v>
      </c>
      <c r="AK500" s="301">
        <f t="shared" si="793"/>
        <v>327810.0199999999</v>
      </c>
      <c r="AL500" s="301">
        <f t="shared" si="793"/>
        <v>203632.5</v>
      </c>
      <c r="AM500" s="301">
        <f t="shared" si="793"/>
        <v>295124.74</v>
      </c>
      <c r="AN500" s="301">
        <f t="shared" si="793"/>
        <v>182392.26</v>
      </c>
      <c r="AO500" s="301">
        <f t="shared" si="793"/>
        <v>312364.15000000002</v>
      </c>
      <c r="AP500" s="301">
        <f t="shared" si="793"/>
        <v>386959.49</v>
      </c>
      <c r="AQ500" s="301">
        <f t="shared" si="793"/>
        <v>279783.14</v>
      </c>
      <c r="AR500" s="301">
        <f t="shared" si="793"/>
        <v>271111.19</v>
      </c>
      <c r="AS500" s="301">
        <f t="shared" si="793"/>
        <v>253344.45</v>
      </c>
      <c r="AT500" s="301">
        <f t="shared" si="793"/>
        <v>81577.36</v>
      </c>
      <c r="AU500" s="301">
        <f t="shared" si="793"/>
        <v>295189.56999999995</v>
      </c>
      <c r="AV500" s="301">
        <f t="shared" si="793"/>
        <v>491147.74999999994</v>
      </c>
      <c r="AW500" s="301">
        <f t="shared" si="793"/>
        <v>324280.42</v>
      </c>
      <c r="AX500" s="301">
        <f t="shared" si="793"/>
        <v>610107.39</v>
      </c>
      <c r="AY500" s="301">
        <f t="shared" si="793"/>
        <v>670242.62</v>
      </c>
      <c r="AZ500" s="301">
        <f t="shared" si="793"/>
        <v>121224.07999999997</v>
      </c>
      <c r="BA500" s="301">
        <f t="shared" si="793"/>
        <v>216491.63</v>
      </c>
      <c r="BB500" s="301">
        <f t="shared" si="793"/>
        <v>0</v>
      </c>
      <c r="BC500" s="301">
        <f t="shared" si="793"/>
        <v>0</v>
      </c>
      <c r="BD500" s="301">
        <f t="shared" si="793"/>
        <v>0</v>
      </c>
      <c r="BE500" s="301">
        <f t="shared" si="793"/>
        <v>0</v>
      </c>
      <c r="BF500" s="301">
        <f t="shared" si="793"/>
        <v>0</v>
      </c>
      <c r="BG500" s="301">
        <f t="shared" si="793"/>
        <v>0</v>
      </c>
      <c r="BH500" s="301">
        <f t="shared" si="793"/>
        <v>0</v>
      </c>
      <c r="BI500" s="301">
        <f t="shared" si="793"/>
        <v>0</v>
      </c>
      <c r="BJ500" s="301">
        <f t="shared" si="793"/>
        <v>0</v>
      </c>
      <c r="BK500" s="301">
        <f t="shared" si="793"/>
        <v>0</v>
      </c>
      <c r="BL500" s="301">
        <f t="shared" si="793"/>
        <v>0</v>
      </c>
      <c r="BM500" s="301">
        <f t="shared" si="793"/>
        <v>0</v>
      </c>
      <c r="BN500" s="301">
        <f t="shared" si="793"/>
        <v>2904130.96</v>
      </c>
      <c r="BO500" s="301">
        <f t="shared" si="793"/>
        <v>2016019.0599999998</v>
      </c>
      <c r="BP500" s="301">
        <f t="shared" si="793"/>
        <v>4920150.0200000005</v>
      </c>
      <c r="BQ500" s="301">
        <f t="shared" si="793"/>
        <v>1871184.8499999999</v>
      </c>
      <c r="BR500" s="301">
        <f t="shared" si="793"/>
        <v>1304409.69</v>
      </c>
      <c r="BS500" s="301">
        <f t="shared" si="793"/>
        <v>3175594.5399999991</v>
      </c>
      <c r="BT500" s="301">
        <f t="shared" si="793"/>
        <v>729849.72</v>
      </c>
      <c r="BU500" s="301">
        <f t="shared" si="793"/>
        <v>4920150.0200000005</v>
      </c>
      <c r="BV500" s="301">
        <f t="shared" si="793"/>
        <v>3175594.5399999991</v>
      </c>
      <c r="BW500" s="301">
        <f t="shared" si="793"/>
        <v>5649999.7400000002</v>
      </c>
      <c r="BX500" s="1"/>
      <c r="BY500" s="1"/>
      <c r="BZ500" s="1"/>
      <c r="CA500" s="1"/>
      <c r="CB500" s="1"/>
      <c r="CC500" s="1"/>
      <c r="CD500" s="1"/>
      <c r="CE500" s="1"/>
      <c r="CF500" s="1"/>
      <c r="CG500" s="1"/>
    </row>
    <row r="501" spans="1:85" ht="15.75" customHeight="1">
      <c r="A501" s="295"/>
      <c r="B501" s="455"/>
      <c r="C501" s="416" t="s">
        <v>117</v>
      </c>
      <c r="D501" s="306" t="s">
        <v>935</v>
      </c>
      <c r="E501" s="307">
        <f>E5+E9+E118+E143+E152+E157+E161+E198+E237+E238+E323+E329+E335+E353+E358+E359+E360+E369+E370+E380+E381+E382+E398</f>
        <v>82721.62999999999</v>
      </c>
      <c r="F501" s="307">
        <f>F5+F9+F118+F143+F152+F157+F161+F198+F237+F238+F323+F329+F335+F353+F358+F359+F360+F369+F370+F380+F381+F382+F398</f>
        <v>3000</v>
      </c>
      <c r="G501" s="307">
        <f>G5+G9+G118+G143+G152+G157+G161+G198+G237+G238+G323+G329+G335+G353+G358+G359+G360+G369+G370+G380+G381+G382+G398</f>
        <v>79721.63</v>
      </c>
      <c r="H501" s="308">
        <f t="shared" ref="H501:K501" si="794">H5+H9+H118+H143+H152+H157+H161+H198+H237+H238+H323+H329+H335+H353+H358+H359+H360+H369+H370+H380+H381+H382+H398</f>
        <v>0</v>
      </c>
      <c r="I501" s="308">
        <f t="shared" si="794"/>
        <v>7.9315959306690829</v>
      </c>
      <c r="J501" s="308">
        <f t="shared" si="794"/>
        <v>5.3917514900444061</v>
      </c>
      <c r="K501" s="308">
        <f t="shared" si="794"/>
        <v>34969.870000000003</v>
      </c>
      <c r="L501" s="307">
        <f t="shared" ref="L501:W501" si="795">L5+L9+L118+L143+L152+L157+L161+L198+L237+L238+L323+L329+L335+L353+L358+L359+L360+L369+L370+L380+L381+L382+L398</f>
        <v>0</v>
      </c>
      <c r="M501" s="307">
        <f t="shared" si="795"/>
        <v>0</v>
      </c>
      <c r="N501" s="307">
        <f t="shared" si="795"/>
        <v>0</v>
      </c>
      <c r="O501" s="307">
        <f t="shared" si="795"/>
        <v>25115.889999999996</v>
      </c>
      <c r="P501" s="307">
        <f t="shared" si="795"/>
        <v>0</v>
      </c>
      <c r="Q501" s="307">
        <f t="shared" si="795"/>
        <v>0</v>
      </c>
      <c r="R501" s="309">
        <f t="shared" si="795"/>
        <v>25115.889999999996</v>
      </c>
      <c r="S501" s="309">
        <f t="shared" si="795"/>
        <v>0</v>
      </c>
      <c r="T501" s="309">
        <f t="shared" si="795"/>
        <v>0</v>
      </c>
      <c r="U501" s="385">
        <f t="shared" si="795"/>
        <v>9853.9800000000014</v>
      </c>
      <c r="V501" s="385">
        <f t="shared" si="795"/>
        <v>0</v>
      </c>
      <c r="W501" s="421">
        <f t="shared" si="795"/>
        <v>0</v>
      </c>
      <c r="X501" s="310">
        <f t="shared" si="788"/>
        <v>0.71821513777431811</v>
      </c>
      <c r="Y501" s="310">
        <f t="shared" si="789"/>
        <v>0</v>
      </c>
      <c r="Z501" s="310">
        <f t="shared" si="790"/>
        <v>0</v>
      </c>
      <c r="AA501" s="307">
        <f t="shared" ref="AA501:BW501" si="796">AA5+AA9+AA118+AA143+AA152+AA157+AA161+AA198+AA237+AA238+AA323+AA329+AA335+AA353+AA358+AA359+AA360+AA369+AA370+AA380+AA381+AA382+AA398</f>
        <v>0</v>
      </c>
      <c r="AB501" s="307">
        <f t="shared" si="796"/>
        <v>0</v>
      </c>
      <c r="AC501" s="307">
        <f t="shared" si="796"/>
        <v>0</v>
      </c>
      <c r="AD501" s="307">
        <f t="shared" si="796"/>
        <v>106.08</v>
      </c>
      <c r="AE501" s="307">
        <f t="shared" si="796"/>
        <v>0</v>
      </c>
      <c r="AF501" s="307">
        <f t="shared" si="796"/>
        <v>0</v>
      </c>
      <c r="AG501" s="307">
        <f t="shared" si="796"/>
        <v>2708.55</v>
      </c>
      <c r="AH501" s="307">
        <f t="shared" si="796"/>
        <v>0</v>
      </c>
      <c r="AI501" s="307">
        <f t="shared" si="796"/>
        <v>0</v>
      </c>
      <c r="AJ501" s="307">
        <f t="shared" si="796"/>
        <v>67.680000000000007</v>
      </c>
      <c r="AK501" s="307">
        <f t="shared" si="796"/>
        <v>0</v>
      </c>
      <c r="AL501" s="307">
        <f t="shared" si="796"/>
        <v>0</v>
      </c>
      <c r="AM501" s="307">
        <f t="shared" si="796"/>
        <v>1740.79</v>
      </c>
      <c r="AN501" s="307">
        <f t="shared" si="796"/>
        <v>0</v>
      </c>
      <c r="AO501" s="307">
        <f t="shared" si="796"/>
        <v>0</v>
      </c>
      <c r="AP501" s="307">
        <f t="shared" si="796"/>
        <v>6482.7300000000005</v>
      </c>
      <c r="AQ501" s="307">
        <f t="shared" si="796"/>
        <v>0</v>
      </c>
      <c r="AR501" s="307">
        <f t="shared" si="796"/>
        <v>0</v>
      </c>
      <c r="AS501" s="307">
        <f t="shared" si="796"/>
        <v>4370.18</v>
      </c>
      <c r="AT501" s="307">
        <f t="shared" si="796"/>
        <v>0</v>
      </c>
      <c r="AU501" s="307">
        <f t="shared" si="796"/>
        <v>0</v>
      </c>
      <c r="AV501" s="307">
        <f>AV5+AV9+AV118+AV143+AV152+AV157+AV161+AV198+AV237+AV238+AV323+AV329+AV335+AV353+AV358+AV359+AV360+AV369+AV370+AV380+AV381+AV382+AV398</f>
        <v>7530.119999999999</v>
      </c>
      <c r="AW501" s="307">
        <f t="shared" si="796"/>
        <v>0</v>
      </c>
      <c r="AX501" s="307">
        <f t="shared" si="796"/>
        <v>0</v>
      </c>
      <c r="AY501" s="307">
        <f t="shared" si="796"/>
        <v>2109.7599999999998</v>
      </c>
      <c r="AZ501" s="307">
        <f t="shared" si="796"/>
        <v>0</v>
      </c>
      <c r="BA501" s="307">
        <f t="shared" si="796"/>
        <v>0</v>
      </c>
      <c r="BB501" s="307">
        <f t="shared" si="796"/>
        <v>0</v>
      </c>
      <c r="BC501" s="307">
        <f t="shared" si="796"/>
        <v>0</v>
      </c>
      <c r="BD501" s="307">
        <f t="shared" si="796"/>
        <v>0</v>
      </c>
      <c r="BE501" s="307">
        <f t="shared" si="796"/>
        <v>0</v>
      </c>
      <c r="BF501" s="307">
        <f t="shared" si="796"/>
        <v>0</v>
      </c>
      <c r="BG501" s="307">
        <f t="shared" si="796"/>
        <v>0</v>
      </c>
      <c r="BH501" s="307">
        <f t="shared" si="796"/>
        <v>0</v>
      </c>
      <c r="BI501" s="307">
        <f t="shared" si="796"/>
        <v>0</v>
      </c>
      <c r="BJ501" s="307">
        <f t="shared" si="796"/>
        <v>0</v>
      </c>
      <c r="BK501" s="307">
        <f t="shared" si="796"/>
        <v>0</v>
      </c>
      <c r="BL501" s="307">
        <f t="shared" si="796"/>
        <v>0</v>
      </c>
      <c r="BM501" s="307">
        <f t="shared" si="796"/>
        <v>0</v>
      </c>
      <c r="BN501" s="307">
        <f t="shared" si="796"/>
        <v>25115.889999999996</v>
      </c>
      <c r="BO501" s="307">
        <f t="shared" si="796"/>
        <v>0</v>
      </c>
      <c r="BP501" s="307">
        <f t="shared" si="796"/>
        <v>25115.889999999996</v>
      </c>
      <c r="BQ501" s="307">
        <f t="shared" si="796"/>
        <v>9853.9800000000014</v>
      </c>
      <c r="BR501" s="307">
        <f t="shared" si="796"/>
        <v>0</v>
      </c>
      <c r="BS501" s="307">
        <f t="shared" si="796"/>
        <v>9853.9800000000014</v>
      </c>
      <c r="BT501" s="307">
        <f t="shared" si="796"/>
        <v>0</v>
      </c>
      <c r="BU501" s="307">
        <f t="shared" si="796"/>
        <v>25115.889999999996</v>
      </c>
      <c r="BV501" s="307">
        <f t="shared" si="796"/>
        <v>9853.9800000000014</v>
      </c>
      <c r="BW501" s="307">
        <f t="shared" si="796"/>
        <v>25115.889999999996</v>
      </c>
      <c r="BX501" s="1"/>
      <c r="BY501" s="1"/>
      <c r="BZ501" s="1"/>
      <c r="CA501" s="1"/>
      <c r="CB501" s="1"/>
      <c r="CC501" s="1"/>
      <c r="CD501" s="1"/>
      <c r="CE501" s="1"/>
      <c r="CF501" s="1"/>
      <c r="CG501" s="1"/>
    </row>
    <row r="502" spans="1:85" ht="15.75" customHeight="1">
      <c r="A502" s="295"/>
      <c r="B502" s="455"/>
      <c r="C502" s="416" t="s">
        <v>393</v>
      </c>
      <c r="D502" s="311" t="s">
        <v>936</v>
      </c>
      <c r="E502" s="307">
        <f>E139+E141+E254+E255+E256+E371+E372+E373+E474</f>
        <v>92577.3</v>
      </c>
      <c r="F502" s="307">
        <f>F139+F141+F254+F255+F256+F371+F372+F373+F474</f>
        <v>40294.237999999998</v>
      </c>
      <c r="G502" s="307">
        <f>G139+G141+G254+G255+G256+G371+G372+G373+G474</f>
        <v>52283.062000000005</v>
      </c>
      <c r="H502" s="307">
        <f t="shared" ref="H502:J502" si="797">H139+H141+H254+H255+H256+H371+H372+H373+H474</f>
        <v>450000</v>
      </c>
      <c r="I502" s="307">
        <f t="shared" si="797"/>
        <v>0</v>
      </c>
      <c r="J502" s="307">
        <f t="shared" si="797"/>
        <v>0</v>
      </c>
      <c r="K502" s="309">
        <f t="shared" ref="K502:M502" si="798">K139+K141+K254+K255+K256+K257+K371+K372+K373+K474</f>
        <v>105556</v>
      </c>
      <c r="L502" s="309">
        <f t="shared" si="798"/>
        <v>0</v>
      </c>
      <c r="M502" s="309">
        <f t="shared" si="798"/>
        <v>0</v>
      </c>
      <c r="N502" s="309">
        <f>N139+N141+N254+N255+N256+N257+N371+N372+N373+N474</f>
        <v>1378244.97</v>
      </c>
      <c r="O502" s="309">
        <f t="shared" ref="O502:W502" si="799">O139+O141+O254+O255+O256+O257+O371+O372+O373+O474</f>
        <v>84156</v>
      </c>
      <c r="P502" s="309">
        <f t="shared" si="799"/>
        <v>0</v>
      </c>
      <c r="Q502" s="309">
        <f t="shared" si="799"/>
        <v>707710.97</v>
      </c>
      <c r="R502" s="309">
        <f t="shared" si="799"/>
        <v>84156</v>
      </c>
      <c r="S502" s="309">
        <f t="shared" si="799"/>
        <v>0</v>
      </c>
      <c r="T502" s="309">
        <f t="shared" si="799"/>
        <v>707710.97</v>
      </c>
      <c r="U502" s="309">
        <f t="shared" si="799"/>
        <v>21400</v>
      </c>
      <c r="V502" s="309">
        <f t="shared" si="799"/>
        <v>0</v>
      </c>
      <c r="W502" s="309">
        <f t="shared" si="799"/>
        <v>670534</v>
      </c>
      <c r="X502" s="310">
        <f t="shared" si="788"/>
        <v>0.79726401151995152</v>
      </c>
      <c r="Y502" s="310">
        <f t="shared" si="789"/>
        <v>0</v>
      </c>
      <c r="Z502" s="310">
        <f t="shared" si="790"/>
        <v>0.51348706899325736</v>
      </c>
      <c r="AA502" s="309">
        <f t="shared" ref="AA502:BW502" si="800">AA139+AA141+AA254+AA255+AA256+AA257+AA371+AA372+AA373+AA474</f>
        <v>0</v>
      </c>
      <c r="AB502" s="309">
        <f t="shared" si="800"/>
        <v>0</v>
      </c>
      <c r="AC502" s="309">
        <f t="shared" si="800"/>
        <v>0</v>
      </c>
      <c r="AD502" s="309">
        <f t="shared" si="800"/>
        <v>0</v>
      </c>
      <c r="AE502" s="309">
        <f t="shared" si="800"/>
        <v>0</v>
      </c>
      <c r="AF502" s="309">
        <f t="shared" si="800"/>
        <v>0</v>
      </c>
      <c r="AG502" s="309">
        <f t="shared" si="800"/>
        <v>42956</v>
      </c>
      <c r="AH502" s="309">
        <f t="shared" si="800"/>
        <v>0</v>
      </c>
      <c r="AI502" s="309">
        <f t="shared" si="800"/>
        <v>6360</v>
      </c>
      <c r="AJ502" s="309">
        <f t="shared" si="800"/>
        <v>0</v>
      </c>
      <c r="AK502" s="309">
        <f t="shared" si="800"/>
        <v>0</v>
      </c>
      <c r="AL502" s="309">
        <f t="shared" si="800"/>
        <v>16040</v>
      </c>
      <c r="AM502" s="309">
        <f t="shared" si="800"/>
        <v>0</v>
      </c>
      <c r="AN502" s="309">
        <f t="shared" si="800"/>
        <v>0</v>
      </c>
      <c r="AO502" s="309">
        <f t="shared" si="800"/>
        <v>104289</v>
      </c>
      <c r="AP502" s="309">
        <f t="shared" si="800"/>
        <v>16400</v>
      </c>
      <c r="AQ502" s="309">
        <f t="shared" si="800"/>
        <v>0</v>
      </c>
      <c r="AR502" s="309">
        <f t="shared" si="800"/>
        <v>47070</v>
      </c>
      <c r="AS502" s="309">
        <f t="shared" si="800"/>
        <v>8200</v>
      </c>
      <c r="AT502" s="309">
        <f t="shared" si="800"/>
        <v>0</v>
      </c>
      <c r="AU502" s="309">
        <f t="shared" si="800"/>
        <v>49080</v>
      </c>
      <c r="AV502" s="309">
        <f>AV139+AV141+AV254+AV255+AV256+AV257+AV371+AV372+AV373+AV474</f>
        <v>8300</v>
      </c>
      <c r="AW502" s="309">
        <f t="shared" si="800"/>
        <v>0</v>
      </c>
      <c r="AX502" s="309">
        <f t="shared" si="800"/>
        <v>381639.97</v>
      </c>
      <c r="AY502" s="309">
        <f t="shared" si="800"/>
        <v>8300</v>
      </c>
      <c r="AZ502" s="309">
        <f t="shared" si="800"/>
        <v>0</v>
      </c>
      <c r="BA502" s="309">
        <f t="shared" si="800"/>
        <v>103232</v>
      </c>
      <c r="BB502" s="309">
        <f t="shared" si="800"/>
        <v>0</v>
      </c>
      <c r="BC502" s="309">
        <f t="shared" si="800"/>
        <v>0</v>
      </c>
      <c r="BD502" s="309">
        <f t="shared" si="800"/>
        <v>0</v>
      </c>
      <c r="BE502" s="309">
        <f t="shared" si="800"/>
        <v>0</v>
      </c>
      <c r="BF502" s="309">
        <f t="shared" si="800"/>
        <v>0</v>
      </c>
      <c r="BG502" s="309">
        <f t="shared" si="800"/>
        <v>0</v>
      </c>
      <c r="BH502" s="309">
        <f t="shared" si="800"/>
        <v>0</v>
      </c>
      <c r="BI502" s="309">
        <f t="shared" si="800"/>
        <v>0</v>
      </c>
      <c r="BJ502" s="309">
        <f t="shared" si="800"/>
        <v>0</v>
      </c>
      <c r="BK502" s="309">
        <f t="shared" si="800"/>
        <v>0</v>
      </c>
      <c r="BL502" s="309">
        <f t="shared" si="800"/>
        <v>0</v>
      </c>
      <c r="BM502" s="309">
        <f t="shared" si="800"/>
        <v>0</v>
      </c>
      <c r="BN502" s="309">
        <f t="shared" si="800"/>
        <v>84156</v>
      </c>
      <c r="BO502" s="309">
        <f t="shared" si="800"/>
        <v>707710.97</v>
      </c>
      <c r="BP502" s="309">
        <f t="shared" si="800"/>
        <v>791866.97</v>
      </c>
      <c r="BQ502" s="309">
        <f t="shared" si="800"/>
        <v>21400</v>
      </c>
      <c r="BR502" s="309">
        <f t="shared" si="800"/>
        <v>670534</v>
      </c>
      <c r="BS502" s="309">
        <f t="shared" si="800"/>
        <v>691934</v>
      </c>
      <c r="BT502" s="309">
        <f t="shared" si="800"/>
        <v>0</v>
      </c>
      <c r="BU502" s="309">
        <f t="shared" si="800"/>
        <v>791866.97</v>
      </c>
      <c r="BV502" s="309">
        <f t="shared" si="800"/>
        <v>691934</v>
      </c>
      <c r="BW502" s="309">
        <f t="shared" si="800"/>
        <v>791866.97</v>
      </c>
      <c r="BX502" s="1"/>
      <c r="BY502" s="1"/>
      <c r="BZ502" s="1"/>
      <c r="CA502" s="1"/>
      <c r="CB502" s="1"/>
      <c r="CC502" s="1"/>
      <c r="CD502" s="1"/>
      <c r="CE502" s="1"/>
      <c r="CF502" s="1"/>
      <c r="CG502" s="1"/>
    </row>
    <row r="503" spans="1:85" ht="15.75" customHeight="1">
      <c r="A503" s="295"/>
      <c r="B503" s="455"/>
      <c r="C503" s="416" t="s">
        <v>550</v>
      </c>
      <c r="D503" s="311" t="s">
        <v>576</v>
      </c>
      <c r="E503" s="307">
        <f>E239+E258+E259+E260+E261+E262+E350+E361+E374+E375</f>
        <v>183900</v>
      </c>
      <c r="F503" s="307">
        <f>F239+F258+F259+F260+F261+F262+F350+F361+F374+F375</f>
        <v>20181.841999999993</v>
      </c>
      <c r="G503" s="307">
        <f>G239+G258+G259+G260+G261+G262+G350+G361+G374+G375</f>
        <v>163718.158</v>
      </c>
      <c r="H503" s="307">
        <f t="shared" ref="H503:J503" si="801">H239+H258+H259+H260+H261+H262+H350+H361+H374+H375</f>
        <v>1550000</v>
      </c>
      <c r="I503" s="307">
        <f t="shared" si="801"/>
        <v>1.8980991925276711</v>
      </c>
      <c r="J503" s="307">
        <f t="shared" si="801"/>
        <v>1.4412684915810705</v>
      </c>
      <c r="K503" s="307">
        <f t="shared" ref="K503:M503" si="802">K239+K258+K259+K260+K261+K262+K350+K351+K361+K374+K375</f>
        <v>66899.999999999971</v>
      </c>
      <c r="L503" s="307">
        <f t="shared" si="802"/>
        <v>0</v>
      </c>
      <c r="M503" s="307">
        <f t="shared" si="802"/>
        <v>0</v>
      </c>
      <c r="N503" s="307">
        <f>N239+N258+N259+N260+N261+N262+N350+N351+N361+N374+N375</f>
        <v>0</v>
      </c>
      <c r="O503" s="307">
        <f t="shared" ref="O503:W503" si="803">O239+O258+O259+O260+O261+O262+O350+O351+O361+O374+O375</f>
        <v>51900</v>
      </c>
      <c r="P503" s="307">
        <f t="shared" si="803"/>
        <v>0</v>
      </c>
      <c r="Q503" s="307">
        <f t="shared" si="803"/>
        <v>0</v>
      </c>
      <c r="R503" s="307">
        <f t="shared" si="803"/>
        <v>51900</v>
      </c>
      <c r="S503" s="307">
        <f t="shared" si="803"/>
        <v>0</v>
      </c>
      <c r="T503" s="307">
        <f t="shared" si="803"/>
        <v>0</v>
      </c>
      <c r="U503" s="307">
        <f t="shared" si="803"/>
        <v>14999.999999999971</v>
      </c>
      <c r="V503" s="307">
        <f t="shared" si="803"/>
        <v>0</v>
      </c>
      <c r="W503" s="307">
        <f t="shared" si="803"/>
        <v>0</v>
      </c>
      <c r="X503" s="310">
        <f t="shared" si="788"/>
        <v>0.77578475336322905</v>
      </c>
      <c r="Y503" s="310">
        <f t="shared" si="789"/>
        <v>0</v>
      </c>
      <c r="Z503" s="310">
        <f t="shared" si="790"/>
        <v>0</v>
      </c>
      <c r="AA503" s="307">
        <f t="shared" ref="AA503:BW503" si="804">AA239+AA258+AA259+AA260+AA261+AA262+AA350+AA351+AA361+AA374+AA375</f>
        <v>3800</v>
      </c>
      <c r="AB503" s="307">
        <f t="shared" si="804"/>
        <v>0</v>
      </c>
      <c r="AC503" s="307">
        <f t="shared" si="804"/>
        <v>0</v>
      </c>
      <c r="AD503" s="307">
        <f t="shared" si="804"/>
        <v>3800</v>
      </c>
      <c r="AE503" s="307">
        <f t="shared" si="804"/>
        <v>0</v>
      </c>
      <c r="AF503" s="307">
        <f t="shared" si="804"/>
        <v>0</v>
      </c>
      <c r="AG503" s="307">
        <f t="shared" si="804"/>
        <v>3400</v>
      </c>
      <c r="AH503" s="307">
        <f t="shared" si="804"/>
        <v>0</v>
      </c>
      <c r="AI503" s="307">
        <f t="shared" si="804"/>
        <v>0</v>
      </c>
      <c r="AJ503" s="307">
        <f t="shared" si="804"/>
        <v>3600</v>
      </c>
      <c r="AK503" s="307">
        <f t="shared" si="804"/>
        <v>0</v>
      </c>
      <c r="AL503" s="307">
        <f t="shared" si="804"/>
        <v>0</v>
      </c>
      <c r="AM503" s="307">
        <f t="shared" si="804"/>
        <v>7800</v>
      </c>
      <c r="AN503" s="307">
        <f t="shared" si="804"/>
        <v>0</v>
      </c>
      <c r="AO503" s="307">
        <f t="shared" si="804"/>
        <v>0</v>
      </c>
      <c r="AP503" s="307">
        <f t="shared" si="804"/>
        <v>9100</v>
      </c>
      <c r="AQ503" s="307">
        <f t="shared" si="804"/>
        <v>0</v>
      </c>
      <c r="AR503" s="307">
        <f t="shared" si="804"/>
        <v>0</v>
      </c>
      <c r="AS503" s="307">
        <f t="shared" si="804"/>
        <v>3600</v>
      </c>
      <c r="AT503" s="307">
        <f t="shared" si="804"/>
        <v>0</v>
      </c>
      <c r="AU503" s="307">
        <f t="shared" si="804"/>
        <v>0</v>
      </c>
      <c r="AV503" s="307">
        <f t="shared" si="804"/>
        <v>9000</v>
      </c>
      <c r="AW503" s="307">
        <f t="shared" si="804"/>
        <v>0</v>
      </c>
      <c r="AX503" s="307">
        <f t="shared" si="804"/>
        <v>0</v>
      </c>
      <c r="AY503" s="307">
        <f t="shared" si="804"/>
        <v>7800</v>
      </c>
      <c r="AZ503" s="307">
        <f t="shared" si="804"/>
        <v>0</v>
      </c>
      <c r="BA503" s="307">
        <f t="shared" si="804"/>
        <v>0</v>
      </c>
      <c r="BB503" s="307">
        <f t="shared" si="804"/>
        <v>0</v>
      </c>
      <c r="BC503" s="307">
        <f t="shared" si="804"/>
        <v>0</v>
      </c>
      <c r="BD503" s="307">
        <f t="shared" si="804"/>
        <v>0</v>
      </c>
      <c r="BE503" s="307">
        <f t="shared" si="804"/>
        <v>0</v>
      </c>
      <c r="BF503" s="307">
        <f t="shared" si="804"/>
        <v>0</v>
      </c>
      <c r="BG503" s="307">
        <f t="shared" si="804"/>
        <v>0</v>
      </c>
      <c r="BH503" s="307">
        <f t="shared" si="804"/>
        <v>0</v>
      </c>
      <c r="BI503" s="307">
        <f t="shared" si="804"/>
        <v>0</v>
      </c>
      <c r="BJ503" s="307">
        <f t="shared" si="804"/>
        <v>0</v>
      </c>
      <c r="BK503" s="307">
        <f t="shared" si="804"/>
        <v>0</v>
      </c>
      <c r="BL503" s="307">
        <f t="shared" si="804"/>
        <v>0</v>
      </c>
      <c r="BM503" s="307">
        <f t="shared" si="804"/>
        <v>0</v>
      </c>
      <c r="BN503" s="307">
        <f t="shared" si="804"/>
        <v>51900</v>
      </c>
      <c r="BO503" s="307">
        <f t="shared" si="804"/>
        <v>0</v>
      </c>
      <c r="BP503" s="307">
        <f t="shared" si="804"/>
        <v>51900</v>
      </c>
      <c r="BQ503" s="307">
        <f t="shared" si="804"/>
        <v>14999.999999999971</v>
      </c>
      <c r="BR503" s="307">
        <f t="shared" si="804"/>
        <v>0</v>
      </c>
      <c r="BS503" s="307">
        <f t="shared" si="804"/>
        <v>15000</v>
      </c>
      <c r="BT503" s="307">
        <f t="shared" si="804"/>
        <v>0</v>
      </c>
      <c r="BU503" s="307">
        <f t="shared" si="804"/>
        <v>51900</v>
      </c>
      <c r="BV503" s="307">
        <f t="shared" si="804"/>
        <v>15000</v>
      </c>
      <c r="BW503" s="307">
        <f t="shared" si="804"/>
        <v>51900</v>
      </c>
      <c r="BX503" s="1"/>
      <c r="BY503" s="1"/>
      <c r="BZ503" s="1"/>
      <c r="CA503" s="1"/>
      <c r="CB503" s="1"/>
      <c r="CC503" s="1"/>
      <c r="CD503" s="1"/>
      <c r="CE503" s="1"/>
      <c r="CF503" s="1"/>
      <c r="CG503" s="1"/>
    </row>
    <row r="504" spans="1:85" ht="15.75" customHeight="1">
      <c r="A504" s="295"/>
      <c r="B504" s="455"/>
      <c r="C504" s="416" t="s">
        <v>887</v>
      </c>
      <c r="D504" s="312" t="s">
        <v>937</v>
      </c>
      <c r="E504" s="307">
        <f>E475</f>
        <v>0</v>
      </c>
      <c r="F504" s="307">
        <f>F475</f>
        <v>0</v>
      </c>
      <c r="G504" s="307">
        <f>G475</f>
        <v>0</v>
      </c>
      <c r="H504" s="307">
        <f t="shared" ref="H504:K504" si="805">H475</f>
        <v>0</v>
      </c>
      <c r="I504" s="307">
        <f t="shared" si="805"/>
        <v>0</v>
      </c>
      <c r="J504" s="307">
        <f t="shared" si="805"/>
        <v>0</v>
      </c>
      <c r="K504" s="307">
        <f t="shared" si="805"/>
        <v>31686</v>
      </c>
      <c r="L504" s="309">
        <f t="shared" ref="L504:W504" si="806">L475</f>
        <v>0</v>
      </c>
      <c r="M504" s="309">
        <f t="shared" si="806"/>
        <v>0</v>
      </c>
      <c r="N504" s="309">
        <f>N475</f>
        <v>0</v>
      </c>
      <c r="O504" s="307">
        <f t="shared" si="806"/>
        <v>31686</v>
      </c>
      <c r="P504" s="307">
        <f t="shared" si="806"/>
        <v>0</v>
      </c>
      <c r="Q504" s="307">
        <f t="shared" si="806"/>
        <v>0</v>
      </c>
      <c r="R504" s="309">
        <f t="shared" si="806"/>
        <v>31686</v>
      </c>
      <c r="S504" s="309">
        <f t="shared" si="806"/>
        <v>0</v>
      </c>
      <c r="T504" s="309">
        <f t="shared" si="806"/>
        <v>0</v>
      </c>
      <c r="U504" s="385">
        <f t="shared" si="806"/>
        <v>0</v>
      </c>
      <c r="V504" s="385">
        <f t="shared" si="806"/>
        <v>0</v>
      </c>
      <c r="W504" s="385">
        <f t="shared" si="806"/>
        <v>0</v>
      </c>
      <c r="X504" s="310">
        <f t="shared" si="788"/>
        <v>1</v>
      </c>
      <c r="Y504" s="310">
        <f t="shared" si="789"/>
        <v>0</v>
      </c>
      <c r="Z504" s="310">
        <f t="shared" si="790"/>
        <v>0</v>
      </c>
      <c r="AA504" s="309">
        <f t="shared" ref="AA504:BW504" si="807">AA475</f>
        <v>0</v>
      </c>
      <c r="AB504" s="309">
        <f t="shared" si="807"/>
        <v>0</v>
      </c>
      <c r="AC504" s="309">
        <f t="shared" si="807"/>
        <v>0</v>
      </c>
      <c r="AD504" s="309">
        <f t="shared" si="807"/>
        <v>0</v>
      </c>
      <c r="AE504" s="309">
        <f t="shared" si="807"/>
        <v>0</v>
      </c>
      <c r="AF504" s="309">
        <f t="shared" si="807"/>
        <v>0</v>
      </c>
      <c r="AG504" s="309">
        <f t="shared" si="807"/>
        <v>0</v>
      </c>
      <c r="AH504" s="309">
        <f t="shared" si="807"/>
        <v>0</v>
      </c>
      <c r="AI504" s="309">
        <f t="shared" si="807"/>
        <v>0</v>
      </c>
      <c r="AJ504" s="309">
        <f t="shared" si="807"/>
        <v>31686</v>
      </c>
      <c r="AK504" s="309">
        <f t="shared" si="807"/>
        <v>0</v>
      </c>
      <c r="AL504" s="309">
        <f t="shared" si="807"/>
        <v>0</v>
      </c>
      <c r="AM504" s="309">
        <f t="shared" si="807"/>
        <v>0</v>
      </c>
      <c r="AN504" s="309">
        <f t="shared" si="807"/>
        <v>0</v>
      </c>
      <c r="AO504" s="309">
        <f t="shared" si="807"/>
        <v>0</v>
      </c>
      <c r="AP504" s="309">
        <f t="shared" si="807"/>
        <v>0</v>
      </c>
      <c r="AQ504" s="309">
        <f t="shared" si="807"/>
        <v>0</v>
      </c>
      <c r="AR504" s="309">
        <f t="shared" si="807"/>
        <v>0</v>
      </c>
      <c r="AS504" s="309">
        <f t="shared" si="807"/>
        <v>0</v>
      </c>
      <c r="AT504" s="309">
        <f t="shared" si="807"/>
        <v>0</v>
      </c>
      <c r="AU504" s="309">
        <f t="shared" si="807"/>
        <v>0</v>
      </c>
      <c r="AV504" s="309">
        <f t="shared" si="807"/>
        <v>0</v>
      </c>
      <c r="AW504" s="309">
        <f t="shared" si="807"/>
        <v>0</v>
      </c>
      <c r="AX504" s="309">
        <f t="shared" si="807"/>
        <v>0</v>
      </c>
      <c r="AY504" s="309">
        <f t="shared" si="807"/>
        <v>0</v>
      </c>
      <c r="AZ504" s="309">
        <f t="shared" si="807"/>
        <v>0</v>
      </c>
      <c r="BA504" s="309">
        <f t="shared" si="807"/>
        <v>0</v>
      </c>
      <c r="BB504" s="309">
        <f t="shared" si="807"/>
        <v>0</v>
      </c>
      <c r="BC504" s="309">
        <f t="shared" si="807"/>
        <v>0</v>
      </c>
      <c r="BD504" s="309">
        <f t="shared" si="807"/>
        <v>0</v>
      </c>
      <c r="BE504" s="309">
        <f t="shared" si="807"/>
        <v>0</v>
      </c>
      <c r="BF504" s="309">
        <f t="shared" si="807"/>
        <v>0</v>
      </c>
      <c r="BG504" s="309">
        <f t="shared" si="807"/>
        <v>0</v>
      </c>
      <c r="BH504" s="309">
        <f t="shared" si="807"/>
        <v>0</v>
      </c>
      <c r="BI504" s="309">
        <f t="shared" si="807"/>
        <v>0</v>
      </c>
      <c r="BJ504" s="309">
        <f t="shared" si="807"/>
        <v>0</v>
      </c>
      <c r="BK504" s="309">
        <f t="shared" si="807"/>
        <v>0</v>
      </c>
      <c r="BL504" s="309">
        <f t="shared" si="807"/>
        <v>0</v>
      </c>
      <c r="BM504" s="309">
        <f t="shared" si="807"/>
        <v>0</v>
      </c>
      <c r="BN504" s="307">
        <f t="shared" si="807"/>
        <v>31686</v>
      </c>
      <c r="BO504" s="307">
        <f t="shared" si="807"/>
        <v>0</v>
      </c>
      <c r="BP504" s="307">
        <f t="shared" si="807"/>
        <v>31686</v>
      </c>
      <c r="BQ504" s="307">
        <f t="shared" si="807"/>
        <v>0</v>
      </c>
      <c r="BR504" s="307">
        <f t="shared" si="807"/>
        <v>0</v>
      </c>
      <c r="BS504" s="307">
        <f t="shared" si="807"/>
        <v>0</v>
      </c>
      <c r="BT504" s="307">
        <f t="shared" si="807"/>
        <v>0</v>
      </c>
      <c r="BU504" s="307">
        <f t="shared" si="807"/>
        <v>31686</v>
      </c>
      <c r="BV504" s="307">
        <f t="shared" si="807"/>
        <v>0</v>
      </c>
      <c r="BW504" s="307">
        <f t="shared" si="807"/>
        <v>31686</v>
      </c>
      <c r="BX504" s="1"/>
      <c r="BY504" s="1"/>
      <c r="BZ504" s="1"/>
      <c r="CA504" s="1"/>
      <c r="CB504" s="1"/>
      <c r="CC504" s="1"/>
      <c r="CD504" s="1"/>
      <c r="CE504" s="1"/>
      <c r="CF504" s="1"/>
      <c r="CG504" s="1"/>
    </row>
    <row r="505" spans="1:85" ht="15.75" customHeight="1">
      <c r="A505" s="295"/>
      <c r="B505" s="455"/>
      <c r="C505" s="416" t="s">
        <v>119</v>
      </c>
      <c r="D505" s="306" t="s">
        <v>938</v>
      </c>
      <c r="E505" s="307">
        <f>E6+E158</f>
        <v>10000</v>
      </c>
      <c r="F505" s="307">
        <f>F6+F158</f>
        <v>0</v>
      </c>
      <c r="G505" s="307">
        <f>G6+G158</f>
        <v>10000</v>
      </c>
      <c r="H505" s="307">
        <f t="shared" ref="H505:K505" si="808">H6+H158</f>
        <v>0</v>
      </c>
      <c r="I505" s="307">
        <f t="shared" si="808"/>
        <v>0</v>
      </c>
      <c r="J505" s="307">
        <f t="shared" si="808"/>
        <v>0</v>
      </c>
      <c r="K505" s="307">
        <f t="shared" si="808"/>
        <v>0</v>
      </c>
      <c r="L505" s="307">
        <f t="shared" ref="L505:W505" si="809">L6+L158</f>
        <v>0</v>
      </c>
      <c r="M505" s="307">
        <f t="shared" si="809"/>
        <v>0</v>
      </c>
      <c r="N505" s="307">
        <f>N6+N158</f>
        <v>0</v>
      </c>
      <c r="O505" s="307">
        <f t="shared" si="809"/>
        <v>0</v>
      </c>
      <c r="P505" s="307">
        <f t="shared" si="809"/>
        <v>0</v>
      </c>
      <c r="Q505" s="307">
        <f t="shared" si="809"/>
        <v>0</v>
      </c>
      <c r="R505" s="309">
        <f t="shared" si="809"/>
        <v>0</v>
      </c>
      <c r="S505" s="309">
        <f t="shared" si="809"/>
        <v>0</v>
      </c>
      <c r="T505" s="309">
        <f t="shared" si="809"/>
        <v>0</v>
      </c>
      <c r="U505" s="385">
        <f t="shared" si="809"/>
        <v>0</v>
      </c>
      <c r="V505" s="385">
        <f t="shared" si="809"/>
        <v>0</v>
      </c>
      <c r="W505" s="385">
        <f t="shared" si="809"/>
        <v>0</v>
      </c>
      <c r="X505" s="310">
        <f t="shared" si="788"/>
        <v>0</v>
      </c>
      <c r="Y505" s="310">
        <f t="shared" si="789"/>
        <v>0</v>
      </c>
      <c r="Z505" s="310">
        <f t="shared" si="790"/>
        <v>0</v>
      </c>
      <c r="AA505" s="307">
        <f t="shared" ref="AA505:BW505" si="810">AA6+AA158</f>
        <v>0</v>
      </c>
      <c r="AB505" s="307">
        <f t="shared" si="810"/>
        <v>0</v>
      </c>
      <c r="AC505" s="307">
        <f t="shared" si="810"/>
        <v>0</v>
      </c>
      <c r="AD505" s="307">
        <f t="shared" si="810"/>
        <v>0</v>
      </c>
      <c r="AE505" s="307">
        <f t="shared" si="810"/>
        <v>0</v>
      </c>
      <c r="AF505" s="307">
        <f t="shared" si="810"/>
        <v>0</v>
      </c>
      <c r="AG505" s="307">
        <f t="shared" si="810"/>
        <v>0</v>
      </c>
      <c r="AH505" s="307">
        <f t="shared" si="810"/>
        <v>0</v>
      </c>
      <c r="AI505" s="307">
        <f t="shared" si="810"/>
        <v>0</v>
      </c>
      <c r="AJ505" s="307">
        <f t="shared" si="810"/>
        <v>0</v>
      </c>
      <c r="AK505" s="307">
        <f t="shared" si="810"/>
        <v>0</v>
      </c>
      <c r="AL505" s="307">
        <f t="shared" si="810"/>
        <v>0</v>
      </c>
      <c r="AM505" s="307">
        <f t="shared" si="810"/>
        <v>0</v>
      </c>
      <c r="AN505" s="307">
        <f t="shared" si="810"/>
        <v>0</v>
      </c>
      <c r="AO505" s="307">
        <f t="shared" si="810"/>
        <v>0</v>
      </c>
      <c r="AP505" s="307">
        <f t="shared" si="810"/>
        <v>0</v>
      </c>
      <c r="AQ505" s="307">
        <f t="shared" si="810"/>
        <v>0</v>
      </c>
      <c r="AR505" s="307">
        <f t="shared" si="810"/>
        <v>0</v>
      </c>
      <c r="AS505" s="307">
        <f t="shared" si="810"/>
        <v>0</v>
      </c>
      <c r="AT505" s="307">
        <f t="shared" si="810"/>
        <v>0</v>
      </c>
      <c r="AU505" s="307">
        <f t="shared" si="810"/>
        <v>0</v>
      </c>
      <c r="AV505" s="307">
        <f t="shared" si="810"/>
        <v>0</v>
      </c>
      <c r="AW505" s="307">
        <f t="shared" si="810"/>
        <v>0</v>
      </c>
      <c r="AX505" s="307">
        <f t="shared" si="810"/>
        <v>0</v>
      </c>
      <c r="AY505" s="307">
        <f t="shared" si="810"/>
        <v>0</v>
      </c>
      <c r="AZ505" s="307">
        <f t="shared" si="810"/>
        <v>0</v>
      </c>
      <c r="BA505" s="307">
        <f t="shared" si="810"/>
        <v>0</v>
      </c>
      <c r="BB505" s="307">
        <f t="shared" si="810"/>
        <v>0</v>
      </c>
      <c r="BC505" s="307">
        <f t="shared" si="810"/>
        <v>0</v>
      </c>
      <c r="BD505" s="307">
        <f t="shared" si="810"/>
        <v>0</v>
      </c>
      <c r="BE505" s="307">
        <f t="shared" si="810"/>
        <v>0</v>
      </c>
      <c r="BF505" s="307">
        <f t="shared" si="810"/>
        <v>0</v>
      </c>
      <c r="BG505" s="307">
        <f t="shared" si="810"/>
        <v>0</v>
      </c>
      <c r="BH505" s="307">
        <f t="shared" si="810"/>
        <v>0</v>
      </c>
      <c r="BI505" s="307">
        <f t="shared" si="810"/>
        <v>0</v>
      </c>
      <c r="BJ505" s="307">
        <f t="shared" si="810"/>
        <v>0</v>
      </c>
      <c r="BK505" s="307">
        <f t="shared" si="810"/>
        <v>0</v>
      </c>
      <c r="BL505" s="307">
        <f t="shared" si="810"/>
        <v>0</v>
      </c>
      <c r="BM505" s="307">
        <f t="shared" si="810"/>
        <v>0</v>
      </c>
      <c r="BN505" s="307">
        <f t="shared" si="810"/>
        <v>0</v>
      </c>
      <c r="BO505" s="307">
        <f t="shared" si="810"/>
        <v>0</v>
      </c>
      <c r="BP505" s="307">
        <f t="shared" si="810"/>
        <v>0</v>
      </c>
      <c r="BQ505" s="307">
        <f t="shared" si="810"/>
        <v>0</v>
      </c>
      <c r="BR505" s="307">
        <f t="shared" si="810"/>
        <v>0</v>
      </c>
      <c r="BS505" s="307">
        <f t="shared" si="810"/>
        <v>0</v>
      </c>
      <c r="BT505" s="307">
        <f t="shared" si="810"/>
        <v>0</v>
      </c>
      <c r="BU505" s="307">
        <f t="shared" si="810"/>
        <v>0</v>
      </c>
      <c r="BV505" s="307">
        <f t="shared" si="810"/>
        <v>0</v>
      </c>
      <c r="BW505" s="307">
        <f t="shared" si="810"/>
        <v>0</v>
      </c>
      <c r="BX505" s="1"/>
      <c r="BY505" s="1"/>
      <c r="BZ505" s="1"/>
      <c r="CA505" s="1"/>
      <c r="CB505" s="1"/>
      <c r="CC505" s="1"/>
      <c r="CD505" s="1"/>
      <c r="CE505" s="1"/>
      <c r="CF505" s="1"/>
      <c r="CG505" s="1"/>
    </row>
    <row r="506" spans="1:85" ht="15.75" customHeight="1">
      <c r="A506" s="313"/>
      <c r="B506" s="418"/>
      <c r="C506" s="416" t="s">
        <v>224</v>
      </c>
      <c r="D506" s="314" t="s">
        <v>520</v>
      </c>
      <c r="E506" s="307">
        <f>E60+E219+E365+E386</f>
        <v>15000</v>
      </c>
      <c r="F506" s="307">
        <f>F60+F219+F365+F386</f>
        <v>0</v>
      </c>
      <c r="G506" s="307">
        <f>G60+G219+G365+G386</f>
        <v>15000</v>
      </c>
      <c r="H506" s="307">
        <f t="shared" ref="H506:K506" si="811">H60+H219+H365+H386</f>
        <v>0</v>
      </c>
      <c r="I506" s="307">
        <f t="shared" si="811"/>
        <v>0</v>
      </c>
      <c r="J506" s="307">
        <f t="shared" si="811"/>
        <v>0</v>
      </c>
      <c r="K506" s="307">
        <f t="shared" si="811"/>
        <v>0</v>
      </c>
      <c r="L506" s="307">
        <f t="shared" ref="L506:W506" si="812">L60+L219+L365+L386</f>
        <v>14495.15</v>
      </c>
      <c r="M506" s="307">
        <f t="shared" si="812"/>
        <v>0</v>
      </c>
      <c r="N506" s="307">
        <f t="shared" si="812"/>
        <v>0</v>
      </c>
      <c r="O506" s="307">
        <f t="shared" si="812"/>
        <v>0</v>
      </c>
      <c r="P506" s="307">
        <f t="shared" si="812"/>
        <v>14495.15</v>
      </c>
      <c r="Q506" s="307">
        <f t="shared" si="812"/>
        <v>0</v>
      </c>
      <c r="R506" s="309">
        <f t="shared" si="812"/>
        <v>0</v>
      </c>
      <c r="S506" s="309">
        <f t="shared" si="812"/>
        <v>14495.15</v>
      </c>
      <c r="T506" s="309">
        <f t="shared" si="812"/>
        <v>0</v>
      </c>
      <c r="U506" s="385">
        <f t="shared" si="812"/>
        <v>0</v>
      </c>
      <c r="V506" s="385">
        <f t="shared" si="812"/>
        <v>0</v>
      </c>
      <c r="W506" s="385">
        <f t="shared" si="812"/>
        <v>0</v>
      </c>
      <c r="X506" s="310">
        <f t="shared" si="788"/>
        <v>0</v>
      </c>
      <c r="Y506" s="310">
        <f t="shared" si="789"/>
        <v>1</v>
      </c>
      <c r="Z506" s="310">
        <f t="shared" si="790"/>
        <v>0</v>
      </c>
      <c r="AA506" s="307">
        <f t="shared" ref="AA506:BW506" si="813">AA60+AA219+AA365+AA386</f>
        <v>0</v>
      </c>
      <c r="AB506" s="307">
        <f t="shared" si="813"/>
        <v>0</v>
      </c>
      <c r="AC506" s="307">
        <f t="shared" si="813"/>
        <v>0</v>
      </c>
      <c r="AD506" s="307">
        <f t="shared" si="813"/>
        <v>0</v>
      </c>
      <c r="AE506" s="307">
        <f t="shared" si="813"/>
        <v>0</v>
      </c>
      <c r="AF506" s="307">
        <f t="shared" si="813"/>
        <v>0</v>
      </c>
      <c r="AG506" s="307">
        <f t="shared" si="813"/>
        <v>0</v>
      </c>
      <c r="AH506" s="307">
        <f t="shared" si="813"/>
        <v>0</v>
      </c>
      <c r="AI506" s="307">
        <f t="shared" si="813"/>
        <v>0</v>
      </c>
      <c r="AJ506" s="307">
        <f t="shared" si="813"/>
        <v>0</v>
      </c>
      <c r="AK506" s="307">
        <f t="shared" si="813"/>
        <v>0</v>
      </c>
      <c r="AL506" s="307">
        <f t="shared" si="813"/>
        <v>0</v>
      </c>
      <c r="AM506" s="307">
        <f t="shared" si="813"/>
        <v>0</v>
      </c>
      <c r="AN506" s="307">
        <f t="shared" si="813"/>
        <v>3114.1</v>
      </c>
      <c r="AO506" s="307">
        <f t="shared" si="813"/>
        <v>0</v>
      </c>
      <c r="AP506" s="307">
        <f t="shared" si="813"/>
        <v>0</v>
      </c>
      <c r="AQ506" s="307">
        <f t="shared" si="813"/>
        <v>11381.05</v>
      </c>
      <c r="AR506" s="307">
        <f t="shared" si="813"/>
        <v>0</v>
      </c>
      <c r="AS506" s="307">
        <f t="shared" si="813"/>
        <v>0</v>
      </c>
      <c r="AT506" s="307">
        <f t="shared" si="813"/>
        <v>0</v>
      </c>
      <c r="AU506" s="307">
        <f t="shared" si="813"/>
        <v>0</v>
      </c>
      <c r="AV506" s="307">
        <f t="shared" si="813"/>
        <v>0</v>
      </c>
      <c r="AW506" s="307">
        <f t="shared" si="813"/>
        <v>0</v>
      </c>
      <c r="AX506" s="307">
        <f t="shared" si="813"/>
        <v>0</v>
      </c>
      <c r="AY506" s="307">
        <f t="shared" si="813"/>
        <v>0</v>
      </c>
      <c r="AZ506" s="307">
        <f t="shared" si="813"/>
        <v>0</v>
      </c>
      <c r="BA506" s="307">
        <f t="shared" si="813"/>
        <v>0</v>
      </c>
      <c r="BB506" s="307">
        <f t="shared" si="813"/>
        <v>0</v>
      </c>
      <c r="BC506" s="307">
        <f t="shared" si="813"/>
        <v>0</v>
      </c>
      <c r="BD506" s="307">
        <f t="shared" si="813"/>
        <v>0</v>
      </c>
      <c r="BE506" s="307">
        <f t="shared" si="813"/>
        <v>0</v>
      </c>
      <c r="BF506" s="307">
        <f t="shared" si="813"/>
        <v>0</v>
      </c>
      <c r="BG506" s="307">
        <f t="shared" si="813"/>
        <v>0</v>
      </c>
      <c r="BH506" s="307">
        <f t="shared" si="813"/>
        <v>0</v>
      </c>
      <c r="BI506" s="307">
        <f t="shared" si="813"/>
        <v>0</v>
      </c>
      <c r="BJ506" s="307">
        <f t="shared" si="813"/>
        <v>0</v>
      </c>
      <c r="BK506" s="307">
        <f t="shared" si="813"/>
        <v>0</v>
      </c>
      <c r="BL506" s="307">
        <f t="shared" si="813"/>
        <v>0</v>
      </c>
      <c r="BM506" s="307">
        <f t="shared" si="813"/>
        <v>0</v>
      </c>
      <c r="BN506" s="307">
        <f t="shared" si="813"/>
        <v>0</v>
      </c>
      <c r="BO506" s="307">
        <f t="shared" si="813"/>
        <v>0</v>
      </c>
      <c r="BP506" s="307">
        <f t="shared" si="813"/>
        <v>0</v>
      </c>
      <c r="BQ506" s="307">
        <f t="shared" si="813"/>
        <v>0</v>
      </c>
      <c r="BR506" s="307">
        <f t="shared" si="813"/>
        <v>0</v>
      </c>
      <c r="BS506" s="307">
        <f t="shared" si="813"/>
        <v>0</v>
      </c>
      <c r="BT506" s="307">
        <f t="shared" si="813"/>
        <v>0</v>
      </c>
      <c r="BU506" s="307">
        <f t="shared" si="813"/>
        <v>0</v>
      </c>
      <c r="BV506" s="307">
        <f t="shared" si="813"/>
        <v>0</v>
      </c>
      <c r="BW506" s="307">
        <f t="shared" si="813"/>
        <v>0</v>
      </c>
      <c r="BX506" s="1"/>
      <c r="BY506" s="1"/>
      <c r="BZ506" s="1"/>
      <c r="CA506" s="1"/>
      <c r="CB506" s="1"/>
      <c r="CC506" s="1"/>
      <c r="CD506" s="1"/>
      <c r="CE506" s="1"/>
      <c r="CF506" s="1"/>
      <c r="CG506" s="1"/>
    </row>
    <row r="507" spans="1:85" ht="15.75" customHeight="1">
      <c r="A507" s="313"/>
      <c r="B507" s="418"/>
      <c r="C507" s="416" t="s">
        <v>122</v>
      </c>
      <c r="D507" s="306" t="s">
        <v>939</v>
      </c>
      <c r="E507" s="307">
        <f>E7+E61+E119+E220+E221+E325+E331+E337+E354+E366+E387+E388</f>
        <v>40500</v>
      </c>
      <c r="F507" s="307">
        <f>F7+F61+F119+F220+F221+F325+F331+F337+F354+F366+F387+F388</f>
        <v>0</v>
      </c>
      <c r="G507" s="307">
        <f>G7+G61+G119+G220+G221+G325+G331+G337+G354+G366+G387+G388</f>
        <v>40500</v>
      </c>
      <c r="H507" s="307">
        <f t="shared" ref="H507:K507" si="814">H7+H61+H119+H220+H221+H325+H331+H337+H354+H366+H387+H388</f>
        <v>0</v>
      </c>
      <c r="I507" s="307">
        <f t="shared" si="814"/>
        <v>0.85</v>
      </c>
      <c r="J507" s="307">
        <f t="shared" si="814"/>
        <v>0.49601499999999993</v>
      </c>
      <c r="K507" s="307">
        <f t="shared" si="814"/>
        <v>3500</v>
      </c>
      <c r="L507" s="307">
        <f t="shared" ref="L507:W507" si="815">L7+L61+L119+L220+L221+L325+L331+L337+L354+L366+L387+L388</f>
        <v>0</v>
      </c>
      <c r="M507" s="307">
        <f t="shared" si="815"/>
        <v>0</v>
      </c>
      <c r="N507" s="307">
        <f t="shared" si="815"/>
        <v>0</v>
      </c>
      <c r="O507" s="307">
        <f t="shared" si="815"/>
        <v>2254.3999999999996</v>
      </c>
      <c r="P507" s="307">
        <f t="shared" si="815"/>
        <v>0</v>
      </c>
      <c r="Q507" s="307">
        <f t="shared" si="815"/>
        <v>0</v>
      </c>
      <c r="R507" s="309">
        <f t="shared" si="815"/>
        <v>2254.3999999999996</v>
      </c>
      <c r="S507" s="309">
        <f t="shared" si="815"/>
        <v>0</v>
      </c>
      <c r="T507" s="309">
        <f t="shared" si="815"/>
        <v>0</v>
      </c>
      <c r="U507" s="385">
        <f t="shared" si="815"/>
        <v>1245.6000000000001</v>
      </c>
      <c r="V507" s="385">
        <f t="shared" si="815"/>
        <v>0</v>
      </c>
      <c r="W507" s="385">
        <f t="shared" si="815"/>
        <v>0</v>
      </c>
      <c r="X507" s="310">
        <f t="shared" si="788"/>
        <v>0.64411428571428564</v>
      </c>
      <c r="Y507" s="310">
        <f t="shared" si="789"/>
        <v>0</v>
      </c>
      <c r="Z507" s="310">
        <f t="shared" si="790"/>
        <v>0</v>
      </c>
      <c r="AA507" s="307">
        <f t="shared" ref="AA507:BW507" si="816">AA7+AA61+AA119+AA220+AA221+AA325+AA331+AA337+AA354+AA366+AA387+AA388</f>
        <v>0</v>
      </c>
      <c r="AB507" s="307">
        <f t="shared" si="816"/>
        <v>0</v>
      </c>
      <c r="AC507" s="307">
        <f t="shared" si="816"/>
        <v>0</v>
      </c>
      <c r="AD507" s="307">
        <f t="shared" si="816"/>
        <v>0</v>
      </c>
      <c r="AE507" s="307">
        <f t="shared" si="816"/>
        <v>0</v>
      </c>
      <c r="AF507" s="307">
        <f t="shared" si="816"/>
        <v>0</v>
      </c>
      <c r="AG507" s="307">
        <f t="shared" si="816"/>
        <v>0</v>
      </c>
      <c r="AH507" s="307">
        <f t="shared" si="816"/>
        <v>0</v>
      </c>
      <c r="AI507" s="307">
        <f t="shared" si="816"/>
        <v>0</v>
      </c>
      <c r="AJ507" s="307">
        <f t="shared" si="816"/>
        <v>0</v>
      </c>
      <c r="AK507" s="307">
        <f t="shared" si="816"/>
        <v>0</v>
      </c>
      <c r="AL507" s="307">
        <f t="shared" si="816"/>
        <v>0</v>
      </c>
      <c r="AM507" s="307">
        <f t="shared" si="816"/>
        <v>449</v>
      </c>
      <c r="AN507" s="307">
        <f t="shared" si="816"/>
        <v>0</v>
      </c>
      <c r="AO507" s="307">
        <f t="shared" si="816"/>
        <v>0</v>
      </c>
      <c r="AP507" s="307">
        <f t="shared" si="816"/>
        <v>0</v>
      </c>
      <c r="AQ507" s="307">
        <f t="shared" si="816"/>
        <v>0</v>
      </c>
      <c r="AR507" s="307">
        <f t="shared" si="816"/>
        <v>0</v>
      </c>
      <c r="AS507" s="307">
        <f t="shared" si="816"/>
        <v>0</v>
      </c>
      <c r="AT507" s="307">
        <f t="shared" si="816"/>
        <v>0</v>
      </c>
      <c r="AU507" s="307">
        <f t="shared" si="816"/>
        <v>0</v>
      </c>
      <c r="AV507" s="307">
        <f t="shared" si="816"/>
        <v>752.25</v>
      </c>
      <c r="AW507" s="307">
        <f t="shared" si="816"/>
        <v>0</v>
      </c>
      <c r="AX507" s="307">
        <f t="shared" si="816"/>
        <v>0</v>
      </c>
      <c r="AY507" s="307">
        <f t="shared" si="816"/>
        <v>1053.1500000000001</v>
      </c>
      <c r="AZ507" s="307">
        <f t="shared" si="816"/>
        <v>0</v>
      </c>
      <c r="BA507" s="307">
        <f t="shared" si="816"/>
        <v>0</v>
      </c>
      <c r="BB507" s="307">
        <f t="shared" si="816"/>
        <v>0</v>
      </c>
      <c r="BC507" s="307">
        <f t="shared" si="816"/>
        <v>0</v>
      </c>
      <c r="BD507" s="307">
        <f t="shared" si="816"/>
        <v>0</v>
      </c>
      <c r="BE507" s="307">
        <f t="shared" si="816"/>
        <v>0</v>
      </c>
      <c r="BF507" s="307">
        <f t="shared" si="816"/>
        <v>0</v>
      </c>
      <c r="BG507" s="307">
        <f t="shared" si="816"/>
        <v>0</v>
      </c>
      <c r="BH507" s="307">
        <f t="shared" si="816"/>
        <v>0</v>
      </c>
      <c r="BI507" s="307">
        <f t="shared" si="816"/>
        <v>0</v>
      </c>
      <c r="BJ507" s="307">
        <f t="shared" si="816"/>
        <v>0</v>
      </c>
      <c r="BK507" s="307">
        <f t="shared" si="816"/>
        <v>0</v>
      </c>
      <c r="BL507" s="307">
        <f t="shared" si="816"/>
        <v>0</v>
      </c>
      <c r="BM507" s="307">
        <f t="shared" si="816"/>
        <v>0</v>
      </c>
      <c r="BN507" s="307">
        <f t="shared" si="816"/>
        <v>2254.3999999999996</v>
      </c>
      <c r="BO507" s="307">
        <f t="shared" si="816"/>
        <v>0</v>
      </c>
      <c r="BP507" s="307">
        <f t="shared" si="816"/>
        <v>2254.3999999999996</v>
      </c>
      <c r="BQ507" s="307">
        <f t="shared" si="816"/>
        <v>1245.6000000000001</v>
      </c>
      <c r="BR507" s="307">
        <f t="shared" si="816"/>
        <v>0</v>
      </c>
      <c r="BS507" s="307">
        <f t="shared" si="816"/>
        <v>1245.6000000000001</v>
      </c>
      <c r="BT507" s="307">
        <f t="shared" si="816"/>
        <v>0</v>
      </c>
      <c r="BU507" s="307">
        <f t="shared" si="816"/>
        <v>2254.3999999999996</v>
      </c>
      <c r="BV507" s="307">
        <f t="shared" si="816"/>
        <v>1245.6000000000001</v>
      </c>
      <c r="BW507" s="307">
        <f t="shared" si="816"/>
        <v>2254.3999999999996</v>
      </c>
      <c r="BX507" s="1"/>
      <c r="BY507" s="1"/>
      <c r="BZ507" s="1"/>
      <c r="CA507" s="1"/>
      <c r="CB507" s="1"/>
      <c r="CC507" s="1"/>
      <c r="CD507" s="1"/>
      <c r="CE507" s="1"/>
      <c r="CF507" s="1"/>
      <c r="CG507" s="1"/>
    </row>
    <row r="508" spans="1:85" ht="15.75" customHeight="1">
      <c r="A508" s="313"/>
      <c r="B508" s="418"/>
      <c r="C508" s="416" t="s">
        <v>409</v>
      </c>
      <c r="D508" s="315" t="s">
        <v>410</v>
      </c>
      <c r="E508" s="307">
        <f>E154+E222+E326+E332+E338+E355+E389</f>
        <v>66000</v>
      </c>
      <c r="F508" s="307">
        <f>F154+F222+F326+F332+F338+F355+F389</f>
        <v>37568.180000000008</v>
      </c>
      <c r="G508" s="307">
        <f>G154+G222+G326+G332+G338+G355+G389</f>
        <v>28431.82</v>
      </c>
      <c r="H508" s="307">
        <f t="shared" ref="H508:K508" si="817">H154+H222+H326+H332+H338+H355+H389</f>
        <v>40000</v>
      </c>
      <c r="I508" s="307">
        <f t="shared" si="817"/>
        <v>0</v>
      </c>
      <c r="J508" s="307">
        <f t="shared" si="817"/>
        <v>0</v>
      </c>
      <c r="K508" s="307">
        <f t="shared" si="817"/>
        <v>0</v>
      </c>
      <c r="L508" s="309">
        <f t="shared" ref="L508:W508" si="818">L154+L222+L326+L332+L338+L355+L389</f>
        <v>0</v>
      </c>
      <c r="M508" s="309">
        <f t="shared" si="818"/>
        <v>0</v>
      </c>
      <c r="N508" s="309">
        <f t="shared" si="818"/>
        <v>0</v>
      </c>
      <c r="O508" s="307">
        <f t="shared" si="818"/>
        <v>0</v>
      </c>
      <c r="P508" s="307">
        <f t="shared" si="818"/>
        <v>0</v>
      </c>
      <c r="Q508" s="307">
        <f t="shared" si="818"/>
        <v>0</v>
      </c>
      <c r="R508" s="309">
        <f t="shared" si="818"/>
        <v>0</v>
      </c>
      <c r="S508" s="309">
        <f t="shared" si="818"/>
        <v>0</v>
      </c>
      <c r="T508" s="309">
        <f t="shared" si="818"/>
        <v>0</v>
      </c>
      <c r="U508" s="385">
        <f t="shared" si="818"/>
        <v>0</v>
      </c>
      <c r="V508" s="385">
        <f t="shared" si="818"/>
        <v>0</v>
      </c>
      <c r="W508" s="385">
        <f t="shared" si="818"/>
        <v>0</v>
      </c>
      <c r="X508" s="310">
        <f t="shared" si="788"/>
        <v>0</v>
      </c>
      <c r="Y508" s="310">
        <f t="shared" si="789"/>
        <v>0</v>
      </c>
      <c r="Z508" s="310">
        <f t="shared" si="790"/>
        <v>0</v>
      </c>
      <c r="AA508" s="309">
        <f t="shared" ref="AA508:BW508" si="819">AA154+AA222+AA326+AA332+AA338+AA355+AA389</f>
        <v>0</v>
      </c>
      <c r="AB508" s="309">
        <f t="shared" si="819"/>
        <v>0</v>
      </c>
      <c r="AC508" s="309">
        <f t="shared" si="819"/>
        <v>0</v>
      </c>
      <c r="AD508" s="309">
        <f t="shared" si="819"/>
        <v>0</v>
      </c>
      <c r="AE508" s="309">
        <f t="shared" si="819"/>
        <v>0</v>
      </c>
      <c r="AF508" s="309">
        <f t="shared" si="819"/>
        <v>0</v>
      </c>
      <c r="AG508" s="309">
        <f t="shared" si="819"/>
        <v>0</v>
      </c>
      <c r="AH508" s="309">
        <f t="shared" si="819"/>
        <v>0</v>
      </c>
      <c r="AI508" s="309">
        <f t="shared" si="819"/>
        <v>0</v>
      </c>
      <c r="AJ508" s="309">
        <f t="shared" si="819"/>
        <v>0</v>
      </c>
      <c r="AK508" s="309">
        <f t="shared" si="819"/>
        <v>0</v>
      </c>
      <c r="AL508" s="309">
        <f t="shared" si="819"/>
        <v>0</v>
      </c>
      <c r="AM508" s="309">
        <f t="shared" si="819"/>
        <v>0</v>
      </c>
      <c r="AN508" s="309">
        <f t="shared" si="819"/>
        <v>0</v>
      </c>
      <c r="AO508" s="309">
        <f t="shared" si="819"/>
        <v>0</v>
      </c>
      <c r="AP508" s="309">
        <f t="shared" si="819"/>
        <v>0</v>
      </c>
      <c r="AQ508" s="309">
        <f t="shared" si="819"/>
        <v>0</v>
      </c>
      <c r="AR508" s="309">
        <f t="shared" si="819"/>
        <v>0</v>
      </c>
      <c r="AS508" s="309">
        <f t="shared" si="819"/>
        <v>0</v>
      </c>
      <c r="AT508" s="309">
        <f t="shared" si="819"/>
        <v>0</v>
      </c>
      <c r="AU508" s="309">
        <f t="shared" si="819"/>
        <v>0</v>
      </c>
      <c r="AV508" s="309">
        <f t="shared" si="819"/>
        <v>0</v>
      </c>
      <c r="AW508" s="309">
        <f t="shared" si="819"/>
        <v>0</v>
      </c>
      <c r="AX508" s="309">
        <f t="shared" si="819"/>
        <v>0</v>
      </c>
      <c r="AY508" s="309">
        <f t="shared" si="819"/>
        <v>0</v>
      </c>
      <c r="AZ508" s="309">
        <f t="shared" si="819"/>
        <v>0</v>
      </c>
      <c r="BA508" s="309">
        <f t="shared" si="819"/>
        <v>0</v>
      </c>
      <c r="BB508" s="309">
        <f t="shared" si="819"/>
        <v>0</v>
      </c>
      <c r="BC508" s="309">
        <f t="shared" si="819"/>
        <v>0</v>
      </c>
      <c r="BD508" s="309">
        <f t="shared" si="819"/>
        <v>0</v>
      </c>
      <c r="BE508" s="309">
        <f t="shared" si="819"/>
        <v>0</v>
      </c>
      <c r="BF508" s="309">
        <f t="shared" si="819"/>
        <v>0</v>
      </c>
      <c r="BG508" s="309">
        <f t="shared" si="819"/>
        <v>0</v>
      </c>
      <c r="BH508" s="309">
        <f t="shared" si="819"/>
        <v>0</v>
      </c>
      <c r="BI508" s="309">
        <f t="shared" si="819"/>
        <v>0</v>
      </c>
      <c r="BJ508" s="309">
        <f t="shared" si="819"/>
        <v>0</v>
      </c>
      <c r="BK508" s="309">
        <f t="shared" si="819"/>
        <v>0</v>
      </c>
      <c r="BL508" s="309">
        <f t="shared" si="819"/>
        <v>0</v>
      </c>
      <c r="BM508" s="309">
        <f t="shared" si="819"/>
        <v>0</v>
      </c>
      <c r="BN508" s="307">
        <f t="shared" si="819"/>
        <v>0</v>
      </c>
      <c r="BO508" s="307">
        <f t="shared" si="819"/>
        <v>0</v>
      </c>
      <c r="BP508" s="307">
        <f t="shared" si="819"/>
        <v>0</v>
      </c>
      <c r="BQ508" s="307">
        <f t="shared" si="819"/>
        <v>0</v>
      </c>
      <c r="BR508" s="307">
        <f t="shared" si="819"/>
        <v>0</v>
      </c>
      <c r="BS508" s="307">
        <f t="shared" si="819"/>
        <v>0</v>
      </c>
      <c r="BT508" s="307">
        <f t="shared" si="819"/>
        <v>0</v>
      </c>
      <c r="BU508" s="307">
        <f t="shared" si="819"/>
        <v>0</v>
      </c>
      <c r="BV508" s="307">
        <f t="shared" si="819"/>
        <v>0</v>
      </c>
      <c r="BW508" s="307">
        <f t="shared" si="819"/>
        <v>0</v>
      </c>
      <c r="BX508" s="1"/>
      <c r="BY508" s="1"/>
      <c r="BZ508" s="1"/>
      <c r="CA508" s="1"/>
      <c r="CB508" s="1"/>
      <c r="CC508" s="1"/>
      <c r="CD508" s="1"/>
      <c r="CE508" s="1"/>
      <c r="CF508" s="1"/>
      <c r="CG508" s="1"/>
    </row>
    <row r="509" spans="1:85" ht="15.75" customHeight="1">
      <c r="A509" s="313"/>
      <c r="B509" s="418"/>
      <c r="C509" s="416" t="s">
        <v>890</v>
      </c>
      <c r="D509" s="316" t="s">
        <v>891</v>
      </c>
      <c r="E509" s="307">
        <f>E477</f>
        <v>0</v>
      </c>
      <c r="F509" s="307">
        <f>F477</f>
        <v>0</v>
      </c>
      <c r="G509" s="307">
        <f>G477</f>
        <v>0</v>
      </c>
      <c r="H509" s="307">
        <f t="shared" ref="H509:K509" si="820">H477</f>
        <v>0</v>
      </c>
      <c r="I509" s="307">
        <f t="shared" si="820"/>
        <v>0</v>
      </c>
      <c r="J509" s="307">
        <f t="shared" si="820"/>
        <v>0</v>
      </c>
      <c r="K509" s="307">
        <f t="shared" si="820"/>
        <v>110371.35</v>
      </c>
      <c r="L509" s="309">
        <f t="shared" ref="L509:W509" si="821">L477</f>
        <v>0</v>
      </c>
      <c r="M509" s="309">
        <f t="shared" si="821"/>
        <v>0</v>
      </c>
      <c r="N509" s="309">
        <f t="shared" si="821"/>
        <v>0</v>
      </c>
      <c r="O509" s="307">
        <f t="shared" si="821"/>
        <v>47371.35</v>
      </c>
      <c r="P509" s="307">
        <f t="shared" si="821"/>
        <v>0</v>
      </c>
      <c r="Q509" s="307">
        <f t="shared" si="821"/>
        <v>0</v>
      </c>
      <c r="R509" s="309">
        <f t="shared" si="821"/>
        <v>47371.35</v>
      </c>
      <c r="S509" s="309">
        <f t="shared" si="821"/>
        <v>0</v>
      </c>
      <c r="T509" s="309">
        <f t="shared" si="821"/>
        <v>0</v>
      </c>
      <c r="U509" s="385">
        <f t="shared" si="821"/>
        <v>63000.000000000007</v>
      </c>
      <c r="V509" s="385">
        <f t="shared" si="821"/>
        <v>0</v>
      </c>
      <c r="W509" s="385">
        <f t="shared" si="821"/>
        <v>0</v>
      </c>
      <c r="X509" s="310">
        <f t="shared" si="788"/>
        <v>0.42919969720402984</v>
      </c>
      <c r="Y509" s="310">
        <f t="shared" si="789"/>
        <v>0</v>
      </c>
      <c r="Z509" s="310">
        <f t="shared" si="790"/>
        <v>0</v>
      </c>
      <c r="AA509" s="309">
        <f t="shared" ref="AA509:BW509" si="822">AA477</f>
        <v>4709.59</v>
      </c>
      <c r="AB509" s="309">
        <f t="shared" si="822"/>
        <v>0</v>
      </c>
      <c r="AC509" s="309">
        <f t="shared" si="822"/>
        <v>0</v>
      </c>
      <c r="AD509" s="309">
        <f t="shared" si="822"/>
        <v>4369.59</v>
      </c>
      <c r="AE509" s="309">
        <f t="shared" si="822"/>
        <v>0</v>
      </c>
      <c r="AF509" s="309">
        <f t="shared" si="822"/>
        <v>0</v>
      </c>
      <c r="AG509" s="309">
        <f t="shared" si="822"/>
        <v>4289.59</v>
      </c>
      <c r="AH509" s="309">
        <f t="shared" si="822"/>
        <v>0</v>
      </c>
      <c r="AI509" s="309">
        <f t="shared" si="822"/>
        <v>0</v>
      </c>
      <c r="AJ509" s="309">
        <f t="shared" si="822"/>
        <v>12493.52</v>
      </c>
      <c r="AK509" s="309">
        <f t="shared" si="822"/>
        <v>0</v>
      </c>
      <c r="AL509" s="309">
        <f t="shared" si="822"/>
        <v>0</v>
      </c>
      <c r="AM509" s="309">
        <f t="shared" si="822"/>
        <v>11053.52</v>
      </c>
      <c r="AN509" s="309">
        <f t="shared" si="822"/>
        <v>0</v>
      </c>
      <c r="AO509" s="309">
        <f t="shared" si="822"/>
        <v>0</v>
      </c>
      <c r="AP509" s="309">
        <f t="shared" si="822"/>
        <v>10455.540000000001</v>
      </c>
      <c r="AQ509" s="309">
        <f t="shared" si="822"/>
        <v>0</v>
      </c>
      <c r="AR509" s="309">
        <f t="shared" si="822"/>
        <v>0</v>
      </c>
      <c r="AS509" s="309">
        <f t="shared" si="822"/>
        <v>0</v>
      </c>
      <c r="AT509" s="309">
        <f t="shared" si="822"/>
        <v>0</v>
      </c>
      <c r="AU509" s="309">
        <f t="shared" si="822"/>
        <v>0</v>
      </c>
      <c r="AV509" s="309">
        <f t="shared" si="822"/>
        <v>0</v>
      </c>
      <c r="AW509" s="309">
        <f t="shared" si="822"/>
        <v>0</v>
      </c>
      <c r="AX509" s="309">
        <f t="shared" si="822"/>
        <v>0</v>
      </c>
      <c r="AY509" s="309">
        <f t="shared" si="822"/>
        <v>0</v>
      </c>
      <c r="AZ509" s="309">
        <f t="shared" si="822"/>
        <v>0</v>
      </c>
      <c r="BA509" s="309">
        <f t="shared" si="822"/>
        <v>0</v>
      </c>
      <c r="BB509" s="309">
        <f t="shared" si="822"/>
        <v>0</v>
      </c>
      <c r="BC509" s="309">
        <f t="shared" si="822"/>
        <v>0</v>
      </c>
      <c r="BD509" s="309">
        <f t="shared" si="822"/>
        <v>0</v>
      </c>
      <c r="BE509" s="309">
        <f t="shared" si="822"/>
        <v>0</v>
      </c>
      <c r="BF509" s="309">
        <f t="shared" si="822"/>
        <v>0</v>
      </c>
      <c r="BG509" s="309">
        <f t="shared" si="822"/>
        <v>0</v>
      </c>
      <c r="BH509" s="309">
        <f t="shared" si="822"/>
        <v>0</v>
      </c>
      <c r="BI509" s="309">
        <f t="shared" si="822"/>
        <v>0</v>
      </c>
      <c r="BJ509" s="309">
        <f t="shared" si="822"/>
        <v>0</v>
      </c>
      <c r="BK509" s="309">
        <f t="shared" si="822"/>
        <v>0</v>
      </c>
      <c r="BL509" s="309">
        <f t="shared" si="822"/>
        <v>0</v>
      </c>
      <c r="BM509" s="309">
        <f t="shared" si="822"/>
        <v>0</v>
      </c>
      <c r="BN509" s="307">
        <f t="shared" si="822"/>
        <v>47371.35</v>
      </c>
      <c r="BO509" s="307">
        <f t="shared" si="822"/>
        <v>0</v>
      </c>
      <c r="BP509" s="307">
        <f t="shared" si="822"/>
        <v>47371.35</v>
      </c>
      <c r="BQ509" s="307">
        <f t="shared" si="822"/>
        <v>63000.000000000007</v>
      </c>
      <c r="BR509" s="307">
        <f t="shared" si="822"/>
        <v>0</v>
      </c>
      <c r="BS509" s="307">
        <f t="shared" si="822"/>
        <v>63000.000000000007</v>
      </c>
      <c r="BT509" s="307">
        <f t="shared" si="822"/>
        <v>0</v>
      </c>
      <c r="BU509" s="307">
        <f t="shared" si="822"/>
        <v>47371.35</v>
      </c>
      <c r="BV509" s="307">
        <f t="shared" si="822"/>
        <v>63000.000000000007</v>
      </c>
      <c r="BW509" s="307">
        <f t="shared" si="822"/>
        <v>47371.35</v>
      </c>
      <c r="BX509" s="1"/>
      <c r="BY509" s="1"/>
      <c r="BZ509" s="1"/>
      <c r="CA509" s="1"/>
      <c r="CB509" s="1"/>
      <c r="CC509" s="1"/>
      <c r="CD509" s="1"/>
      <c r="CE509" s="1"/>
      <c r="CF509" s="1"/>
      <c r="CG509" s="1"/>
    </row>
    <row r="510" spans="1:85" ht="15.75" customHeight="1">
      <c r="A510" s="313"/>
      <c r="B510" s="418"/>
      <c r="C510" s="416" t="s">
        <v>747</v>
      </c>
      <c r="D510" s="317" t="s">
        <v>940</v>
      </c>
      <c r="E510" s="307">
        <f>E390</f>
        <v>10000</v>
      </c>
      <c r="F510" s="307">
        <f>F390</f>
        <v>0</v>
      </c>
      <c r="G510" s="307">
        <f>G390</f>
        <v>10000</v>
      </c>
      <c r="H510" s="307">
        <f t="shared" ref="H510:K510" si="823">H390</f>
        <v>0</v>
      </c>
      <c r="I510" s="307">
        <f t="shared" si="823"/>
        <v>0</v>
      </c>
      <c r="J510" s="307">
        <f t="shared" si="823"/>
        <v>0</v>
      </c>
      <c r="K510" s="307">
        <f t="shared" si="823"/>
        <v>0</v>
      </c>
      <c r="L510" s="309">
        <f t="shared" ref="L510:W510" si="824">L390</f>
        <v>0</v>
      </c>
      <c r="M510" s="309">
        <f t="shared" si="824"/>
        <v>0</v>
      </c>
      <c r="N510" s="309">
        <f t="shared" si="824"/>
        <v>0</v>
      </c>
      <c r="O510" s="307">
        <f t="shared" si="824"/>
        <v>0</v>
      </c>
      <c r="P510" s="307">
        <f t="shared" si="824"/>
        <v>0</v>
      </c>
      <c r="Q510" s="307">
        <f t="shared" si="824"/>
        <v>0</v>
      </c>
      <c r="R510" s="309">
        <f t="shared" si="824"/>
        <v>0</v>
      </c>
      <c r="S510" s="309">
        <f t="shared" si="824"/>
        <v>0</v>
      </c>
      <c r="T510" s="309">
        <f t="shared" si="824"/>
        <v>0</v>
      </c>
      <c r="U510" s="385">
        <f t="shared" si="824"/>
        <v>0</v>
      </c>
      <c r="V510" s="385">
        <f t="shared" si="824"/>
        <v>0</v>
      </c>
      <c r="W510" s="385">
        <f t="shared" si="824"/>
        <v>0</v>
      </c>
      <c r="X510" s="310">
        <f t="shared" si="788"/>
        <v>0</v>
      </c>
      <c r="Y510" s="310">
        <f t="shared" si="789"/>
        <v>0</v>
      </c>
      <c r="Z510" s="310">
        <f t="shared" si="790"/>
        <v>0</v>
      </c>
      <c r="AA510" s="309">
        <f t="shared" ref="AA510:BW510" si="825">AA390</f>
        <v>0</v>
      </c>
      <c r="AB510" s="309">
        <f t="shared" si="825"/>
        <v>0</v>
      </c>
      <c r="AC510" s="309">
        <f t="shared" si="825"/>
        <v>0</v>
      </c>
      <c r="AD510" s="309">
        <f t="shared" si="825"/>
        <v>0</v>
      </c>
      <c r="AE510" s="309">
        <f t="shared" si="825"/>
        <v>0</v>
      </c>
      <c r="AF510" s="309">
        <f t="shared" si="825"/>
        <v>0</v>
      </c>
      <c r="AG510" s="309">
        <f t="shared" si="825"/>
        <v>0</v>
      </c>
      <c r="AH510" s="309">
        <f t="shared" si="825"/>
        <v>0</v>
      </c>
      <c r="AI510" s="309">
        <f t="shared" si="825"/>
        <v>0</v>
      </c>
      <c r="AJ510" s="309">
        <f t="shared" si="825"/>
        <v>0</v>
      </c>
      <c r="AK510" s="309">
        <f t="shared" si="825"/>
        <v>0</v>
      </c>
      <c r="AL510" s="309">
        <f t="shared" si="825"/>
        <v>0</v>
      </c>
      <c r="AM510" s="309">
        <f t="shared" si="825"/>
        <v>0</v>
      </c>
      <c r="AN510" s="309">
        <f t="shared" si="825"/>
        <v>0</v>
      </c>
      <c r="AO510" s="309">
        <f t="shared" si="825"/>
        <v>0</v>
      </c>
      <c r="AP510" s="309">
        <f t="shared" si="825"/>
        <v>0</v>
      </c>
      <c r="AQ510" s="309">
        <f t="shared" si="825"/>
        <v>0</v>
      </c>
      <c r="AR510" s="309">
        <f t="shared" si="825"/>
        <v>0</v>
      </c>
      <c r="AS510" s="309">
        <f t="shared" si="825"/>
        <v>0</v>
      </c>
      <c r="AT510" s="309">
        <f t="shared" si="825"/>
        <v>0</v>
      </c>
      <c r="AU510" s="309">
        <f t="shared" si="825"/>
        <v>0</v>
      </c>
      <c r="AV510" s="309">
        <f t="shared" si="825"/>
        <v>0</v>
      </c>
      <c r="AW510" s="309">
        <f t="shared" si="825"/>
        <v>0</v>
      </c>
      <c r="AX510" s="309">
        <f t="shared" si="825"/>
        <v>0</v>
      </c>
      <c r="AY510" s="309">
        <f t="shared" si="825"/>
        <v>0</v>
      </c>
      <c r="AZ510" s="309">
        <f t="shared" si="825"/>
        <v>0</v>
      </c>
      <c r="BA510" s="309">
        <f t="shared" si="825"/>
        <v>0</v>
      </c>
      <c r="BB510" s="309">
        <f t="shared" si="825"/>
        <v>0</v>
      </c>
      <c r="BC510" s="309">
        <f t="shared" si="825"/>
        <v>0</v>
      </c>
      <c r="BD510" s="309">
        <f t="shared" si="825"/>
        <v>0</v>
      </c>
      <c r="BE510" s="309">
        <f t="shared" si="825"/>
        <v>0</v>
      </c>
      <c r="BF510" s="309">
        <f t="shared" si="825"/>
        <v>0</v>
      </c>
      <c r="BG510" s="309">
        <f t="shared" si="825"/>
        <v>0</v>
      </c>
      <c r="BH510" s="309">
        <f t="shared" si="825"/>
        <v>0</v>
      </c>
      <c r="BI510" s="309">
        <f t="shared" si="825"/>
        <v>0</v>
      </c>
      <c r="BJ510" s="309">
        <f t="shared" si="825"/>
        <v>0</v>
      </c>
      <c r="BK510" s="309">
        <f t="shared" si="825"/>
        <v>0</v>
      </c>
      <c r="BL510" s="309">
        <f t="shared" si="825"/>
        <v>0</v>
      </c>
      <c r="BM510" s="309">
        <f t="shared" si="825"/>
        <v>0</v>
      </c>
      <c r="BN510" s="307">
        <f t="shared" si="825"/>
        <v>0</v>
      </c>
      <c r="BO510" s="307">
        <f t="shared" si="825"/>
        <v>0</v>
      </c>
      <c r="BP510" s="307">
        <f t="shared" si="825"/>
        <v>0</v>
      </c>
      <c r="BQ510" s="307">
        <f t="shared" si="825"/>
        <v>0</v>
      </c>
      <c r="BR510" s="307">
        <f t="shared" si="825"/>
        <v>0</v>
      </c>
      <c r="BS510" s="307">
        <f t="shared" si="825"/>
        <v>0</v>
      </c>
      <c r="BT510" s="307">
        <f t="shared" si="825"/>
        <v>0</v>
      </c>
      <c r="BU510" s="307">
        <f t="shared" si="825"/>
        <v>0</v>
      </c>
      <c r="BV510" s="307">
        <f t="shared" si="825"/>
        <v>0</v>
      </c>
      <c r="BW510" s="307">
        <f t="shared" si="825"/>
        <v>0</v>
      </c>
      <c r="BX510" s="1"/>
      <c r="BY510" s="1"/>
      <c r="BZ510" s="1"/>
      <c r="CA510" s="1"/>
      <c r="CB510" s="1"/>
      <c r="CC510" s="1"/>
      <c r="CD510" s="1"/>
      <c r="CE510" s="1"/>
      <c r="CF510" s="1"/>
      <c r="CG510" s="1"/>
    </row>
    <row r="511" spans="1:85" ht="15.75" customHeight="1">
      <c r="A511" s="313"/>
      <c r="B511" s="418"/>
      <c r="C511" s="416" t="s">
        <v>127</v>
      </c>
      <c r="D511" s="306" t="s">
        <v>941</v>
      </c>
      <c r="E511" s="307">
        <f>E10+E199+E297+E400</f>
        <v>0</v>
      </c>
      <c r="F511" s="307">
        <f>F10+F199+F297+F400</f>
        <v>0</v>
      </c>
      <c r="G511" s="307">
        <f>G10+G199+G297+G400</f>
        <v>0</v>
      </c>
      <c r="H511" s="307">
        <f t="shared" ref="H511:K511" si="826">H10+H199+H297+H400</f>
        <v>0</v>
      </c>
      <c r="I511" s="307">
        <f t="shared" si="826"/>
        <v>0</v>
      </c>
      <c r="J511" s="307">
        <f t="shared" si="826"/>
        <v>0</v>
      </c>
      <c r="K511" s="307">
        <f t="shared" si="826"/>
        <v>11000</v>
      </c>
      <c r="L511" s="307">
        <f t="shared" ref="L511:W511" si="827">L10+L199+L297+L400</f>
        <v>0</v>
      </c>
      <c r="M511" s="307">
        <f t="shared" si="827"/>
        <v>0</v>
      </c>
      <c r="N511" s="307">
        <f t="shared" si="827"/>
        <v>2000</v>
      </c>
      <c r="O511" s="307">
        <f t="shared" si="827"/>
        <v>8217.4499999999989</v>
      </c>
      <c r="P511" s="307">
        <f t="shared" si="827"/>
        <v>0</v>
      </c>
      <c r="Q511" s="307">
        <f t="shared" si="827"/>
        <v>1532.71</v>
      </c>
      <c r="R511" s="309">
        <f t="shared" si="827"/>
        <v>8217.4499999999989</v>
      </c>
      <c r="S511" s="309">
        <f t="shared" si="827"/>
        <v>0</v>
      </c>
      <c r="T511" s="309">
        <f t="shared" si="827"/>
        <v>1532.71</v>
      </c>
      <c r="U511" s="385">
        <f t="shared" si="827"/>
        <v>2782.5500000000011</v>
      </c>
      <c r="V511" s="385">
        <f t="shared" si="827"/>
        <v>0</v>
      </c>
      <c r="W511" s="385">
        <f t="shared" si="827"/>
        <v>467.28999999999996</v>
      </c>
      <c r="X511" s="310">
        <f t="shared" si="788"/>
        <v>0.74704090909090903</v>
      </c>
      <c r="Y511" s="310">
        <f t="shared" si="789"/>
        <v>0</v>
      </c>
      <c r="Z511" s="310">
        <f t="shared" si="790"/>
        <v>0.76635500000000001</v>
      </c>
      <c r="AA511" s="307">
        <f t="shared" ref="AA511:BW511" si="828">AA10+AA199+AA297+AA400</f>
        <v>0</v>
      </c>
      <c r="AB511" s="307">
        <f t="shared" si="828"/>
        <v>0</v>
      </c>
      <c r="AC511" s="307">
        <f t="shared" si="828"/>
        <v>0</v>
      </c>
      <c r="AD511" s="307">
        <f t="shared" si="828"/>
        <v>940</v>
      </c>
      <c r="AE511" s="307">
        <f t="shared" si="828"/>
        <v>0</v>
      </c>
      <c r="AF511" s="307">
        <f t="shared" si="828"/>
        <v>0</v>
      </c>
      <c r="AG511" s="307">
        <f t="shared" si="828"/>
        <v>573.45000000000005</v>
      </c>
      <c r="AH511" s="307">
        <f t="shared" si="828"/>
        <v>0</v>
      </c>
      <c r="AI511" s="307">
        <f t="shared" si="828"/>
        <v>396.52</v>
      </c>
      <c r="AJ511" s="307">
        <f t="shared" si="828"/>
        <v>1047.5</v>
      </c>
      <c r="AK511" s="307">
        <f t="shared" si="828"/>
        <v>0</v>
      </c>
      <c r="AL511" s="307">
        <f t="shared" si="828"/>
        <v>0</v>
      </c>
      <c r="AM511" s="307">
        <f t="shared" si="828"/>
        <v>1486.2</v>
      </c>
      <c r="AN511" s="307">
        <f t="shared" si="828"/>
        <v>0</v>
      </c>
      <c r="AO511" s="307">
        <f t="shared" si="828"/>
        <v>736.19</v>
      </c>
      <c r="AP511" s="307">
        <f t="shared" si="828"/>
        <v>1021.44</v>
      </c>
      <c r="AQ511" s="307">
        <f t="shared" si="828"/>
        <v>0</v>
      </c>
      <c r="AR511" s="307">
        <f t="shared" si="828"/>
        <v>0</v>
      </c>
      <c r="AS511" s="307">
        <f t="shared" si="828"/>
        <v>1796.96</v>
      </c>
      <c r="AT511" s="307">
        <f t="shared" si="828"/>
        <v>0</v>
      </c>
      <c r="AU511" s="307">
        <f t="shared" si="828"/>
        <v>0</v>
      </c>
      <c r="AV511" s="307">
        <f t="shared" si="828"/>
        <v>494.48</v>
      </c>
      <c r="AW511" s="307">
        <f t="shared" si="828"/>
        <v>0</v>
      </c>
      <c r="AX511" s="307">
        <f t="shared" si="828"/>
        <v>400</v>
      </c>
      <c r="AY511" s="307">
        <f t="shared" si="828"/>
        <v>857.42</v>
      </c>
      <c r="AZ511" s="307">
        <f t="shared" si="828"/>
        <v>0</v>
      </c>
      <c r="BA511" s="307">
        <f t="shared" si="828"/>
        <v>0</v>
      </c>
      <c r="BB511" s="307">
        <f t="shared" si="828"/>
        <v>0</v>
      </c>
      <c r="BC511" s="307">
        <f t="shared" si="828"/>
        <v>0</v>
      </c>
      <c r="BD511" s="307">
        <f t="shared" si="828"/>
        <v>0</v>
      </c>
      <c r="BE511" s="307">
        <f t="shared" si="828"/>
        <v>0</v>
      </c>
      <c r="BF511" s="307">
        <f t="shared" si="828"/>
        <v>0</v>
      </c>
      <c r="BG511" s="307">
        <f t="shared" si="828"/>
        <v>0</v>
      </c>
      <c r="BH511" s="307">
        <f t="shared" si="828"/>
        <v>0</v>
      </c>
      <c r="BI511" s="307">
        <f t="shared" si="828"/>
        <v>0</v>
      </c>
      <c r="BJ511" s="307">
        <f t="shared" si="828"/>
        <v>0</v>
      </c>
      <c r="BK511" s="307">
        <f t="shared" si="828"/>
        <v>0</v>
      </c>
      <c r="BL511" s="307">
        <f t="shared" si="828"/>
        <v>0</v>
      </c>
      <c r="BM511" s="307">
        <f t="shared" si="828"/>
        <v>0</v>
      </c>
      <c r="BN511" s="307">
        <f t="shared" si="828"/>
        <v>8217.4499999999989</v>
      </c>
      <c r="BO511" s="307">
        <f t="shared" si="828"/>
        <v>1532.71</v>
      </c>
      <c r="BP511" s="307">
        <f t="shared" si="828"/>
        <v>9750.16</v>
      </c>
      <c r="BQ511" s="307">
        <f t="shared" si="828"/>
        <v>2782.5500000000011</v>
      </c>
      <c r="BR511" s="307">
        <f t="shared" si="828"/>
        <v>467.28999999999996</v>
      </c>
      <c r="BS511" s="307">
        <f t="shared" si="828"/>
        <v>3249.8400000000011</v>
      </c>
      <c r="BT511" s="307">
        <f t="shared" si="828"/>
        <v>0</v>
      </c>
      <c r="BU511" s="307">
        <f t="shared" si="828"/>
        <v>9750.16</v>
      </c>
      <c r="BV511" s="307">
        <f t="shared" si="828"/>
        <v>3249.8400000000011</v>
      </c>
      <c r="BW511" s="307">
        <f t="shared" si="828"/>
        <v>9750.16</v>
      </c>
      <c r="BX511" s="1"/>
      <c r="BY511" s="1"/>
      <c r="BZ511" s="1"/>
      <c r="CA511" s="1"/>
      <c r="CB511" s="1"/>
      <c r="CC511" s="1"/>
      <c r="CD511" s="1"/>
      <c r="CE511" s="1"/>
      <c r="CF511" s="1"/>
      <c r="CG511" s="1"/>
    </row>
    <row r="512" spans="1:85" ht="15.75" customHeight="1">
      <c r="A512" s="313"/>
      <c r="B512" s="418"/>
      <c r="C512" s="416" t="s">
        <v>129</v>
      </c>
      <c r="D512" s="306" t="s">
        <v>942</v>
      </c>
      <c r="E512" s="307">
        <f>E11+E200+E243+E401+E476</f>
        <v>143500</v>
      </c>
      <c r="F512" s="307">
        <f>F11+F200+F243+F401+F476</f>
        <v>0</v>
      </c>
      <c r="G512" s="307">
        <f>G11+G200+G243+G401+G476</f>
        <v>143500</v>
      </c>
      <c r="H512" s="307">
        <f t="shared" ref="H512:J512" si="829">H11+H200+H243+H401+H476</f>
        <v>0</v>
      </c>
      <c r="I512" s="307">
        <f t="shared" si="829"/>
        <v>0</v>
      </c>
      <c r="J512" s="307">
        <f t="shared" si="829"/>
        <v>0</v>
      </c>
      <c r="K512" s="307">
        <f>K11+K200+K243+K401+K476</f>
        <v>275415.38</v>
      </c>
      <c r="L512" s="307">
        <f t="shared" ref="L512:W512" si="830">L11+L200+L243+L401+L476</f>
        <v>0</v>
      </c>
      <c r="M512" s="307">
        <f t="shared" si="830"/>
        <v>0</v>
      </c>
      <c r="N512" s="307">
        <f t="shared" si="830"/>
        <v>0</v>
      </c>
      <c r="O512" s="307">
        <f t="shared" si="830"/>
        <v>114765.54999999999</v>
      </c>
      <c r="P512" s="307">
        <f t="shared" si="830"/>
        <v>0</v>
      </c>
      <c r="Q512" s="307">
        <f t="shared" si="830"/>
        <v>0</v>
      </c>
      <c r="R512" s="309">
        <f t="shared" si="830"/>
        <v>114765.54999999999</v>
      </c>
      <c r="S512" s="309">
        <f t="shared" si="830"/>
        <v>0</v>
      </c>
      <c r="T512" s="309">
        <f t="shared" si="830"/>
        <v>0</v>
      </c>
      <c r="U512" s="385">
        <f t="shared" si="830"/>
        <v>160649.83000000002</v>
      </c>
      <c r="V512" s="385">
        <f t="shared" si="830"/>
        <v>0</v>
      </c>
      <c r="W512" s="385">
        <f t="shared" si="830"/>
        <v>0</v>
      </c>
      <c r="X512" s="310">
        <f t="shared" si="788"/>
        <v>0.41669985895486295</v>
      </c>
      <c r="Y512" s="310">
        <f t="shared" si="789"/>
        <v>0</v>
      </c>
      <c r="Z512" s="310">
        <f t="shared" si="790"/>
        <v>0</v>
      </c>
      <c r="AA512" s="307">
        <f t="shared" ref="AA512:BW512" si="831">AA11+AA200+AA243+AA401+AA476</f>
        <v>22709.98</v>
      </c>
      <c r="AB512" s="307">
        <f t="shared" si="831"/>
        <v>0</v>
      </c>
      <c r="AC512" s="307">
        <f t="shared" si="831"/>
        <v>0</v>
      </c>
      <c r="AD512" s="307">
        <f t="shared" si="831"/>
        <v>23021.82</v>
      </c>
      <c r="AE512" s="307">
        <f t="shared" si="831"/>
        <v>0</v>
      </c>
      <c r="AF512" s="307">
        <f t="shared" si="831"/>
        <v>0</v>
      </c>
      <c r="AG512" s="307">
        <f t="shared" si="831"/>
        <v>24276.59</v>
      </c>
      <c r="AH512" s="307">
        <f t="shared" si="831"/>
        <v>0</v>
      </c>
      <c r="AI512" s="307">
        <f t="shared" si="831"/>
        <v>0</v>
      </c>
      <c r="AJ512" s="307">
        <f t="shared" si="831"/>
        <v>27111.34</v>
      </c>
      <c r="AK512" s="307">
        <f t="shared" si="831"/>
        <v>0</v>
      </c>
      <c r="AL512" s="307">
        <f t="shared" si="831"/>
        <v>0</v>
      </c>
      <c r="AM512" s="307">
        <f t="shared" si="831"/>
        <v>17645.82</v>
      </c>
      <c r="AN512" s="307">
        <f t="shared" si="831"/>
        <v>0</v>
      </c>
      <c r="AO512" s="307">
        <f t="shared" si="831"/>
        <v>0</v>
      </c>
      <c r="AP512" s="307">
        <f t="shared" si="831"/>
        <v>0</v>
      </c>
      <c r="AQ512" s="307">
        <f t="shared" si="831"/>
        <v>0</v>
      </c>
      <c r="AR512" s="307">
        <f t="shared" si="831"/>
        <v>0</v>
      </c>
      <c r="AS512" s="307">
        <f t="shared" si="831"/>
        <v>0</v>
      </c>
      <c r="AT512" s="307">
        <f t="shared" si="831"/>
        <v>0</v>
      </c>
      <c r="AU512" s="307">
        <f t="shared" si="831"/>
        <v>0</v>
      </c>
      <c r="AV512" s="307">
        <f t="shared" si="831"/>
        <v>0</v>
      </c>
      <c r="AW512" s="307">
        <f t="shared" si="831"/>
        <v>0</v>
      </c>
      <c r="AX512" s="307">
        <f t="shared" si="831"/>
        <v>0</v>
      </c>
      <c r="AY512" s="307">
        <f t="shared" si="831"/>
        <v>0</v>
      </c>
      <c r="AZ512" s="307">
        <f t="shared" si="831"/>
        <v>0</v>
      </c>
      <c r="BA512" s="307">
        <f t="shared" si="831"/>
        <v>0</v>
      </c>
      <c r="BB512" s="307">
        <f t="shared" si="831"/>
        <v>0</v>
      </c>
      <c r="BC512" s="307">
        <f t="shared" si="831"/>
        <v>0</v>
      </c>
      <c r="BD512" s="307">
        <f t="shared" si="831"/>
        <v>0</v>
      </c>
      <c r="BE512" s="307">
        <f t="shared" si="831"/>
        <v>0</v>
      </c>
      <c r="BF512" s="307">
        <f t="shared" si="831"/>
        <v>0</v>
      </c>
      <c r="BG512" s="307">
        <f t="shared" si="831"/>
        <v>0</v>
      </c>
      <c r="BH512" s="307">
        <f t="shared" si="831"/>
        <v>0</v>
      </c>
      <c r="BI512" s="307">
        <f t="shared" si="831"/>
        <v>0</v>
      </c>
      <c r="BJ512" s="307">
        <f t="shared" si="831"/>
        <v>0</v>
      </c>
      <c r="BK512" s="307">
        <f t="shared" si="831"/>
        <v>0</v>
      </c>
      <c r="BL512" s="307">
        <f t="shared" si="831"/>
        <v>0</v>
      </c>
      <c r="BM512" s="307">
        <f t="shared" si="831"/>
        <v>0</v>
      </c>
      <c r="BN512" s="307">
        <f t="shared" si="831"/>
        <v>114765.54999999999</v>
      </c>
      <c r="BO512" s="307">
        <f t="shared" si="831"/>
        <v>0</v>
      </c>
      <c r="BP512" s="307">
        <f t="shared" si="831"/>
        <v>114765.54999999999</v>
      </c>
      <c r="BQ512" s="307">
        <f t="shared" si="831"/>
        <v>160649.83000000002</v>
      </c>
      <c r="BR512" s="307">
        <f t="shared" si="831"/>
        <v>0</v>
      </c>
      <c r="BS512" s="307">
        <f t="shared" si="831"/>
        <v>160649.83000000002</v>
      </c>
      <c r="BT512" s="307">
        <f t="shared" si="831"/>
        <v>0</v>
      </c>
      <c r="BU512" s="307">
        <f t="shared" si="831"/>
        <v>114765.54999999999</v>
      </c>
      <c r="BV512" s="307">
        <f t="shared" si="831"/>
        <v>160649.83000000002</v>
      </c>
      <c r="BW512" s="307">
        <f t="shared" si="831"/>
        <v>114765.54999999999</v>
      </c>
      <c r="BX512" s="1"/>
      <c r="BY512" s="1"/>
      <c r="BZ512" s="1"/>
      <c r="CA512" s="1"/>
      <c r="CB512" s="1"/>
      <c r="CC512" s="1"/>
      <c r="CD512" s="1"/>
      <c r="CE512" s="1"/>
      <c r="CF512" s="1"/>
      <c r="CG512" s="1"/>
    </row>
    <row r="513" spans="1:85" ht="15.75" customHeight="1">
      <c r="A513" s="313"/>
      <c r="B513" s="418"/>
      <c r="C513" s="416" t="s">
        <v>131</v>
      </c>
      <c r="D513" s="306" t="s">
        <v>943</v>
      </c>
      <c r="E513" s="307">
        <f>E12+E264+E265+E402</f>
        <v>35000</v>
      </c>
      <c r="F513" s="307">
        <f>F12+F264+F265+F402</f>
        <v>0</v>
      </c>
      <c r="G513" s="307">
        <f>G12+G264+G265+G402</f>
        <v>35000</v>
      </c>
      <c r="H513" s="307">
        <f t="shared" ref="H513:J513" si="832">H12+H264+H265+H266+H402+H403</f>
        <v>200000</v>
      </c>
      <c r="I513" s="307">
        <f t="shared" si="832"/>
        <v>0.16</v>
      </c>
      <c r="J513" s="307">
        <f t="shared" si="832"/>
        <v>5.6533333333333331E-2</v>
      </c>
      <c r="K513" s="307">
        <f>K12+K264+K265+K266+K402+K403</f>
        <v>12810</v>
      </c>
      <c r="L513" s="307">
        <f t="shared" ref="L513:W513" si="833">L12+L264+L265+L266+L402+L403</f>
        <v>25519.200000000001</v>
      </c>
      <c r="M513" s="307">
        <f t="shared" si="833"/>
        <v>5671.32</v>
      </c>
      <c r="N513" s="307">
        <f>N12+N264+N265+N266+N402+N403</f>
        <v>19679.28</v>
      </c>
      <c r="O513" s="307">
        <f>O12+O264+O265+O266+O402+O403</f>
        <v>9706</v>
      </c>
      <c r="P513" s="307">
        <f t="shared" si="833"/>
        <v>19847.88</v>
      </c>
      <c r="Q513" s="307">
        <f t="shared" si="833"/>
        <v>5542.68</v>
      </c>
      <c r="R513" s="307">
        <f t="shared" si="833"/>
        <v>9706</v>
      </c>
      <c r="S513" s="307">
        <f t="shared" si="833"/>
        <v>19847.88</v>
      </c>
      <c r="T513" s="307">
        <f t="shared" si="833"/>
        <v>5542.68</v>
      </c>
      <c r="U513" s="307">
        <f t="shared" si="833"/>
        <v>3104</v>
      </c>
      <c r="V513" s="307">
        <f t="shared" si="833"/>
        <v>0</v>
      </c>
      <c r="W513" s="307">
        <f t="shared" si="833"/>
        <v>14136.6</v>
      </c>
      <c r="X513" s="310">
        <f t="shared" si="788"/>
        <v>0.75768930523028888</v>
      </c>
      <c r="Y513" s="310">
        <f t="shared" si="789"/>
        <v>0.77776262578764221</v>
      </c>
      <c r="Z513" s="310">
        <f t="shared" si="790"/>
        <v>0.2816505481907875</v>
      </c>
      <c r="AA513" s="307">
        <f t="shared" ref="AA513:BW513" si="834">AA12+AA264+AA265+AA266+AA402+AA403</f>
        <v>0</v>
      </c>
      <c r="AB513" s="307">
        <f t="shared" si="834"/>
        <v>0</v>
      </c>
      <c r="AC513" s="307">
        <f t="shared" si="834"/>
        <v>0</v>
      </c>
      <c r="AD513" s="307">
        <f t="shared" si="834"/>
        <v>0</v>
      </c>
      <c r="AE513" s="307">
        <f t="shared" si="834"/>
        <v>0</v>
      </c>
      <c r="AF513" s="307">
        <f t="shared" si="834"/>
        <v>0</v>
      </c>
      <c r="AG513" s="307">
        <f t="shared" si="834"/>
        <v>0</v>
      </c>
      <c r="AH513" s="307">
        <f t="shared" si="834"/>
        <v>3827.88</v>
      </c>
      <c r="AI513" s="307">
        <f t="shared" si="834"/>
        <v>0</v>
      </c>
      <c r="AJ513" s="307">
        <f t="shared" si="834"/>
        <v>384</v>
      </c>
      <c r="AK513" s="307">
        <f t="shared" si="834"/>
        <v>0</v>
      </c>
      <c r="AL513" s="307">
        <f t="shared" si="834"/>
        <v>0</v>
      </c>
      <c r="AM513" s="307">
        <f t="shared" si="834"/>
        <v>448</v>
      </c>
      <c r="AN513" s="307">
        <f t="shared" si="834"/>
        <v>8010</v>
      </c>
      <c r="AO513" s="307">
        <f t="shared" si="834"/>
        <v>0</v>
      </c>
      <c r="AP513" s="307">
        <f t="shared" si="834"/>
        <v>0</v>
      </c>
      <c r="AQ513" s="307">
        <f t="shared" si="834"/>
        <v>8010</v>
      </c>
      <c r="AR513" s="307">
        <f t="shared" si="834"/>
        <v>5542.68</v>
      </c>
      <c r="AS513" s="307">
        <f t="shared" si="834"/>
        <v>448</v>
      </c>
      <c r="AT513" s="307">
        <f t="shared" si="834"/>
        <v>0</v>
      </c>
      <c r="AU513" s="307">
        <f t="shared" si="834"/>
        <v>0</v>
      </c>
      <c r="AV513" s="307">
        <f t="shared" si="834"/>
        <v>0</v>
      </c>
      <c r="AW513" s="307">
        <f t="shared" si="834"/>
        <v>0</v>
      </c>
      <c r="AX513" s="307">
        <f t="shared" si="834"/>
        <v>0</v>
      </c>
      <c r="AY513" s="307">
        <f t="shared" si="834"/>
        <v>8426</v>
      </c>
      <c r="AZ513" s="307">
        <f t="shared" si="834"/>
        <v>0</v>
      </c>
      <c r="BA513" s="307">
        <f t="shared" si="834"/>
        <v>0</v>
      </c>
      <c r="BB513" s="307">
        <f t="shared" si="834"/>
        <v>0</v>
      </c>
      <c r="BC513" s="307">
        <f t="shared" si="834"/>
        <v>0</v>
      </c>
      <c r="BD513" s="307">
        <f t="shared" si="834"/>
        <v>0</v>
      </c>
      <c r="BE513" s="307">
        <f t="shared" si="834"/>
        <v>0</v>
      </c>
      <c r="BF513" s="307">
        <f t="shared" si="834"/>
        <v>0</v>
      </c>
      <c r="BG513" s="307">
        <f t="shared" si="834"/>
        <v>0</v>
      </c>
      <c r="BH513" s="307">
        <f t="shared" si="834"/>
        <v>0</v>
      </c>
      <c r="BI513" s="307">
        <f t="shared" si="834"/>
        <v>0</v>
      </c>
      <c r="BJ513" s="307">
        <f t="shared" si="834"/>
        <v>0</v>
      </c>
      <c r="BK513" s="307">
        <f t="shared" si="834"/>
        <v>0</v>
      </c>
      <c r="BL513" s="307">
        <f t="shared" si="834"/>
        <v>0</v>
      </c>
      <c r="BM513" s="307">
        <f t="shared" si="834"/>
        <v>0</v>
      </c>
      <c r="BN513" s="307">
        <f t="shared" si="834"/>
        <v>9706</v>
      </c>
      <c r="BO513" s="307">
        <f t="shared" si="834"/>
        <v>5542.68</v>
      </c>
      <c r="BP513" s="307">
        <f t="shared" si="834"/>
        <v>15248.68</v>
      </c>
      <c r="BQ513" s="307">
        <f t="shared" si="834"/>
        <v>3104</v>
      </c>
      <c r="BR513" s="307">
        <f t="shared" si="834"/>
        <v>14136.6</v>
      </c>
      <c r="BS513" s="307">
        <f t="shared" si="834"/>
        <v>17240.599999999999</v>
      </c>
      <c r="BT513" s="307">
        <f t="shared" si="834"/>
        <v>0</v>
      </c>
      <c r="BU513" s="307">
        <f t="shared" si="834"/>
        <v>15248.68</v>
      </c>
      <c r="BV513" s="307">
        <f t="shared" si="834"/>
        <v>17240.599999999999</v>
      </c>
      <c r="BW513" s="307">
        <f t="shared" si="834"/>
        <v>15248.68</v>
      </c>
      <c r="BX513" s="1"/>
      <c r="BY513" s="1"/>
      <c r="BZ513" s="1"/>
      <c r="CA513" s="1"/>
      <c r="CB513" s="1"/>
      <c r="CC513" s="1"/>
      <c r="CD513" s="1"/>
      <c r="CE513" s="1"/>
      <c r="CF513" s="1"/>
      <c r="CG513" s="1"/>
    </row>
    <row r="514" spans="1:85" ht="15.75" customHeight="1">
      <c r="A514" s="313"/>
      <c r="B514" s="418"/>
      <c r="C514" s="416" t="s">
        <v>765</v>
      </c>
      <c r="D514" s="306" t="s">
        <v>944</v>
      </c>
      <c r="E514" s="307">
        <f>E404+E405+E406+E407+E408+E409+E412+E413+E414+E415+E416+E417+E422+E423</f>
        <v>100000</v>
      </c>
      <c r="F514" s="307">
        <f>F404+F405+F406+F407+F408+F409+F412+F413+F414+F415+F416+F417+F422+F423</f>
        <v>0</v>
      </c>
      <c r="G514" s="307">
        <f>G404+G405+G406+G407+G408+G409+G412+G413+G414+G415+G416+G417+G422+G423</f>
        <v>100000</v>
      </c>
      <c r="H514" s="307">
        <f t="shared" ref="H514:J514" si="835">SUM(H404:H423)</f>
        <v>0</v>
      </c>
      <c r="I514" s="307">
        <f t="shared" si="835"/>
        <v>9.9747999999999989E-2</v>
      </c>
      <c r="J514" s="307">
        <f t="shared" si="835"/>
        <v>9.9747999999999989E-2</v>
      </c>
      <c r="K514" s="307">
        <f>SUM(K404:K423)</f>
        <v>271495.2</v>
      </c>
      <c r="L514" s="307">
        <f t="shared" ref="L514:W514" si="836">SUM(L404:L423)</f>
        <v>70151.799999999988</v>
      </c>
      <c r="M514" s="307">
        <f t="shared" si="836"/>
        <v>0</v>
      </c>
      <c r="N514" s="307">
        <f t="shared" si="836"/>
        <v>0</v>
      </c>
      <c r="O514" s="307">
        <f t="shared" si="836"/>
        <v>224789</v>
      </c>
      <c r="P514" s="307">
        <f t="shared" si="836"/>
        <v>70151.799999999988</v>
      </c>
      <c r="Q514" s="307">
        <f t="shared" si="836"/>
        <v>0</v>
      </c>
      <c r="R514" s="307">
        <f t="shared" si="836"/>
        <v>224789</v>
      </c>
      <c r="S514" s="307">
        <f t="shared" si="836"/>
        <v>70151.799999999988</v>
      </c>
      <c r="T514" s="307">
        <f t="shared" si="836"/>
        <v>0</v>
      </c>
      <c r="U514" s="307">
        <f t="shared" si="836"/>
        <v>46706.2</v>
      </c>
      <c r="V514" s="307">
        <f t="shared" si="836"/>
        <v>0</v>
      </c>
      <c r="W514" s="307">
        <f t="shared" si="836"/>
        <v>0</v>
      </c>
      <c r="X514" s="310">
        <f t="shared" si="788"/>
        <v>0.82796675595001312</v>
      </c>
      <c r="Y514" s="310">
        <f t="shared" si="789"/>
        <v>1</v>
      </c>
      <c r="Z514" s="310">
        <f t="shared" si="790"/>
        <v>0</v>
      </c>
      <c r="AA514" s="307">
        <f t="shared" ref="AA514:BW514" si="837">SUM(AA404:AA423)</f>
        <v>0</v>
      </c>
      <c r="AB514" s="307">
        <f t="shared" si="837"/>
        <v>36268.6</v>
      </c>
      <c r="AC514" s="307">
        <f t="shared" si="837"/>
        <v>0</v>
      </c>
      <c r="AD514" s="307">
        <f t="shared" si="837"/>
        <v>0</v>
      </c>
      <c r="AE514" s="307">
        <f t="shared" si="837"/>
        <v>4199.2</v>
      </c>
      <c r="AF514" s="307">
        <f t="shared" si="837"/>
        <v>0</v>
      </c>
      <c r="AG514" s="307">
        <f t="shared" si="837"/>
        <v>45443</v>
      </c>
      <c r="AH514" s="307">
        <f t="shared" si="837"/>
        <v>29684</v>
      </c>
      <c r="AI514" s="307">
        <f t="shared" si="837"/>
        <v>0</v>
      </c>
      <c r="AJ514" s="307">
        <f t="shared" si="837"/>
        <v>7828.2000000000007</v>
      </c>
      <c r="AK514" s="307">
        <f t="shared" si="837"/>
        <v>0</v>
      </c>
      <c r="AL514" s="307">
        <f t="shared" si="837"/>
        <v>0</v>
      </c>
      <c r="AM514" s="307">
        <f t="shared" si="837"/>
        <v>47652</v>
      </c>
      <c r="AN514" s="307">
        <f t="shared" si="837"/>
        <v>0</v>
      </c>
      <c r="AO514" s="307">
        <f t="shared" si="837"/>
        <v>0</v>
      </c>
      <c r="AP514" s="307">
        <f t="shared" si="837"/>
        <v>23938.799999999999</v>
      </c>
      <c r="AQ514" s="307">
        <f t="shared" si="837"/>
        <v>0</v>
      </c>
      <c r="AR514" s="307">
        <f t="shared" si="837"/>
        <v>0</v>
      </c>
      <c r="AS514" s="307">
        <f t="shared" si="837"/>
        <v>62310</v>
      </c>
      <c r="AT514" s="307">
        <f t="shared" si="837"/>
        <v>0</v>
      </c>
      <c r="AU514" s="307">
        <f t="shared" si="837"/>
        <v>0</v>
      </c>
      <c r="AV514" s="307">
        <f t="shared" si="837"/>
        <v>36140</v>
      </c>
      <c r="AW514" s="307">
        <f t="shared" si="837"/>
        <v>0</v>
      </c>
      <c r="AX514" s="307">
        <f t="shared" si="837"/>
        <v>0</v>
      </c>
      <c r="AY514" s="307">
        <f t="shared" si="837"/>
        <v>1477</v>
      </c>
      <c r="AZ514" s="307">
        <f t="shared" si="837"/>
        <v>0</v>
      </c>
      <c r="BA514" s="307">
        <f t="shared" si="837"/>
        <v>0</v>
      </c>
      <c r="BB514" s="307">
        <f t="shared" si="837"/>
        <v>0</v>
      </c>
      <c r="BC514" s="307">
        <f t="shared" si="837"/>
        <v>0</v>
      </c>
      <c r="BD514" s="307">
        <f t="shared" si="837"/>
        <v>0</v>
      </c>
      <c r="BE514" s="307">
        <f t="shared" si="837"/>
        <v>0</v>
      </c>
      <c r="BF514" s="307">
        <f t="shared" si="837"/>
        <v>0</v>
      </c>
      <c r="BG514" s="307">
        <f t="shared" si="837"/>
        <v>0</v>
      </c>
      <c r="BH514" s="307">
        <f t="shared" si="837"/>
        <v>0</v>
      </c>
      <c r="BI514" s="307">
        <f t="shared" si="837"/>
        <v>0</v>
      </c>
      <c r="BJ514" s="307">
        <f t="shared" si="837"/>
        <v>0</v>
      </c>
      <c r="BK514" s="307">
        <f t="shared" si="837"/>
        <v>0</v>
      </c>
      <c r="BL514" s="307">
        <f t="shared" si="837"/>
        <v>0</v>
      </c>
      <c r="BM514" s="307">
        <f t="shared" si="837"/>
        <v>0</v>
      </c>
      <c r="BN514" s="307">
        <f t="shared" si="837"/>
        <v>224789</v>
      </c>
      <c r="BO514" s="307">
        <f t="shared" si="837"/>
        <v>0</v>
      </c>
      <c r="BP514" s="307">
        <f t="shared" si="837"/>
        <v>224789</v>
      </c>
      <c r="BQ514" s="307">
        <f t="shared" si="837"/>
        <v>46706.2</v>
      </c>
      <c r="BR514" s="307">
        <f t="shared" si="837"/>
        <v>0</v>
      </c>
      <c r="BS514" s="307">
        <f t="shared" si="837"/>
        <v>46706.2</v>
      </c>
      <c r="BT514" s="307">
        <f t="shared" si="837"/>
        <v>0</v>
      </c>
      <c r="BU514" s="307">
        <f t="shared" si="837"/>
        <v>224789</v>
      </c>
      <c r="BV514" s="307">
        <f t="shared" si="837"/>
        <v>46706.2</v>
      </c>
      <c r="BW514" s="307">
        <f t="shared" si="837"/>
        <v>224789</v>
      </c>
      <c r="BX514" s="1"/>
      <c r="BY514" s="1"/>
      <c r="BZ514" s="1"/>
      <c r="CA514" s="1"/>
      <c r="CB514" s="1"/>
      <c r="CC514" s="1"/>
      <c r="CD514" s="1"/>
      <c r="CE514" s="1"/>
      <c r="CF514" s="1"/>
      <c r="CG514" s="1"/>
    </row>
    <row r="515" spans="1:85" ht="15.75" customHeight="1">
      <c r="A515" s="313"/>
      <c r="B515" s="418"/>
      <c r="C515" s="416" t="s">
        <v>133</v>
      </c>
      <c r="D515" s="306" t="s">
        <v>134</v>
      </c>
      <c r="E515" s="307">
        <f>E13+E267+E268+E269+E270+E271+E272+E273+E274+E421</f>
        <v>5000</v>
      </c>
      <c r="F515" s="307">
        <f>F13+F267+F268+F269+F270+F271+F272+F273+F274+F421</f>
        <v>0</v>
      </c>
      <c r="G515" s="307">
        <f>G13+G267+G268+G269+G270+G271+G272+G273+G274+G421</f>
        <v>5000</v>
      </c>
      <c r="H515" s="307">
        <f t="shared" ref="H515:J515" si="838">H13+SUM(H267:H277)</f>
        <v>450000</v>
      </c>
      <c r="I515" s="307">
        <f t="shared" si="838"/>
        <v>0</v>
      </c>
      <c r="J515" s="307">
        <f t="shared" si="838"/>
        <v>0</v>
      </c>
      <c r="K515" s="307">
        <f>K13+SUM(K267:K277)</f>
        <v>0</v>
      </c>
      <c r="L515" s="307">
        <f>L13+SUM(L267:L277)</f>
        <v>676766.71999999997</v>
      </c>
      <c r="M515" s="307">
        <f>M13+SUM(M267:M277)</f>
        <v>0</v>
      </c>
      <c r="N515" s="307">
        <f>N13+SUM(N267:N277)</f>
        <v>286298.92</v>
      </c>
      <c r="O515" s="307">
        <f t="shared" ref="O515:W515" si="839">O13+SUM(O267:O277)</f>
        <v>0</v>
      </c>
      <c r="P515" s="307">
        <f t="shared" si="839"/>
        <v>570214.61</v>
      </c>
      <c r="Q515" s="307">
        <f t="shared" si="839"/>
        <v>106441.5</v>
      </c>
      <c r="R515" s="307">
        <f t="shared" si="839"/>
        <v>0</v>
      </c>
      <c r="S515" s="307">
        <f t="shared" si="839"/>
        <v>570214.61</v>
      </c>
      <c r="T515" s="307">
        <f t="shared" si="839"/>
        <v>106441.5</v>
      </c>
      <c r="U515" s="307">
        <f t="shared" si="839"/>
        <v>0</v>
      </c>
      <c r="V515" s="307">
        <f t="shared" si="839"/>
        <v>106552.10999999999</v>
      </c>
      <c r="W515" s="307">
        <f t="shared" si="839"/>
        <v>179857.42</v>
      </c>
      <c r="X515" s="310">
        <f t="shared" si="788"/>
        <v>0</v>
      </c>
      <c r="Y515" s="310">
        <f t="shared" si="789"/>
        <v>0.84255710741804801</v>
      </c>
      <c r="Z515" s="310">
        <f t="shared" si="790"/>
        <v>0.37178449712629025</v>
      </c>
      <c r="AA515" s="307">
        <f t="shared" ref="AA515:BW515" si="840">AA13+SUM(AA267:AA277)</f>
        <v>0</v>
      </c>
      <c r="AB515" s="307">
        <f t="shared" si="840"/>
        <v>0</v>
      </c>
      <c r="AC515" s="307">
        <f t="shared" si="840"/>
        <v>0</v>
      </c>
      <c r="AD515" s="307">
        <f t="shared" si="840"/>
        <v>0</v>
      </c>
      <c r="AE515" s="307">
        <f t="shared" si="840"/>
        <v>39572.18</v>
      </c>
      <c r="AF515" s="307">
        <f t="shared" si="840"/>
        <v>0</v>
      </c>
      <c r="AG515" s="307">
        <f t="shared" si="840"/>
        <v>0</v>
      </c>
      <c r="AH515" s="307">
        <f t="shared" si="840"/>
        <v>71970.91</v>
      </c>
      <c r="AI515" s="307">
        <f t="shared" si="840"/>
        <v>14077.8</v>
      </c>
      <c r="AJ515" s="307">
        <f t="shared" si="840"/>
        <v>0</v>
      </c>
      <c r="AK515" s="307">
        <f t="shared" si="840"/>
        <v>63943.130000000005</v>
      </c>
      <c r="AL515" s="307">
        <f t="shared" si="840"/>
        <v>0</v>
      </c>
      <c r="AM515" s="307">
        <f t="shared" si="840"/>
        <v>0</v>
      </c>
      <c r="AN515" s="307">
        <f t="shared" si="840"/>
        <v>83044.989999999991</v>
      </c>
      <c r="AO515" s="307">
        <f t="shared" si="840"/>
        <v>19372.2</v>
      </c>
      <c r="AP515" s="307">
        <f t="shared" si="840"/>
        <v>0</v>
      </c>
      <c r="AQ515" s="307">
        <f t="shared" si="840"/>
        <v>125365.91999999998</v>
      </c>
      <c r="AR515" s="307">
        <f t="shared" si="840"/>
        <v>0</v>
      </c>
      <c r="AS515" s="307">
        <f t="shared" si="840"/>
        <v>0</v>
      </c>
      <c r="AT515" s="307">
        <f t="shared" si="840"/>
        <v>38200.300000000003</v>
      </c>
      <c r="AU515" s="307">
        <f t="shared" si="840"/>
        <v>0</v>
      </c>
      <c r="AV515" s="307">
        <f t="shared" si="840"/>
        <v>0</v>
      </c>
      <c r="AW515" s="307">
        <f t="shared" si="840"/>
        <v>135983.08000000002</v>
      </c>
      <c r="AX515" s="307">
        <f t="shared" si="840"/>
        <v>58999.5</v>
      </c>
      <c r="AY515" s="307">
        <f t="shared" si="840"/>
        <v>0</v>
      </c>
      <c r="AZ515" s="307">
        <f t="shared" si="840"/>
        <v>12134.1</v>
      </c>
      <c r="BA515" s="307">
        <f t="shared" si="840"/>
        <v>13992</v>
      </c>
      <c r="BB515" s="307">
        <f t="shared" si="840"/>
        <v>0</v>
      </c>
      <c r="BC515" s="307">
        <f t="shared" si="840"/>
        <v>0</v>
      </c>
      <c r="BD515" s="307">
        <f t="shared" si="840"/>
        <v>0</v>
      </c>
      <c r="BE515" s="307">
        <f t="shared" si="840"/>
        <v>0</v>
      </c>
      <c r="BF515" s="307">
        <f t="shared" si="840"/>
        <v>0</v>
      </c>
      <c r="BG515" s="307">
        <f t="shared" si="840"/>
        <v>0</v>
      </c>
      <c r="BH515" s="307">
        <f t="shared" si="840"/>
        <v>0</v>
      </c>
      <c r="BI515" s="307">
        <f t="shared" si="840"/>
        <v>0</v>
      </c>
      <c r="BJ515" s="307">
        <f t="shared" si="840"/>
        <v>0</v>
      </c>
      <c r="BK515" s="307">
        <f t="shared" si="840"/>
        <v>0</v>
      </c>
      <c r="BL515" s="307">
        <f t="shared" si="840"/>
        <v>0</v>
      </c>
      <c r="BM515" s="307">
        <f t="shared" si="840"/>
        <v>0</v>
      </c>
      <c r="BN515" s="307">
        <f t="shared" si="840"/>
        <v>0</v>
      </c>
      <c r="BO515" s="307">
        <f t="shared" si="840"/>
        <v>106441.5</v>
      </c>
      <c r="BP515" s="307">
        <f t="shared" si="840"/>
        <v>106441.5</v>
      </c>
      <c r="BQ515" s="307">
        <f t="shared" si="840"/>
        <v>0</v>
      </c>
      <c r="BR515" s="307">
        <f t="shared" si="840"/>
        <v>179857.42</v>
      </c>
      <c r="BS515" s="307">
        <f t="shared" si="840"/>
        <v>179857.42</v>
      </c>
      <c r="BT515" s="307">
        <f t="shared" si="840"/>
        <v>106552.10999999999</v>
      </c>
      <c r="BU515" s="307">
        <f t="shared" si="840"/>
        <v>106441.5</v>
      </c>
      <c r="BV515" s="307">
        <f t="shared" si="840"/>
        <v>179857.42</v>
      </c>
      <c r="BW515" s="307">
        <f t="shared" si="840"/>
        <v>212993.61</v>
      </c>
      <c r="BX515" s="1"/>
      <c r="BY515" s="1"/>
      <c r="BZ515" s="1"/>
      <c r="CA515" s="1"/>
      <c r="CB515" s="1"/>
      <c r="CC515" s="1"/>
      <c r="CD515" s="1"/>
      <c r="CE515" s="1"/>
      <c r="CF515" s="1"/>
      <c r="CG515" s="1"/>
    </row>
    <row r="516" spans="1:85" ht="15.75" customHeight="1">
      <c r="A516" s="313"/>
      <c r="B516" s="418"/>
      <c r="C516" s="416" t="s">
        <v>802</v>
      </c>
      <c r="D516" s="306" t="s">
        <v>945</v>
      </c>
      <c r="E516" s="307">
        <f>E424+E425</f>
        <v>15000</v>
      </c>
      <c r="F516" s="307">
        <f>F424+F425</f>
        <v>0</v>
      </c>
      <c r="G516" s="307">
        <f>G424+G425</f>
        <v>15000</v>
      </c>
      <c r="H516" s="307">
        <f t="shared" ref="H516:J516" si="841">H424+H425+H426</f>
        <v>0</v>
      </c>
      <c r="I516" s="307">
        <f t="shared" si="841"/>
        <v>0</v>
      </c>
      <c r="J516" s="307">
        <f t="shared" si="841"/>
        <v>0</v>
      </c>
      <c r="K516" s="307">
        <f>K424+K425+K426</f>
        <v>18515</v>
      </c>
      <c r="L516" s="307">
        <f t="shared" ref="L516:W516" si="842">L424+L425+L426</f>
        <v>682.42</v>
      </c>
      <c r="M516" s="307">
        <f t="shared" si="842"/>
        <v>0</v>
      </c>
      <c r="N516" s="307">
        <f t="shared" si="842"/>
        <v>0</v>
      </c>
      <c r="O516" s="307">
        <f t="shared" si="842"/>
        <v>18515</v>
      </c>
      <c r="P516" s="307">
        <f t="shared" si="842"/>
        <v>682.42</v>
      </c>
      <c r="Q516" s="307">
        <f t="shared" si="842"/>
        <v>0</v>
      </c>
      <c r="R516" s="307">
        <f t="shared" si="842"/>
        <v>18515</v>
      </c>
      <c r="S516" s="307">
        <f t="shared" si="842"/>
        <v>682.42</v>
      </c>
      <c r="T516" s="307">
        <f t="shared" si="842"/>
        <v>0</v>
      </c>
      <c r="U516" s="307">
        <f t="shared" si="842"/>
        <v>0</v>
      </c>
      <c r="V516" s="307">
        <f t="shared" si="842"/>
        <v>0</v>
      </c>
      <c r="W516" s="307">
        <f t="shared" si="842"/>
        <v>0</v>
      </c>
      <c r="X516" s="310">
        <f t="shared" si="788"/>
        <v>1</v>
      </c>
      <c r="Y516" s="310">
        <f t="shared" si="789"/>
        <v>1</v>
      </c>
      <c r="Z516" s="310">
        <f t="shared" si="790"/>
        <v>0</v>
      </c>
      <c r="AA516" s="307">
        <f t="shared" ref="AA516:BW516" si="843">AA424+AA425+AA426</f>
        <v>0</v>
      </c>
      <c r="AB516" s="307">
        <f t="shared" si="843"/>
        <v>682.42</v>
      </c>
      <c r="AC516" s="307">
        <f t="shared" si="843"/>
        <v>0</v>
      </c>
      <c r="AD516" s="307">
        <f t="shared" si="843"/>
        <v>0</v>
      </c>
      <c r="AE516" s="307">
        <f t="shared" si="843"/>
        <v>0</v>
      </c>
      <c r="AF516" s="307">
        <f t="shared" si="843"/>
        <v>0</v>
      </c>
      <c r="AG516" s="307">
        <f t="shared" si="843"/>
        <v>0</v>
      </c>
      <c r="AH516" s="307">
        <f t="shared" si="843"/>
        <v>0</v>
      </c>
      <c r="AI516" s="307">
        <f t="shared" si="843"/>
        <v>0</v>
      </c>
      <c r="AJ516" s="307">
        <f t="shared" si="843"/>
        <v>0</v>
      </c>
      <c r="AK516" s="307">
        <f t="shared" si="843"/>
        <v>0</v>
      </c>
      <c r="AL516" s="307">
        <f t="shared" si="843"/>
        <v>0</v>
      </c>
      <c r="AM516" s="307">
        <f t="shared" si="843"/>
        <v>0</v>
      </c>
      <c r="AN516" s="307">
        <f t="shared" si="843"/>
        <v>0</v>
      </c>
      <c r="AO516" s="307">
        <f t="shared" si="843"/>
        <v>0</v>
      </c>
      <c r="AP516" s="307">
        <f t="shared" si="843"/>
        <v>0</v>
      </c>
      <c r="AQ516" s="307">
        <f t="shared" si="843"/>
        <v>0</v>
      </c>
      <c r="AR516" s="307">
        <f t="shared" si="843"/>
        <v>0</v>
      </c>
      <c r="AS516" s="307">
        <f t="shared" si="843"/>
        <v>0</v>
      </c>
      <c r="AT516" s="307">
        <f t="shared" si="843"/>
        <v>0</v>
      </c>
      <c r="AU516" s="307">
        <f t="shared" si="843"/>
        <v>0</v>
      </c>
      <c r="AV516" s="307">
        <f t="shared" si="843"/>
        <v>13225</v>
      </c>
      <c r="AW516" s="307">
        <f t="shared" si="843"/>
        <v>0</v>
      </c>
      <c r="AX516" s="307">
        <f t="shared" si="843"/>
        <v>0</v>
      </c>
      <c r="AY516" s="307">
        <f t="shared" si="843"/>
        <v>5290</v>
      </c>
      <c r="AZ516" s="307">
        <f t="shared" si="843"/>
        <v>0</v>
      </c>
      <c r="BA516" s="307">
        <f t="shared" si="843"/>
        <v>0</v>
      </c>
      <c r="BB516" s="307">
        <f t="shared" si="843"/>
        <v>0</v>
      </c>
      <c r="BC516" s="307">
        <f t="shared" si="843"/>
        <v>0</v>
      </c>
      <c r="BD516" s="307">
        <f t="shared" si="843"/>
        <v>0</v>
      </c>
      <c r="BE516" s="307">
        <f t="shared" si="843"/>
        <v>0</v>
      </c>
      <c r="BF516" s="307">
        <f t="shared" si="843"/>
        <v>0</v>
      </c>
      <c r="BG516" s="307">
        <f t="shared" si="843"/>
        <v>0</v>
      </c>
      <c r="BH516" s="307">
        <f t="shared" si="843"/>
        <v>0</v>
      </c>
      <c r="BI516" s="307">
        <f t="shared" si="843"/>
        <v>0</v>
      </c>
      <c r="BJ516" s="307">
        <f t="shared" si="843"/>
        <v>0</v>
      </c>
      <c r="BK516" s="307">
        <f t="shared" si="843"/>
        <v>0</v>
      </c>
      <c r="BL516" s="307">
        <f t="shared" si="843"/>
        <v>0</v>
      </c>
      <c r="BM516" s="307">
        <f t="shared" si="843"/>
        <v>0</v>
      </c>
      <c r="BN516" s="307">
        <f t="shared" si="843"/>
        <v>18515</v>
      </c>
      <c r="BO516" s="307">
        <f t="shared" si="843"/>
        <v>0</v>
      </c>
      <c r="BP516" s="307">
        <f t="shared" si="843"/>
        <v>18515</v>
      </c>
      <c r="BQ516" s="307">
        <f t="shared" si="843"/>
        <v>0</v>
      </c>
      <c r="BR516" s="307">
        <f t="shared" si="843"/>
        <v>0</v>
      </c>
      <c r="BS516" s="307">
        <f t="shared" si="843"/>
        <v>0</v>
      </c>
      <c r="BT516" s="307">
        <f t="shared" si="843"/>
        <v>0</v>
      </c>
      <c r="BU516" s="307">
        <f t="shared" si="843"/>
        <v>18515</v>
      </c>
      <c r="BV516" s="307">
        <f t="shared" si="843"/>
        <v>0</v>
      </c>
      <c r="BW516" s="307">
        <f t="shared" si="843"/>
        <v>18515</v>
      </c>
      <c r="BX516" s="1"/>
      <c r="BY516" s="1"/>
      <c r="BZ516" s="1"/>
      <c r="CA516" s="1"/>
      <c r="CB516" s="1"/>
      <c r="CC516" s="1"/>
      <c r="CD516" s="1"/>
      <c r="CE516" s="1"/>
      <c r="CF516" s="1"/>
      <c r="CG516" s="1"/>
    </row>
    <row r="517" spans="1:85" ht="15.75" customHeight="1">
      <c r="A517" s="313"/>
      <c r="B517" s="418"/>
      <c r="C517" s="416" t="s">
        <v>556</v>
      </c>
      <c r="D517" s="314" t="s">
        <v>557</v>
      </c>
      <c r="E517" s="307">
        <f t="shared" ref="E517:J518" si="844">E244</f>
        <v>20000</v>
      </c>
      <c r="F517" s="307">
        <f t="shared" si="844"/>
        <v>0</v>
      </c>
      <c r="G517" s="307">
        <f t="shared" si="844"/>
        <v>20000</v>
      </c>
      <c r="H517" s="307">
        <f t="shared" si="844"/>
        <v>0</v>
      </c>
      <c r="I517" s="307">
        <f t="shared" si="844"/>
        <v>0</v>
      </c>
      <c r="J517" s="307">
        <f t="shared" si="844"/>
        <v>0</v>
      </c>
      <c r="K517" s="307">
        <f>K244</f>
        <v>0</v>
      </c>
      <c r="L517" s="307">
        <f t="shared" ref="L517:W517" si="845">L244</f>
        <v>0</v>
      </c>
      <c r="M517" s="307">
        <f t="shared" si="845"/>
        <v>0</v>
      </c>
      <c r="N517" s="307">
        <f t="shared" si="845"/>
        <v>0</v>
      </c>
      <c r="O517" s="307">
        <f t="shared" si="845"/>
        <v>0</v>
      </c>
      <c r="P517" s="307">
        <f t="shared" si="845"/>
        <v>0</v>
      </c>
      <c r="Q517" s="307">
        <f t="shared" si="845"/>
        <v>0</v>
      </c>
      <c r="R517" s="309">
        <f t="shared" si="845"/>
        <v>0</v>
      </c>
      <c r="S517" s="309">
        <f t="shared" si="845"/>
        <v>0</v>
      </c>
      <c r="T517" s="309">
        <f t="shared" si="845"/>
        <v>0</v>
      </c>
      <c r="U517" s="385">
        <f t="shared" si="845"/>
        <v>0</v>
      </c>
      <c r="V517" s="385">
        <f t="shared" si="845"/>
        <v>0</v>
      </c>
      <c r="W517" s="385">
        <f t="shared" si="845"/>
        <v>0</v>
      </c>
      <c r="X517" s="310">
        <f t="shared" si="788"/>
        <v>0</v>
      </c>
      <c r="Y517" s="310">
        <f t="shared" si="789"/>
        <v>0</v>
      </c>
      <c r="Z517" s="310">
        <f t="shared" si="790"/>
        <v>0</v>
      </c>
      <c r="AA517" s="307">
        <f t="shared" ref="AA517:BW517" si="846">AA244</f>
        <v>0</v>
      </c>
      <c r="AB517" s="307">
        <f t="shared" si="846"/>
        <v>0</v>
      </c>
      <c r="AC517" s="307">
        <f t="shared" si="846"/>
        <v>0</v>
      </c>
      <c r="AD517" s="307">
        <f t="shared" si="846"/>
        <v>0</v>
      </c>
      <c r="AE517" s="307">
        <f t="shared" si="846"/>
        <v>0</v>
      </c>
      <c r="AF517" s="307">
        <f t="shared" si="846"/>
        <v>0</v>
      </c>
      <c r="AG517" s="307">
        <f t="shared" si="846"/>
        <v>0</v>
      </c>
      <c r="AH517" s="307">
        <f t="shared" si="846"/>
        <v>0</v>
      </c>
      <c r="AI517" s="307">
        <f t="shared" si="846"/>
        <v>0</v>
      </c>
      <c r="AJ517" s="307">
        <f t="shared" si="846"/>
        <v>0</v>
      </c>
      <c r="AK517" s="307">
        <f t="shared" si="846"/>
        <v>0</v>
      </c>
      <c r="AL517" s="307">
        <f t="shared" si="846"/>
        <v>0</v>
      </c>
      <c r="AM517" s="307">
        <f t="shared" si="846"/>
        <v>0</v>
      </c>
      <c r="AN517" s="307">
        <f t="shared" si="846"/>
        <v>0</v>
      </c>
      <c r="AO517" s="307">
        <f t="shared" si="846"/>
        <v>0</v>
      </c>
      <c r="AP517" s="307">
        <f t="shared" si="846"/>
        <v>0</v>
      </c>
      <c r="AQ517" s="307">
        <f t="shared" si="846"/>
        <v>0</v>
      </c>
      <c r="AR517" s="307">
        <f t="shared" si="846"/>
        <v>0</v>
      </c>
      <c r="AS517" s="307">
        <f t="shared" si="846"/>
        <v>0</v>
      </c>
      <c r="AT517" s="307">
        <f t="shared" si="846"/>
        <v>0</v>
      </c>
      <c r="AU517" s="307">
        <f t="shared" si="846"/>
        <v>0</v>
      </c>
      <c r="AV517" s="307">
        <f t="shared" si="846"/>
        <v>0</v>
      </c>
      <c r="AW517" s="307">
        <f t="shared" si="846"/>
        <v>0</v>
      </c>
      <c r="AX517" s="307">
        <f t="shared" si="846"/>
        <v>0</v>
      </c>
      <c r="AY517" s="307">
        <f t="shared" si="846"/>
        <v>0</v>
      </c>
      <c r="AZ517" s="307">
        <f t="shared" si="846"/>
        <v>0</v>
      </c>
      <c r="BA517" s="307">
        <f t="shared" si="846"/>
        <v>0</v>
      </c>
      <c r="BB517" s="307">
        <f t="shared" si="846"/>
        <v>0</v>
      </c>
      <c r="BC517" s="307">
        <f t="shared" si="846"/>
        <v>0</v>
      </c>
      <c r="BD517" s="307">
        <f t="shared" si="846"/>
        <v>0</v>
      </c>
      <c r="BE517" s="307">
        <f t="shared" si="846"/>
        <v>0</v>
      </c>
      <c r="BF517" s="307">
        <f t="shared" si="846"/>
        <v>0</v>
      </c>
      <c r="BG517" s="307">
        <f t="shared" si="846"/>
        <v>0</v>
      </c>
      <c r="BH517" s="307">
        <f t="shared" si="846"/>
        <v>0</v>
      </c>
      <c r="BI517" s="307">
        <f t="shared" si="846"/>
        <v>0</v>
      </c>
      <c r="BJ517" s="307">
        <f t="shared" si="846"/>
        <v>0</v>
      </c>
      <c r="BK517" s="307">
        <f t="shared" si="846"/>
        <v>0</v>
      </c>
      <c r="BL517" s="307">
        <f t="shared" si="846"/>
        <v>0</v>
      </c>
      <c r="BM517" s="307">
        <f t="shared" si="846"/>
        <v>0</v>
      </c>
      <c r="BN517" s="307">
        <f t="shared" si="846"/>
        <v>0</v>
      </c>
      <c r="BO517" s="307">
        <f t="shared" si="846"/>
        <v>0</v>
      </c>
      <c r="BP517" s="307">
        <f t="shared" si="846"/>
        <v>0</v>
      </c>
      <c r="BQ517" s="307">
        <f t="shared" si="846"/>
        <v>0</v>
      </c>
      <c r="BR517" s="307">
        <f t="shared" si="846"/>
        <v>0</v>
      </c>
      <c r="BS517" s="307">
        <f t="shared" si="846"/>
        <v>0</v>
      </c>
      <c r="BT517" s="307">
        <f t="shared" si="846"/>
        <v>0</v>
      </c>
      <c r="BU517" s="307">
        <f t="shared" si="846"/>
        <v>0</v>
      </c>
      <c r="BV517" s="307">
        <f t="shared" si="846"/>
        <v>0</v>
      </c>
      <c r="BW517" s="307">
        <f t="shared" si="846"/>
        <v>0</v>
      </c>
      <c r="BX517" s="1"/>
      <c r="BY517" s="1"/>
      <c r="BZ517" s="1"/>
      <c r="CA517" s="1"/>
      <c r="CB517" s="1"/>
      <c r="CC517" s="1"/>
      <c r="CD517" s="1"/>
      <c r="CE517" s="1"/>
      <c r="CF517" s="1"/>
      <c r="CG517" s="1"/>
    </row>
    <row r="518" spans="1:85" ht="15.75" customHeight="1">
      <c r="A518" s="313"/>
      <c r="B518" s="418"/>
      <c r="C518" s="416" t="s">
        <v>558</v>
      </c>
      <c r="D518" s="314" t="s">
        <v>559</v>
      </c>
      <c r="E518" s="307">
        <f t="shared" si="844"/>
        <v>3000</v>
      </c>
      <c r="F518" s="307">
        <f t="shared" si="844"/>
        <v>0</v>
      </c>
      <c r="G518" s="307">
        <f t="shared" si="844"/>
        <v>3000</v>
      </c>
      <c r="H518" s="307">
        <f t="shared" ref="H518:K518" si="847">H245</f>
        <v>0</v>
      </c>
      <c r="I518" s="307">
        <f t="shared" si="847"/>
        <v>0</v>
      </c>
      <c r="J518" s="307">
        <f t="shared" si="847"/>
        <v>0</v>
      </c>
      <c r="K518" s="307">
        <f t="shared" si="847"/>
        <v>0</v>
      </c>
      <c r="L518" s="307">
        <f t="shared" ref="L518:W518" si="848">L245</f>
        <v>0</v>
      </c>
      <c r="M518" s="307">
        <f t="shared" si="848"/>
        <v>0</v>
      </c>
      <c r="N518" s="307">
        <f t="shared" si="848"/>
        <v>0</v>
      </c>
      <c r="O518" s="307">
        <f t="shared" si="848"/>
        <v>0</v>
      </c>
      <c r="P518" s="307">
        <f t="shared" si="848"/>
        <v>0</v>
      </c>
      <c r="Q518" s="307">
        <f t="shared" si="848"/>
        <v>0</v>
      </c>
      <c r="R518" s="309">
        <f t="shared" si="848"/>
        <v>0</v>
      </c>
      <c r="S518" s="309">
        <f t="shared" si="848"/>
        <v>0</v>
      </c>
      <c r="T518" s="309">
        <f t="shared" si="848"/>
        <v>0</v>
      </c>
      <c r="U518" s="385">
        <f t="shared" si="848"/>
        <v>0</v>
      </c>
      <c r="V518" s="385">
        <f t="shared" si="848"/>
        <v>0</v>
      </c>
      <c r="W518" s="385">
        <f t="shared" si="848"/>
        <v>0</v>
      </c>
      <c r="X518" s="310">
        <f t="shared" si="788"/>
        <v>0</v>
      </c>
      <c r="Y518" s="310">
        <f t="shared" si="789"/>
        <v>0</v>
      </c>
      <c r="Z518" s="310">
        <f t="shared" si="790"/>
        <v>0</v>
      </c>
      <c r="AA518" s="307">
        <f t="shared" ref="AA518:BW518" si="849">AA245</f>
        <v>0</v>
      </c>
      <c r="AB518" s="307">
        <f t="shared" si="849"/>
        <v>0</v>
      </c>
      <c r="AC518" s="307">
        <f t="shared" si="849"/>
        <v>0</v>
      </c>
      <c r="AD518" s="307">
        <f t="shared" si="849"/>
        <v>0</v>
      </c>
      <c r="AE518" s="307">
        <f t="shared" si="849"/>
        <v>0</v>
      </c>
      <c r="AF518" s="307">
        <f t="shared" si="849"/>
        <v>0</v>
      </c>
      <c r="AG518" s="307">
        <f t="shared" si="849"/>
        <v>0</v>
      </c>
      <c r="AH518" s="307">
        <f t="shared" si="849"/>
        <v>0</v>
      </c>
      <c r="AI518" s="307">
        <f t="shared" si="849"/>
        <v>0</v>
      </c>
      <c r="AJ518" s="307">
        <f t="shared" si="849"/>
        <v>0</v>
      </c>
      <c r="AK518" s="307">
        <f t="shared" si="849"/>
        <v>0</v>
      </c>
      <c r="AL518" s="307">
        <f t="shared" si="849"/>
        <v>0</v>
      </c>
      <c r="AM518" s="307">
        <f t="shared" si="849"/>
        <v>0</v>
      </c>
      <c r="AN518" s="307">
        <f t="shared" si="849"/>
        <v>0</v>
      </c>
      <c r="AO518" s="307">
        <f t="shared" si="849"/>
        <v>0</v>
      </c>
      <c r="AP518" s="307">
        <f t="shared" si="849"/>
        <v>0</v>
      </c>
      <c r="AQ518" s="307">
        <f t="shared" si="849"/>
        <v>0</v>
      </c>
      <c r="AR518" s="307">
        <f t="shared" si="849"/>
        <v>0</v>
      </c>
      <c r="AS518" s="307">
        <f t="shared" si="849"/>
        <v>0</v>
      </c>
      <c r="AT518" s="307">
        <f t="shared" si="849"/>
        <v>0</v>
      </c>
      <c r="AU518" s="307">
        <f t="shared" si="849"/>
        <v>0</v>
      </c>
      <c r="AV518" s="307">
        <f t="shared" si="849"/>
        <v>0</v>
      </c>
      <c r="AW518" s="307">
        <f t="shared" si="849"/>
        <v>0</v>
      </c>
      <c r="AX518" s="307">
        <f t="shared" si="849"/>
        <v>0</v>
      </c>
      <c r="AY518" s="307">
        <f t="shared" si="849"/>
        <v>0</v>
      </c>
      <c r="AZ518" s="307">
        <f t="shared" si="849"/>
        <v>0</v>
      </c>
      <c r="BA518" s="307">
        <f t="shared" si="849"/>
        <v>0</v>
      </c>
      <c r="BB518" s="307">
        <f t="shared" si="849"/>
        <v>0</v>
      </c>
      <c r="BC518" s="307">
        <f t="shared" si="849"/>
        <v>0</v>
      </c>
      <c r="BD518" s="307">
        <f t="shared" si="849"/>
        <v>0</v>
      </c>
      <c r="BE518" s="307">
        <f t="shared" si="849"/>
        <v>0</v>
      </c>
      <c r="BF518" s="307">
        <f t="shared" si="849"/>
        <v>0</v>
      </c>
      <c r="BG518" s="307">
        <f t="shared" si="849"/>
        <v>0</v>
      </c>
      <c r="BH518" s="307">
        <f t="shared" si="849"/>
        <v>0</v>
      </c>
      <c r="BI518" s="307">
        <f t="shared" si="849"/>
        <v>0</v>
      </c>
      <c r="BJ518" s="307">
        <f t="shared" si="849"/>
        <v>0</v>
      </c>
      <c r="BK518" s="307">
        <f t="shared" si="849"/>
        <v>0</v>
      </c>
      <c r="BL518" s="307">
        <f t="shared" si="849"/>
        <v>0</v>
      </c>
      <c r="BM518" s="307">
        <f t="shared" si="849"/>
        <v>0</v>
      </c>
      <c r="BN518" s="307">
        <f t="shared" si="849"/>
        <v>0</v>
      </c>
      <c r="BO518" s="307">
        <f t="shared" si="849"/>
        <v>0</v>
      </c>
      <c r="BP518" s="307">
        <f t="shared" si="849"/>
        <v>0</v>
      </c>
      <c r="BQ518" s="307">
        <f t="shared" si="849"/>
        <v>0</v>
      </c>
      <c r="BR518" s="307">
        <f t="shared" si="849"/>
        <v>0</v>
      </c>
      <c r="BS518" s="307">
        <f t="shared" si="849"/>
        <v>0</v>
      </c>
      <c r="BT518" s="307">
        <f t="shared" si="849"/>
        <v>0</v>
      </c>
      <c r="BU518" s="307">
        <f t="shared" si="849"/>
        <v>0</v>
      </c>
      <c r="BV518" s="307">
        <f t="shared" si="849"/>
        <v>0</v>
      </c>
      <c r="BW518" s="307">
        <f t="shared" si="849"/>
        <v>0</v>
      </c>
      <c r="BX518" s="1"/>
      <c r="BY518" s="1"/>
      <c r="BZ518" s="1"/>
      <c r="CA518" s="1"/>
      <c r="CB518" s="1"/>
      <c r="CC518" s="1"/>
      <c r="CD518" s="1"/>
      <c r="CE518" s="1"/>
      <c r="CF518" s="1"/>
      <c r="CG518" s="1"/>
    </row>
    <row r="519" spans="1:85" ht="15.75" customHeight="1">
      <c r="A519" s="313"/>
      <c r="B519" s="418"/>
      <c r="C519" s="416" t="s">
        <v>486</v>
      </c>
      <c r="D519" s="306" t="s">
        <v>946</v>
      </c>
      <c r="E519" s="307">
        <f>E201+E362+E427+E428</f>
        <v>60000</v>
      </c>
      <c r="F519" s="307">
        <f>F201+F362+F427+F428</f>
        <v>0</v>
      </c>
      <c r="G519" s="307">
        <f>G201+G362+G427+G428</f>
        <v>60000</v>
      </c>
      <c r="H519" s="307">
        <f t="shared" ref="H519:J519" si="850">H201+H362+H427+H428</f>
        <v>0</v>
      </c>
      <c r="I519" s="307">
        <f t="shared" si="850"/>
        <v>0</v>
      </c>
      <c r="J519" s="307">
        <f t="shared" si="850"/>
        <v>0</v>
      </c>
      <c r="K519" s="307">
        <f>K201+K362+K427+K428</f>
        <v>0</v>
      </c>
      <c r="L519" s="307">
        <f t="shared" ref="L519:W519" si="851">L201+L362+L427+L428</f>
        <v>10132.6</v>
      </c>
      <c r="M519" s="307">
        <f t="shared" si="851"/>
        <v>1088.1600000000001</v>
      </c>
      <c r="N519" s="307">
        <f t="shared" si="851"/>
        <v>0</v>
      </c>
      <c r="O519" s="307">
        <f t="shared" si="851"/>
        <v>0</v>
      </c>
      <c r="P519" s="307">
        <f t="shared" si="851"/>
        <v>2187.0300000000002</v>
      </c>
      <c r="Q519" s="307">
        <f t="shared" si="851"/>
        <v>0</v>
      </c>
      <c r="R519" s="309">
        <f t="shared" si="851"/>
        <v>0</v>
      </c>
      <c r="S519" s="309">
        <f t="shared" si="851"/>
        <v>2187.0300000000002</v>
      </c>
      <c r="T519" s="309">
        <f t="shared" si="851"/>
        <v>0</v>
      </c>
      <c r="U519" s="385">
        <f t="shared" si="851"/>
        <v>0</v>
      </c>
      <c r="V519" s="385">
        <f t="shared" si="851"/>
        <v>6857.41</v>
      </c>
      <c r="W519" s="385">
        <f t="shared" si="851"/>
        <v>0</v>
      </c>
      <c r="X519" s="310">
        <f t="shared" si="788"/>
        <v>0</v>
      </c>
      <c r="Y519" s="310">
        <f t="shared" si="789"/>
        <v>0.21584094901604722</v>
      </c>
      <c r="Z519" s="310">
        <f t="shared" si="790"/>
        <v>0</v>
      </c>
      <c r="AA519" s="307">
        <f t="shared" ref="AA519:BW519" si="852">AA201+AA362+AA427+AA428</f>
        <v>0</v>
      </c>
      <c r="AB519" s="307">
        <f t="shared" si="852"/>
        <v>0</v>
      </c>
      <c r="AC519" s="307">
        <f t="shared" si="852"/>
        <v>0</v>
      </c>
      <c r="AD519" s="307">
        <f t="shared" si="852"/>
        <v>0</v>
      </c>
      <c r="AE519" s="307">
        <f t="shared" si="852"/>
        <v>2187.0300000000002</v>
      </c>
      <c r="AF519" s="307">
        <f t="shared" si="852"/>
        <v>0</v>
      </c>
      <c r="AG519" s="307">
        <f t="shared" si="852"/>
        <v>0</v>
      </c>
      <c r="AH519" s="307">
        <f t="shared" si="852"/>
        <v>0</v>
      </c>
      <c r="AI519" s="307">
        <f t="shared" si="852"/>
        <v>0</v>
      </c>
      <c r="AJ519" s="307">
        <f t="shared" si="852"/>
        <v>0</v>
      </c>
      <c r="AK519" s="307">
        <f t="shared" si="852"/>
        <v>0</v>
      </c>
      <c r="AL519" s="307">
        <f t="shared" si="852"/>
        <v>0</v>
      </c>
      <c r="AM519" s="307">
        <f t="shared" si="852"/>
        <v>0</v>
      </c>
      <c r="AN519" s="307">
        <f t="shared" si="852"/>
        <v>0</v>
      </c>
      <c r="AO519" s="307">
        <f t="shared" si="852"/>
        <v>0</v>
      </c>
      <c r="AP519" s="307">
        <f t="shared" si="852"/>
        <v>0</v>
      </c>
      <c r="AQ519" s="307">
        <f t="shared" si="852"/>
        <v>0</v>
      </c>
      <c r="AR519" s="307">
        <f t="shared" si="852"/>
        <v>0</v>
      </c>
      <c r="AS519" s="307">
        <f t="shared" si="852"/>
        <v>0</v>
      </c>
      <c r="AT519" s="307">
        <f t="shared" si="852"/>
        <v>0</v>
      </c>
      <c r="AU519" s="307">
        <f t="shared" si="852"/>
        <v>0</v>
      </c>
      <c r="AV519" s="307">
        <f t="shared" si="852"/>
        <v>0</v>
      </c>
      <c r="AW519" s="307">
        <f t="shared" si="852"/>
        <v>0</v>
      </c>
      <c r="AX519" s="307">
        <f t="shared" si="852"/>
        <v>0</v>
      </c>
      <c r="AY519" s="307">
        <f t="shared" si="852"/>
        <v>0</v>
      </c>
      <c r="AZ519" s="307">
        <f t="shared" si="852"/>
        <v>0</v>
      </c>
      <c r="BA519" s="307">
        <f t="shared" si="852"/>
        <v>0</v>
      </c>
      <c r="BB519" s="307">
        <f t="shared" si="852"/>
        <v>0</v>
      </c>
      <c r="BC519" s="307">
        <f t="shared" si="852"/>
        <v>0</v>
      </c>
      <c r="BD519" s="307">
        <f t="shared" si="852"/>
        <v>0</v>
      </c>
      <c r="BE519" s="307">
        <f t="shared" si="852"/>
        <v>0</v>
      </c>
      <c r="BF519" s="307">
        <f t="shared" si="852"/>
        <v>0</v>
      </c>
      <c r="BG519" s="307">
        <f t="shared" si="852"/>
        <v>0</v>
      </c>
      <c r="BH519" s="307">
        <f t="shared" si="852"/>
        <v>0</v>
      </c>
      <c r="BI519" s="307">
        <f t="shared" si="852"/>
        <v>0</v>
      </c>
      <c r="BJ519" s="307">
        <f t="shared" si="852"/>
        <v>0</v>
      </c>
      <c r="BK519" s="307">
        <f t="shared" si="852"/>
        <v>0</v>
      </c>
      <c r="BL519" s="307">
        <f t="shared" si="852"/>
        <v>0</v>
      </c>
      <c r="BM519" s="307">
        <f t="shared" si="852"/>
        <v>0</v>
      </c>
      <c r="BN519" s="307">
        <f t="shared" si="852"/>
        <v>0</v>
      </c>
      <c r="BO519" s="307">
        <f t="shared" si="852"/>
        <v>0</v>
      </c>
      <c r="BP519" s="307">
        <f t="shared" si="852"/>
        <v>0</v>
      </c>
      <c r="BQ519" s="307">
        <f t="shared" si="852"/>
        <v>0</v>
      </c>
      <c r="BR519" s="307">
        <f t="shared" si="852"/>
        <v>0</v>
      </c>
      <c r="BS519" s="307">
        <f t="shared" si="852"/>
        <v>0</v>
      </c>
      <c r="BT519" s="307">
        <f t="shared" si="852"/>
        <v>6857.41</v>
      </c>
      <c r="BU519" s="307">
        <f t="shared" si="852"/>
        <v>0</v>
      </c>
      <c r="BV519" s="307">
        <f t="shared" si="852"/>
        <v>0</v>
      </c>
      <c r="BW519" s="307">
        <f t="shared" si="852"/>
        <v>6857.41</v>
      </c>
      <c r="BX519" s="1"/>
      <c r="BY519" s="1"/>
      <c r="BZ519" s="1"/>
      <c r="CA519" s="1"/>
      <c r="CB519" s="1"/>
      <c r="CC519" s="1"/>
      <c r="CD519" s="1"/>
      <c r="CE519" s="1"/>
      <c r="CF519" s="1"/>
      <c r="CG519" s="1"/>
    </row>
    <row r="520" spans="1:85" ht="15.75" customHeight="1">
      <c r="A520" s="313"/>
      <c r="B520" s="418"/>
      <c r="C520" s="416" t="s">
        <v>813</v>
      </c>
      <c r="D520" s="306" t="s">
        <v>947</v>
      </c>
      <c r="E520" s="307">
        <f>E429</f>
        <v>8000</v>
      </c>
      <c r="F520" s="307">
        <f>F429</f>
        <v>0</v>
      </c>
      <c r="G520" s="307">
        <f>G429</f>
        <v>8000</v>
      </c>
      <c r="H520" s="307">
        <f t="shared" ref="H520:J520" si="853">H429</f>
        <v>0</v>
      </c>
      <c r="I520" s="307">
        <f t="shared" si="853"/>
        <v>0.54029250000000006</v>
      </c>
      <c r="J520" s="307">
        <f t="shared" si="853"/>
        <v>0.54029250000000006</v>
      </c>
      <c r="K520" s="307">
        <f>K429</f>
        <v>4322.34</v>
      </c>
      <c r="L520" s="309">
        <f t="shared" ref="L520:W520" si="854">L429</f>
        <v>0</v>
      </c>
      <c r="M520" s="309">
        <f t="shared" si="854"/>
        <v>0</v>
      </c>
      <c r="N520" s="309">
        <f t="shared" si="854"/>
        <v>0</v>
      </c>
      <c r="O520" s="307">
        <f t="shared" si="854"/>
        <v>4322.34</v>
      </c>
      <c r="P520" s="307">
        <f t="shared" si="854"/>
        <v>0</v>
      </c>
      <c r="Q520" s="307">
        <f t="shared" si="854"/>
        <v>0</v>
      </c>
      <c r="R520" s="309">
        <f t="shared" si="854"/>
        <v>4322.34</v>
      </c>
      <c r="S520" s="309">
        <f t="shared" si="854"/>
        <v>0</v>
      </c>
      <c r="T520" s="309">
        <f t="shared" si="854"/>
        <v>0</v>
      </c>
      <c r="U520" s="385">
        <f t="shared" si="854"/>
        <v>0</v>
      </c>
      <c r="V520" s="385">
        <f t="shared" si="854"/>
        <v>0</v>
      </c>
      <c r="W520" s="385">
        <f t="shared" si="854"/>
        <v>0</v>
      </c>
      <c r="X520" s="310">
        <f t="shared" si="788"/>
        <v>1</v>
      </c>
      <c r="Y520" s="310">
        <f t="shared" si="789"/>
        <v>0</v>
      </c>
      <c r="Z520" s="310">
        <f t="shared" si="790"/>
        <v>0</v>
      </c>
      <c r="AA520" s="309">
        <f t="shared" ref="AA520:BW520" si="855">AA429</f>
        <v>0</v>
      </c>
      <c r="AB520" s="309">
        <f t="shared" si="855"/>
        <v>0</v>
      </c>
      <c r="AC520" s="309">
        <f t="shared" si="855"/>
        <v>0</v>
      </c>
      <c r="AD520" s="309">
        <f t="shared" si="855"/>
        <v>0</v>
      </c>
      <c r="AE520" s="309">
        <f t="shared" si="855"/>
        <v>0</v>
      </c>
      <c r="AF520" s="309">
        <f t="shared" si="855"/>
        <v>0</v>
      </c>
      <c r="AG520" s="309">
        <f t="shared" si="855"/>
        <v>0</v>
      </c>
      <c r="AH520" s="309">
        <f t="shared" si="855"/>
        <v>0</v>
      </c>
      <c r="AI520" s="309">
        <f t="shared" si="855"/>
        <v>0</v>
      </c>
      <c r="AJ520" s="309">
        <f t="shared" si="855"/>
        <v>4322.34</v>
      </c>
      <c r="AK520" s="309">
        <f t="shared" si="855"/>
        <v>0</v>
      </c>
      <c r="AL520" s="309">
        <f t="shared" si="855"/>
        <v>0</v>
      </c>
      <c r="AM520" s="309">
        <f t="shared" si="855"/>
        <v>0</v>
      </c>
      <c r="AN520" s="309">
        <f t="shared" si="855"/>
        <v>0</v>
      </c>
      <c r="AO520" s="309">
        <f t="shared" si="855"/>
        <v>0</v>
      </c>
      <c r="AP520" s="309">
        <f t="shared" si="855"/>
        <v>0</v>
      </c>
      <c r="AQ520" s="309">
        <f t="shared" si="855"/>
        <v>0</v>
      </c>
      <c r="AR520" s="309">
        <f t="shared" si="855"/>
        <v>0</v>
      </c>
      <c r="AS520" s="309">
        <f t="shared" si="855"/>
        <v>0</v>
      </c>
      <c r="AT520" s="309">
        <f t="shared" si="855"/>
        <v>0</v>
      </c>
      <c r="AU520" s="309">
        <f t="shared" si="855"/>
        <v>0</v>
      </c>
      <c r="AV520" s="309">
        <f t="shared" si="855"/>
        <v>0</v>
      </c>
      <c r="AW520" s="309">
        <f t="shared" si="855"/>
        <v>0</v>
      </c>
      <c r="AX520" s="309">
        <f t="shared" si="855"/>
        <v>0</v>
      </c>
      <c r="AY520" s="309">
        <f t="shared" si="855"/>
        <v>0</v>
      </c>
      <c r="AZ520" s="309">
        <f t="shared" si="855"/>
        <v>0</v>
      </c>
      <c r="BA520" s="309">
        <f t="shared" si="855"/>
        <v>0</v>
      </c>
      <c r="BB520" s="309">
        <f t="shared" si="855"/>
        <v>0</v>
      </c>
      <c r="BC520" s="309">
        <f t="shared" si="855"/>
        <v>0</v>
      </c>
      <c r="BD520" s="309">
        <f t="shared" si="855"/>
        <v>0</v>
      </c>
      <c r="BE520" s="309">
        <f t="shared" si="855"/>
        <v>0</v>
      </c>
      <c r="BF520" s="309">
        <f t="shared" si="855"/>
        <v>0</v>
      </c>
      <c r="BG520" s="309">
        <f t="shared" si="855"/>
        <v>0</v>
      </c>
      <c r="BH520" s="309">
        <f t="shared" si="855"/>
        <v>0</v>
      </c>
      <c r="BI520" s="309">
        <f t="shared" si="855"/>
        <v>0</v>
      </c>
      <c r="BJ520" s="309">
        <f t="shared" si="855"/>
        <v>0</v>
      </c>
      <c r="BK520" s="309">
        <f t="shared" si="855"/>
        <v>0</v>
      </c>
      <c r="BL520" s="309">
        <f t="shared" si="855"/>
        <v>0</v>
      </c>
      <c r="BM520" s="309">
        <f t="shared" si="855"/>
        <v>0</v>
      </c>
      <c r="BN520" s="307">
        <f t="shared" si="855"/>
        <v>4322.34</v>
      </c>
      <c r="BO520" s="307">
        <f t="shared" si="855"/>
        <v>0</v>
      </c>
      <c r="BP520" s="307">
        <f t="shared" si="855"/>
        <v>4322.34</v>
      </c>
      <c r="BQ520" s="307">
        <f t="shared" si="855"/>
        <v>0</v>
      </c>
      <c r="BR520" s="307">
        <f t="shared" si="855"/>
        <v>0</v>
      </c>
      <c r="BS520" s="307">
        <f t="shared" si="855"/>
        <v>0</v>
      </c>
      <c r="BT520" s="307">
        <f t="shared" si="855"/>
        <v>0</v>
      </c>
      <c r="BU520" s="307">
        <f t="shared" si="855"/>
        <v>4322.34</v>
      </c>
      <c r="BV520" s="307">
        <f t="shared" si="855"/>
        <v>0</v>
      </c>
      <c r="BW520" s="307">
        <f t="shared" si="855"/>
        <v>4322.34</v>
      </c>
      <c r="BX520" s="1"/>
      <c r="BY520" s="1"/>
      <c r="BZ520" s="1"/>
      <c r="CA520" s="1"/>
      <c r="CB520" s="1"/>
      <c r="CC520" s="1"/>
      <c r="CD520" s="1"/>
      <c r="CE520" s="1"/>
      <c r="CF520" s="1"/>
      <c r="CG520" s="1"/>
    </row>
    <row r="521" spans="1:85" ht="15.75" customHeight="1">
      <c r="A521" s="313"/>
      <c r="B521" s="418"/>
      <c r="C521" s="416" t="s">
        <v>489</v>
      </c>
      <c r="D521" s="318" t="s">
        <v>494</v>
      </c>
      <c r="E521" s="319">
        <f t="shared" ref="E521:V521" si="856">SUM(E202:E208)+E385</f>
        <v>10000</v>
      </c>
      <c r="F521" s="319">
        <f t="shared" si="856"/>
        <v>0</v>
      </c>
      <c r="G521" s="319">
        <f t="shared" si="856"/>
        <v>10000</v>
      </c>
      <c r="H521" s="319">
        <f t="shared" si="856"/>
        <v>0</v>
      </c>
      <c r="I521" s="319">
        <f t="shared" si="856"/>
        <v>2.46E-2</v>
      </c>
      <c r="J521" s="319">
        <f t="shared" si="856"/>
        <v>2.46E-2</v>
      </c>
      <c r="K521" s="319">
        <f t="shared" si="856"/>
        <v>9206.36</v>
      </c>
      <c r="L521" s="319">
        <f t="shared" si="856"/>
        <v>0</v>
      </c>
      <c r="M521" s="319">
        <f t="shared" si="856"/>
        <v>0</v>
      </c>
      <c r="N521" s="319">
        <f t="shared" si="856"/>
        <v>0</v>
      </c>
      <c r="O521" s="319">
        <f t="shared" si="856"/>
        <v>9116.36</v>
      </c>
      <c r="P521" s="319">
        <f t="shared" si="856"/>
        <v>0</v>
      </c>
      <c r="Q521" s="319">
        <f t="shared" si="856"/>
        <v>0</v>
      </c>
      <c r="R521" s="319">
        <f t="shared" si="856"/>
        <v>9116.36</v>
      </c>
      <c r="S521" s="319">
        <f t="shared" si="856"/>
        <v>0</v>
      </c>
      <c r="T521" s="319">
        <f t="shared" si="856"/>
        <v>0</v>
      </c>
      <c r="U521" s="319">
        <f t="shared" si="856"/>
        <v>90</v>
      </c>
      <c r="V521" s="319">
        <f t="shared" si="856"/>
        <v>0</v>
      </c>
      <c r="W521" s="319">
        <f t="shared" ref="W521" si="857">SUM(W202:W208)+W385</f>
        <v>0</v>
      </c>
      <c r="X521" s="310">
        <f t="shared" si="788"/>
        <v>0.99022414939237657</v>
      </c>
      <c r="Y521" s="310">
        <f t="shared" si="789"/>
        <v>0</v>
      </c>
      <c r="Z521" s="310">
        <f t="shared" si="790"/>
        <v>0</v>
      </c>
      <c r="AA521" s="319">
        <f t="shared" ref="AA521:AX521" si="858">SUM(AA202:AA208)+AA385</f>
        <v>0</v>
      </c>
      <c r="AB521" s="319">
        <f t="shared" si="858"/>
        <v>0</v>
      </c>
      <c r="AC521" s="319">
        <f t="shared" si="858"/>
        <v>0</v>
      </c>
      <c r="AD521" s="319">
        <f t="shared" si="858"/>
        <v>0</v>
      </c>
      <c r="AE521" s="319">
        <f t="shared" si="858"/>
        <v>0</v>
      </c>
      <c r="AF521" s="319">
        <f t="shared" si="858"/>
        <v>0</v>
      </c>
      <c r="AG521" s="319">
        <f t="shared" si="858"/>
        <v>0</v>
      </c>
      <c r="AH521" s="319">
        <f t="shared" si="858"/>
        <v>0</v>
      </c>
      <c r="AI521" s="319">
        <f t="shared" si="858"/>
        <v>0</v>
      </c>
      <c r="AJ521" s="319">
        <f t="shared" si="858"/>
        <v>0</v>
      </c>
      <c r="AK521" s="319">
        <f t="shared" si="858"/>
        <v>0</v>
      </c>
      <c r="AL521" s="319">
        <f t="shared" si="858"/>
        <v>0</v>
      </c>
      <c r="AM521" s="319">
        <f t="shared" si="858"/>
        <v>0</v>
      </c>
      <c r="AN521" s="319">
        <f t="shared" si="858"/>
        <v>0</v>
      </c>
      <c r="AO521" s="319">
        <f t="shared" si="858"/>
        <v>0</v>
      </c>
      <c r="AP521" s="319">
        <f t="shared" si="858"/>
        <v>56.96</v>
      </c>
      <c r="AQ521" s="319">
        <f t="shared" si="858"/>
        <v>0</v>
      </c>
      <c r="AR521" s="319">
        <f t="shared" si="858"/>
        <v>0</v>
      </c>
      <c r="AS521" s="319">
        <f t="shared" si="858"/>
        <v>381</v>
      </c>
      <c r="AT521" s="319">
        <f t="shared" si="858"/>
        <v>0</v>
      </c>
      <c r="AU521" s="319">
        <f t="shared" si="858"/>
        <v>0</v>
      </c>
      <c r="AV521" s="319">
        <f t="shared" si="858"/>
        <v>4669.2</v>
      </c>
      <c r="AW521" s="319">
        <f t="shared" si="858"/>
        <v>0</v>
      </c>
      <c r="AX521" s="319">
        <f t="shared" si="858"/>
        <v>0</v>
      </c>
      <c r="AY521" s="319">
        <f>SUM(AY202:AY208)+AY385</f>
        <v>4009.2</v>
      </c>
      <c r="AZ521" s="319">
        <f t="shared" ref="AZ521:BW521" si="859">SUM(AZ202:AZ208)+AZ385</f>
        <v>0</v>
      </c>
      <c r="BA521" s="319">
        <f t="shared" si="859"/>
        <v>0</v>
      </c>
      <c r="BB521" s="319">
        <f t="shared" si="859"/>
        <v>0</v>
      </c>
      <c r="BC521" s="319">
        <f t="shared" si="859"/>
        <v>0</v>
      </c>
      <c r="BD521" s="319">
        <f t="shared" si="859"/>
        <v>0</v>
      </c>
      <c r="BE521" s="319">
        <f t="shared" si="859"/>
        <v>0</v>
      </c>
      <c r="BF521" s="319">
        <f t="shared" si="859"/>
        <v>0</v>
      </c>
      <c r="BG521" s="319">
        <f t="shared" si="859"/>
        <v>0</v>
      </c>
      <c r="BH521" s="319">
        <f t="shared" si="859"/>
        <v>0</v>
      </c>
      <c r="BI521" s="319">
        <f t="shared" si="859"/>
        <v>0</v>
      </c>
      <c r="BJ521" s="319">
        <f t="shared" si="859"/>
        <v>0</v>
      </c>
      <c r="BK521" s="319">
        <f t="shared" si="859"/>
        <v>0</v>
      </c>
      <c r="BL521" s="319">
        <f t="shared" si="859"/>
        <v>0</v>
      </c>
      <c r="BM521" s="319">
        <f t="shared" si="859"/>
        <v>0</v>
      </c>
      <c r="BN521" s="319">
        <f t="shared" si="859"/>
        <v>9116.36</v>
      </c>
      <c r="BO521" s="319">
        <f t="shared" si="859"/>
        <v>0</v>
      </c>
      <c r="BP521" s="319">
        <f t="shared" si="859"/>
        <v>9116.36</v>
      </c>
      <c r="BQ521" s="319">
        <f t="shared" si="859"/>
        <v>90</v>
      </c>
      <c r="BR521" s="319">
        <f t="shared" si="859"/>
        <v>0</v>
      </c>
      <c r="BS521" s="319">
        <f t="shared" si="859"/>
        <v>90</v>
      </c>
      <c r="BT521" s="319">
        <f t="shared" si="859"/>
        <v>0</v>
      </c>
      <c r="BU521" s="319">
        <f t="shared" si="859"/>
        <v>9116.36</v>
      </c>
      <c r="BV521" s="319">
        <f t="shared" si="859"/>
        <v>90</v>
      </c>
      <c r="BW521" s="319">
        <f t="shared" si="859"/>
        <v>9116.36</v>
      </c>
      <c r="BX521" s="1"/>
      <c r="BY521" s="1"/>
      <c r="BZ521" s="1"/>
      <c r="CA521" s="1"/>
      <c r="CB521" s="1"/>
      <c r="CC521" s="1"/>
      <c r="CD521" s="1"/>
      <c r="CE521" s="1"/>
      <c r="CF521" s="1"/>
      <c r="CG521" s="1"/>
    </row>
    <row r="522" spans="1:85" ht="15.75" customHeight="1">
      <c r="A522" s="313"/>
      <c r="B522" s="418"/>
      <c r="C522" s="416" t="s">
        <v>135</v>
      </c>
      <c r="D522" s="311" t="s">
        <v>136</v>
      </c>
      <c r="E522" s="319">
        <f>E14+E153+E209+E324+E330+E336</f>
        <v>40546.770000000004</v>
      </c>
      <c r="F522" s="319">
        <f>F14+F153+F209+F324+F330+F336</f>
        <v>7000</v>
      </c>
      <c r="G522" s="319">
        <f>G14+G153+G209+G324+G330+G336</f>
        <v>33546.770000000004</v>
      </c>
      <c r="H522" s="319">
        <f t="shared" ref="H522:J522" si="860">H14+H153+H209+H324+H330+H336</f>
        <v>0</v>
      </c>
      <c r="I522" s="319">
        <f t="shared" si="860"/>
        <v>0</v>
      </c>
      <c r="J522" s="319">
        <f t="shared" si="860"/>
        <v>0</v>
      </c>
      <c r="K522" s="319">
        <f>K14+K153+K209+K324+K330+K336</f>
        <v>0</v>
      </c>
      <c r="L522" s="319">
        <f t="shared" ref="L522:W522" si="861">L14+L153+L209+L324+L330+L336</f>
        <v>0</v>
      </c>
      <c r="M522" s="319">
        <f t="shared" si="861"/>
        <v>0</v>
      </c>
      <c r="N522" s="319">
        <f t="shared" si="861"/>
        <v>0</v>
      </c>
      <c r="O522" s="319">
        <f t="shared" si="861"/>
        <v>0</v>
      </c>
      <c r="P522" s="319">
        <f t="shared" si="861"/>
        <v>0</v>
      </c>
      <c r="Q522" s="319">
        <f t="shared" si="861"/>
        <v>0</v>
      </c>
      <c r="R522" s="320">
        <f t="shared" si="861"/>
        <v>0</v>
      </c>
      <c r="S522" s="320">
        <f t="shared" si="861"/>
        <v>0</v>
      </c>
      <c r="T522" s="320">
        <f t="shared" si="861"/>
        <v>0</v>
      </c>
      <c r="U522" s="386">
        <f t="shared" si="861"/>
        <v>0</v>
      </c>
      <c r="V522" s="386">
        <f t="shared" si="861"/>
        <v>0</v>
      </c>
      <c r="W522" s="386">
        <f t="shared" si="861"/>
        <v>0</v>
      </c>
      <c r="X522" s="310">
        <f t="shared" si="788"/>
        <v>0</v>
      </c>
      <c r="Y522" s="310">
        <f t="shared" si="789"/>
        <v>0</v>
      </c>
      <c r="Z522" s="310">
        <f t="shared" si="790"/>
        <v>0</v>
      </c>
      <c r="AA522" s="319">
        <f t="shared" ref="AA522:BW522" si="862">AA14+AA153+AA209+AA324+AA330+AA336</f>
        <v>0</v>
      </c>
      <c r="AB522" s="319">
        <f t="shared" si="862"/>
        <v>0</v>
      </c>
      <c r="AC522" s="319">
        <f t="shared" si="862"/>
        <v>0</v>
      </c>
      <c r="AD522" s="319">
        <f t="shared" si="862"/>
        <v>0</v>
      </c>
      <c r="AE522" s="319">
        <f t="shared" si="862"/>
        <v>0</v>
      </c>
      <c r="AF522" s="319">
        <f t="shared" si="862"/>
        <v>0</v>
      </c>
      <c r="AG522" s="319">
        <f t="shared" si="862"/>
        <v>0</v>
      </c>
      <c r="AH522" s="319">
        <f t="shared" si="862"/>
        <v>0</v>
      </c>
      <c r="AI522" s="319">
        <f t="shared" si="862"/>
        <v>0</v>
      </c>
      <c r="AJ522" s="319">
        <f t="shared" si="862"/>
        <v>0</v>
      </c>
      <c r="AK522" s="319">
        <f t="shared" si="862"/>
        <v>0</v>
      </c>
      <c r="AL522" s="319">
        <f t="shared" si="862"/>
        <v>0</v>
      </c>
      <c r="AM522" s="319">
        <f t="shared" si="862"/>
        <v>0</v>
      </c>
      <c r="AN522" s="319">
        <f t="shared" si="862"/>
        <v>0</v>
      </c>
      <c r="AO522" s="319">
        <f t="shared" si="862"/>
        <v>0</v>
      </c>
      <c r="AP522" s="319">
        <f t="shared" si="862"/>
        <v>0</v>
      </c>
      <c r="AQ522" s="319">
        <f t="shared" si="862"/>
        <v>0</v>
      </c>
      <c r="AR522" s="319">
        <f t="shared" si="862"/>
        <v>0</v>
      </c>
      <c r="AS522" s="319">
        <f t="shared" si="862"/>
        <v>0</v>
      </c>
      <c r="AT522" s="319">
        <f t="shared" si="862"/>
        <v>0</v>
      </c>
      <c r="AU522" s="319">
        <f t="shared" si="862"/>
        <v>0</v>
      </c>
      <c r="AV522" s="319">
        <f t="shared" si="862"/>
        <v>0</v>
      </c>
      <c r="AW522" s="319">
        <f t="shared" si="862"/>
        <v>0</v>
      </c>
      <c r="AX522" s="319">
        <f t="shared" si="862"/>
        <v>0</v>
      </c>
      <c r="AY522" s="319">
        <f t="shared" si="862"/>
        <v>0</v>
      </c>
      <c r="AZ522" s="319">
        <f t="shared" si="862"/>
        <v>0</v>
      </c>
      <c r="BA522" s="319">
        <f t="shared" si="862"/>
        <v>0</v>
      </c>
      <c r="BB522" s="319">
        <f t="shared" si="862"/>
        <v>0</v>
      </c>
      <c r="BC522" s="319">
        <f t="shared" si="862"/>
        <v>0</v>
      </c>
      <c r="BD522" s="319">
        <f t="shared" si="862"/>
        <v>0</v>
      </c>
      <c r="BE522" s="319">
        <f t="shared" si="862"/>
        <v>0</v>
      </c>
      <c r="BF522" s="319">
        <f t="shared" si="862"/>
        <v>0</v>
      </c>
      <c r="BG522" s="319">
        <f t="shared" si="862"/>
        <v>0</v>
      </c>
      <c r="BH522" s="319">
        <f t="shared" si="862"/>
        <v>0</v>
      </c>
      <c r="BI522" s="319">
        <f t="shared" si="862"/>
        <v>0</v>
      </c>
      <c r="BJ522" s="319">
        <f t="shared" si="862"/>
        <v>0</v>
      </c>
      <c r="BK522" s="319">
        <f t="shared" si="862"/>
        <v>0</v>
      </c>
      <c r="BL522" s="319">
        <f t="shared" si="862"/>
        <v>0</v>
      </c>
      <c r="BM522" s="319">
        <f t="shared" si="862"/>
        <v>0</v>
      </c>
      <c r="BN522" s="319">
        <f t="shared" si="862"/>
        <v>0</v>
      </c>
      <c r="BO522" s="319">
        <f t="shared" si="862"/>
        <v>0</v>
      </c>
      <c r="BP522" s="319">
        <f t="shared" si="862"/>
        <v>0</v>
      </c>
      <c r="BQ522" s="319">
        <f t="shared" si="862"/>
        <v>0</v>
      </c>
      <c r="BR522" s="319">
        <f t="shared" si="862"/>
        <v>0</v>
      </c>
      <c r="BS522" s="319">
        <f t="shared" si="862"/>
        <v>0</v>
      </c>
      <c r="BT522" s="319">
        <f t="shared" si="862"/>
        <v>0</v>
      </c>
      <c r="BU522" s="319">
        <f t="shared" si="862"/>
        <v>0</v>
      </c>
      <c r="BV522" s="319">
        <f t="shared" si="862"/>
        <v>0</v>
      </c>
      <c r="BW522" s="319">
        <f t="shared" si="862"/>
        <v>0</v>
      </c>
      <c r="BX522" s="1"/>
      <c r="BY522" s="1"/>
      <c r="BZ522" s="1"/>
      <c r="CA522" s="1"/>
      <c r="CB522" s="1"/>
      <c r="CC522" s="1"/>
      <c r="CD522" s="1"/>
      <c r="CE522" s="1"/>
      <c r="CF522" s="1"/>
      <c r="CG522" s="1"/>
    </row>
    <row r="523" spans="1:85" ht="15.75" customHeight="1">
      <c r="A523" s="313"/>
      <c r="B523" s="418"/>
      <c r="C523" s="416" t="s">
        <v>396</v>
      </c>
      <c r="D523" s="321" t="s">
        <v>397</v>
      </c>
      <c r="E523" s="319">
        <f>E144+E170+E171+E172+E173+E174+E175+E176+E177+E178+E179+E180+E181+E182+E183+E184</f>
        <v>15000</v>
      </c>
      <c r="F523" s="319">
        <f>F144+F170+F171+F172+F173+F174+F175+F176+F177+F178+F179+F180+F181+F182+F183+F184</f>
        <v>0</v>
      </c>
      <c r="G523" s="319">
        <f>G144+G170+G171+G172+G173+G174+G175+G176+G177+G178+G179+G180+G181+G182+G183+G184</f>
        <v>15000</v>
      </c>
      <c r="H523" s="319">
        <f t="shared" ref="H523:J523" si="863">H144+SUM(H170:H184)</f>
        <v>0</v>
      </c>
      <c r="I523" s="319">
        <f t="shared" si="863"/>
        <v>0</v>
      </c>
      <c r="J523" s="319">
        <f t="shared" si="863"/>
        <v>0</v>
      </c>
      <c r="K523" s="319">
        <f>K144+SUM(K170:K184)</f>
        <v>24276.880000000001</v>
      </c>
      <c r="L523" s="319">
        <f t="shared" ref="L523:W523" si="864">L144+SUM(L170:L184)</f>
        <v>18800</v>
      </c>
      <c r="M523" s="319">
        <f t="shared" si="864"/>
        <v>18800</v>
      </c>
      <c r="N523" s="319">
        <f t="shared" si="864"/>
        <v>0</v>
      </c>
      <c r="O523" s="319">
        <f t="shared" si="864"/>
        <v>23946.880000000001</v>
      </c>
      <c r="P523" s="319">
        <f t="shared" si="864"/>
        <v>0</v>
      </c>
      <c r="Q523" s="319">
        <f t="shared" si="864"/>
        <v>0</v>
      </c>
      <c r="R523" s="319">
        <f t="shared" si="864"/>
        <v>23946.880000000001</v>
      </c>
      <c r="S523" s="319">
        <f t="shared" si="864"/>
        <v>0</v>
      </c>
      <c r="T523" s="319">
        <f t="shared" si="864"/>
        <v>0</v>
      </c>
      <c r="U523" s="319">
        <f t="shared" si="864"/>
        <v>330</v>
      </c>
      <c r="V523" s="319">
        <f t="shared" si="864"/>
        <v>0</v>
      </c>
      <c r="W523" s="319">
        <f t="shared" si="864"/>
        <v>0</v>
      </c>
      <c r="X523" s="310">
        <f t="shared" si="788"/>
        <v>0.98640681998675284</v>
      </c>
      <c r="Y523" s="310">
        <f t="shared" si="789"/>
        <v>0</v>
      </c>
      <c r="Z523" s="310">
        <f t="shared" si="790"/>
        <v>0</v>
      </c>
      <c r="AA523" s="319">
        <f t="shared" ref="AA523:BW523" si="865">AA144+SUM(AA170:AA184)</f>
        <v>0</v>
      </c>
      <c r="AB523" s="319">
        <f t="shared" si="865"/>
        <v>0</v>
      </c>
      <c r="AC523" s="319">
        <f t="shared" si="865"/>
        <v>0</v>
      </c>
      <c r="AD523" s="319">
        <f t="shared" si="865"/>
        <v>7089.9</v>
      </c>
      <c r="AE523" s="319">
        <f t="shared" si="865"/>
        <v>0</v>
      </c>
      <c r="AF523" s="319">
        <f t="shared" si="865"/>
        <v>0</v>
      </c>
      <c r="AG523" s="319">
        <f t="shared" si="865"/>
        <v>780</v>
      </c>
      <c r="AH523" s="319">
        <f t="shared" si="865"/>
        <v>0</v>
      </c>
      <c r="AI523" s="319">
        <f t="shared" si="865"/>
        <v>0</v>
      </c>
      <c r="AJ523" s="319">
        <f t="shared" si="865"/>
        <v>6429.369999999999</v>
      </c>
      <c r="AK523" s="319">
        <f t="shared" si="865"/>
        <v>0</v>
      </c>
      <c r="AL523" s="319">
        <f t="shared" si="865"/>
        <v>0</v>
      </c>
      <c r="AM523" s="319">
        <f t="shared" si="865"/>
        <v>5879.9</v>
      </c>
      <c r="AN523" s="319">
        <f t="shared" si="865"/>
        <v>0</v>
      </c>
      <c r="AO523" s="319">
        <f t="shared" si="865"/>
        <v>0</v>
      </c>
      <c r="AP523" s="319">
        <f t="shared" si="865"/>
        <v>240</v>
      </c>
      <c r="AQ523" s="319">
        <f t="shared" si="865"/>
        <v>0</v>
      </c>
      <c r="AR523" s="319">
        <f t="shared" si="865"/>
        <v>0</v>
      </c>
      <c r="AS523" s="319">
        <f t="shared" si="865"/>
        <v>3327.7200000000003</v>
      </c>
      <c r="AT523" s="319">
        <f t="shared" si="865"/>
        <v>0</v>
      </c>
      <c r="AU523" s="319">
        <f t="shared" si="865"/>
        <v>0</v>
      </c>
      <c r="AV523" s="319">
        <f t="shared" si="865"/>
        <v>199.99</v>
      </c>
      <c r="AW523" s="319">
        <f t="shared" si="865"/>
        <v>0</v>
      </c>
      <c r="AX523" s="319">
        <f t="shared" si="865"/>
        <v>0</v>
      </c>
      <c r="AY523" s="319">
        <f t="shared" si="865"/>
        <v>0</v>
      </c>
      <c r="AZ523" s="319">
        <f t="shared" si="865"/>
        <v>0</v>
      </c>
      <c r="BA523" s="319">
        <f t="shared" si="865"/>
        <v>0</v>
      </c>
      <c r="BB523" s="319">
        <f t="shared" si="865"/>
        <v>0</v>
      </c>
      <c r="BC523" s="319">
        <f t="shared" si="865"/>
        <v>0</v>
      </c>
      <c r="BD523" s="319">
        <f t="shared" si="865"/>
        <v>0</v>
      </c>
      <c r="BE523" s="319">
        <f t="shared" si="865"/>
        <v>0</v>
      </c>
      <c r="BF523" s="319">
        <f t="shared" si="865"/>
        <v>0</v>
      </c>
      <c r="BG523" s="319">
        <f t="shared" si="865"/>
        <v>0</v>
      </c>
      <c r="BH523" s="319">
        <f t="shared" si="865"/>
        <v>0</v>
      </c>
      <c r="BI523" s="319">
        <f t="shared" si="865"/>
        <v>0</v>
      </c>
      <c r="BJ523" s="319">
        <f t="shared" si="865"/>
        <v>0</v>
      </c>
      <c r="BK523" s="319">
        <f t="shared" si="865"/>
        <v>0</v>
      </c>
      <c r="BL523" s="319">
        <f t="shared" si="865"/>
        <v>0</v>
      </c>
      <c r="BM523" s="319">
        <f t="shared" si="865"/>
        <v>0</v>
      </c>
      <c r="BN523" s="319">
        <f t="shared" si="865"/>
        <v>23946.880000000001</v>
      </c>
      <c r="BO523" s="319">
        <f t="shared" si="865"/>
        <v>0</v>
      </c>
      <c r="BP523" s="319">
        <f t="shared" si="865"/>
        <v>23946.880000000001</v>
      </c>
      <c r="BQ523" s="319">
        <f t="shared" si="865"/>
        <v>330</v>
      </c>
      <c r="BR523" s="319">
        <f t="shared" si="865"/>
        <v>0</v>
      </c>
      <c r="BS523" s="319">
        <f t="shared" si="865"/>
        <v>330</v>
      </c>
      <c r="BT523" s="319">
        <f t="shared" si="865"/>
        <v>0</v>
      </c>
      <c r="BU523" s="319">
        <f t="shared" si="865"/>
        <v>23946.880000000001</v>
      </c>
      <c r="BV523" s="319">
        <f t="shared" si="865"/>
        <v>330</v>
      </c>
      <c r="BW523" s="319">
        <f t="shared" si="865"/>
        <v>23946.880000000001</v>
      </c>
      <c r="BX523" s="1"/>
      <c r="BY523" s="1"/>
      <c r="BZ523" s="1"/>
      <c r="CA523" s="1"/>
      <c r="CB523" s="1"/>
      <c r="CC523" s="1"/>
      <c r="CD523" s="1"/>
      <c r="CE523" s="1"/>
      <c r="CF523" s="1"/>
      <c r="CG523" s="1"/>
    </row>
    <row r="524" spans="1:85" ht="15.75" customHeight="1">
      <c r="A524" s="313"/>
      <c r="B524" s="418"/>
      <c r="C524" s="416" t="s">
        <v>738</v>
      </c>
      <c r="D524" s="306" t="s">
        <v>948</v>
      </c>
      <c r="E524" s="319">
        <f>E383+E430+E431</f>
        <v>40000</v>
      </c>
      <c r="F524" s="319">
        <f>F383+F430+F431</f>
        <v>20000</v>
      </c>
      <c r="G524" s="319">
        <f>G383+G430+G431</f>
        <v>20000</v>
      </c>
      <c r="H524" s="319">
        <f t="shared" ref="H524:J524" si="866">H383+H430+H431</f>
        <v>0</v>
      </c>
      <c r="I524" s="319">
        <f t="shared" si="866"/>
        <v>0</v>
      </c>
      <c r="J524" s="319">
        <f t="shared" si="866"/>
        <v>0</v>
      </c>
      <c r="K524" s="319">
        <f>K383+K430+K431</f>
        <v>0</v>
      </c>
      <c r="L524" s="319">
        <f t="shared" ref="L524:W524" si="867">L383+L430+L431</f>
        <v>115</v>
      </c>
      <c r="M524" s="319">
        <f t="shared" si="867"/>
        <v>0</v>
      </c>
      <c r="N524" s="319">
        <f t="shared" si="867"/>
        <v>0</v>
      </c>
      <c r="O524" s="319">
        <f t="shared" si="867"/>
        <v>0</v>
      </c>
      <c r="P524" s="319">
        <f t="shared" si="867"/>
        <v>115</v>
      </c>
      <c r="Q524" s="319">
        <f t="shared" si="867"/>
        <v>0</v>
      </c>
      <c r="R524" s="319">
        <f t="shared" si="867"/>
        <v>0</v>
      </c>
      <c r="S524" s="319">
        <f t="shared" si="867"/>
        <v>115</v>
      </c>
      <c r="T524" s="319">
        <f t="shared" si="867"/>
        <v>0</v>
      </c>
      <c r="U524" s="319">
        <f t="shared" si="867"/>
        <v>0</v>
      </c>
      <c r="V524" s="319">
        <f t="shared" si="867"/>
        <v>0</v>
      </c>
      <c r="W524" s="319">
        <f t="shared" si="867"/>
        <v>0</v>
      </c>
      <c r="X524" s="310">
        <f t="shared" si="788"/>
        <v>0</v>
      </c>
      <c r="Y524" s="310">
        <f t="shared" si="789"/>
        <v>1</v>
      </c>
      <c r="Z524" s="310">
        <f t="shared" si="790"/>
        <v>0</v>
      </c>
      <c r="AA524" s="319">
        <f t="shared" ref="AA524:BW524" si="868">AA383+AA430+AA431</f>
        <v>0</v>
      </c>
      <c r="AB524" s="319">
        <f t="shared" si="868"/>
        <v>0</v>
      </c>
      <c r="AC524" s="319">
        <f t="shared" si="868"/>
        <v>0</v>
      </c>
      <c r="AD524" s="319">
        <f t="shared" si="868"/>
        <v>0</v>
      </c>
      <c r="AE524" s="319">
        <f t="shared" si="868"/>
        <v>0</v>
      </c>
      <c r="AF524" s="319">
        <f t="shared" si="868"/>
        <v>0</v>
      </c>
      <c r="AG524" s="319">
        <f t="shared" si="868"/>
        <v>0</v>
      </c>
      <c r="AH524" s="319">
        <f t="shared" si="868"/>
        <v>0</v>
      </c>
      <c r="AI524" s="319">
        <f t="shared" si="868"/>
        <v>0</v>
      </c>
      <c r="AJ524" s="319">
        <f t="shared" si="868"/>
        <v>0</v>
      </c>
      <c r="AK524" s="319">
        <f t="shared" si="868"/>
        <v>0</v>
      </c>
      <c r="AL524" s="319">
        <f t="shared" si="868"/>
        <v>0</v>
      </c>
      <c r="AM524" s="319">
        <f t="shared" si="868"/>
        <v>0</v>
      </c>
      <c r="AN524" s="319">
        <f t="shared" si="868"/>
        <v>115</v>
      </c>
      <c r="AO524" s="319">
        <f t="shared" si="868"/>
        <v>0</v>
      </c>
      <c r="AP524" s="319">
        <f t="shared" si="868"/>
        <v>0</v>
      </c>
      <c r="AQ524" s="319">
        <f t="shared" si="868"/>
        <v>0</v>
      </c>
      <c r="AR524" s="319">
        <f t="shared" si="868"/>
        <v>0</v>
      </c>
      <c r="AS524" s="319">
        <f t="shared" si="868"/>
        <v>0</v>
      </c>
      <c r="AT524" s="319">
        <f t="shared" si="868"/>
        <v>0</v>
      </c>
      <c r="AU524" s="319">
        <f t="shared" si="868"/>
        <v>0</v>
      </c>
      <c r="AV524" s="319">
        <f t="shared" si="868"/>
        <v>0</v>
      </c>
      <c r="AW524" s="319">
        <f t="shared" si="868"/>
        <v>0</v>
      </c>
      <c r="AX524" s="319">
        <f t="shared" si="868"/>
        <v>0</v>
      </c>
      <c r="AY524" s="319">
        <f t="shared" si="868"/>
        <v>0</v>
      </c>
      <c r="AZ524" s="319">
        <f t="shared" si="868"/>
        <v>0</v>
      </c>
      <c r="BA524" s="319">
        <f t="shared" si="868"/>
        <v>0</v>
      </c>
      <c r="BB524" s="319">
        <f t="shared" si="868"/>
        <v>0</v>
      </c>
      <c r="BC524" s="319">
        <f t="shared" si="868"/>
        <v>0</v>
      </c>
      <c r="BD524" s="319">
        <f t="shared" si="868"/>
        <v>0</v>
      </c>
      <c r="BE524" s="319">
        <f t="shared" si="868"/>
        <v>0</v>
      </c>
      <c r="BF524" s="319">
        <f t="shared" si="868"/>
        <v>0</v>
      </c>
      <c r="BG524" s="319">
        <f t="shared" si="868"/>
        <v>0</v>
      </c>
      <c r="BH524" s="319">
        <f t="shared" si="868"/>
        <v>0</v>
      </c>
      <c r="BI524" s="319">
        <f t="shared" si="868"/>
        <v>0</v>
      </c>
      <c r="BJ524" s="319">
        <f t="shared" si="868"/>
        <v>0</v>
      </c>
      <c r="BK524" s="319">
        <f t="shared" si="868"/>
        <v>0</v>
      </c>
      <c r="BL524" s="319">
        <f t="shared" si="868"/>
        <v>0</v>
      </c>
      <c r="BM524" s="319">
        <f t="shared" si="868"/>
        <v>0</v>
      </c>
      <c r="BN524" s="319">
        <f t="shared" si="868"/>
        <v>0</v>
      </c>
      <c r="BO524" s="319">
        <f t="shared" si="868"/>
        <v>0</v>
      </c>
      <c r="BP524" s="319">
        <f t="shared" si="868"/>
        <v>0</v>
      </c>
      <c r="BQ524" s="319">
        <f t="shared" si="868"/>
        <v>0</v>
      </c>
      <c r="BR524" s="319">
        <f t="shared" si="868"/>
        <v>0</v>
      </c>
      <c r="BS524" s="319">
        <f t="shared" si="868"/>
        <v>0</v>
      </c>
      <c r="BT524" s="319">
        <f t="shared" si="868"/>
        <v>0</v>
      </c>
      <c r="BU524" s="319">
        <f t="shared" si="868"/>
        <v>0</v>
      </c>
      <c r="BV524" s="319">
        <f t="shared" si="868"/>
        <v>0</v>
      </c>
      <c r="BW524" s="319">
        <f t="shared" si="868"/>
        <v>0</v>
      </c>
      <c r="BX524" s="1"/>
      <c r="BY524" s="1"/>
      <c r="BZ524" s="1"/>
      <c r="CA524" s="1"/>
      <c r="CB524" s="1"/>
      <c r="CC524" s="1"/>
      <c r="CD524" s="1"/>
      <c r="CE524" s="1"/>
      <c r="CF524" s="1"/>
      <c r="CG524" s="1"/>
    </row>
    <row r="525" spans="1:85" ht="15.75" customHeight="1">
      <c r="A525" s="313"/>
      <c r="B525" s="418"/>
      <c r="C525" s="416" t="s">
        <v>137</v>
      </c>
      <c r="D525" s="322" t="s">
        <v>139</v>
      </c>
      <c r="E525" s="319">
        <f>E15+E16+E17+E278+E432+E433</f>
        <v>18100</v>
      </c>
      <c r="F525" s="319">
        <f>F15+F16+F17+F278+F432+F433</f>
        <v>0</v>
      </c>
      <c r="G525" s="319">
        <f>G15+G16+G17+G278+G432+G433</f>
        <v>18100</v>
      </c>
      <c r="H525" s="319">
        <f t="shared" ref="H525:J525" si="869">H15+H16+H17+H278+SUM(H432:H435)</f>
        <v>0</v>
      </c>
      <c r="I525" s="319">
        <f t="shared" si="869"/>
        <v>0.55105263157894735</v>
      </c>
      <c r="J525" s="319">
        <f t="shared" si="869"/>
        <v>0.55105263157894735</v>
      </c>
      <c r="K525" s="319">
        <f>K15+K16+K17+K278+SUM(K432:K435)</f>
        <v>14196.4</v>
      </c>
      <c r="L525" s="319">
        <f t="shared" ref="L525:W525" si="870">L15+L16+L17+L278+SUM(L432:L435)</f>
        <v>15031.5</v>
      </c>
      <c r="M525" s="319">
        <f t="shared" si="870"/>
        <v>5551.5</v>
      </c>
      <c r="N525" s="319">
        <f>N15+N16+N17+N278+SUM(N432:N435)</f>
        <v>0</v>
      </c>
      <c r="O525" s="319">
        <f t="shared" si="870"/>
        <v>4188</v>
      </c>
      <c r="P525" s="319">
        <f t="shared" si="870"/>
        <v>9480</v>
      </c>
      <c r="Q525" s="319">
        <f t="shared" si="870"/>
        <v>0</v>
      </c>
      <c r="R525" s="319">
        <f t="shared" si="870"/>
        <v>4188</v>
      </c>
      <c r="S525" s="319">
        <f t="shared" si="870"/>
        <v>9480</v>
      </c>
      <c r="T525" s="319">
        <f t="shared" si="870"/>
        <v>0</v>
      </c>
      <c r="U525" s="319">
        <f t="shared" si="870"/>
        <v>10008.4</v>
      </c>
      <c r="V525" s="319">
        <f t="shared" si="870"/>
        <v>0</v>
      </c>
      <c r="W525" s="319">
        <f t="shared" si="870"/>
        <v>0</v>
      </c>
      <c r="X525" s="310">
        <f t="shared" si="788"/>
        <v>0.29500436730438706</v>
      </c>
      <c r="Y525" s="310">
        <f t="shared" si="789"/>
        <v>0.63067558127931345</v>
      </c>
      <c r="Z525" s="310">
        <f t="shared" si="790"/>
        <v>0</v>
      </c>
      <c r="AA525" s="319">
        <f t="shared" ref="AA525:BW525" si="871">AA15+AA16+AA17+AA278+SUM(AA432:AA435)</f>
        <v>0</v>
      </c>
      <c r="AB525" s="319">
        <f t="shared" si="871"/>
        <v>9480</v>
      </c>
      <c r="AC525" s="319">
        <f t="shared" si="871"/>
        <v>0</v>
      </c>
      <c r="AD525" s="319">
        <f t="shared" si="871"/>
        <v>0</v>
      </c>
      <c r="AE525" s="319">
        <f t="shared" si="871"/>
        <v>0</v>
      </c>
      <c r="AF525" s="319">
        <f t="shared" si="871"/>
        <v>0</v>
      </c>
      <c r="AG525" s="319">
        <f t="shared" si="871"/>
        <v>0</v>
      </c>
      <c r="AH525" s="319">
        <f t="shared" si="871"/>
        <v>0</v>
      </c>
      <c r="AI525" s="319">
        <f t="shared" si="871"/>
        <v>0</v>
      </c>
      <c r="AJ525" s="319">
        <f t="shared" si="871"/>
        <v>0</v>
      </c>
      <c r="AK525" s="319">
        <f t="shared" si="871"/>
        <v>0</v>
      </c>
      <c r="AL525" s="319">
        <f t="shared" si="871"/>
        <v>0</v>
      </c>
      <c r="AM525" s="319">
        <f t="shared" si="871"/>
        <v>0</v>
      </c>
      <c r="AN525" s="319">
        <f t="shared" si="871"/>
        <v>0</v>
      </c>
      <c r="AO525" s="319">
        <f t="shared" si="871"/>
        <v>0</v>
      </c>
      <c r="AP525" s="319">
        <f t="shared" si="871"/>
        <v>0</v>
      </c>
      <c r="AQ525" s="319">
        <f t="shared" si="871"/>
        <v>0</v>
      </c>
      <c r="AR525" s="319">
        <f t="shared" si="871"/>
        <v>0</v>
      </c>
      <c r="AS525" s="319">
        <f t="shared" si="871"/>
        <v>0</v>
      </c>
      <c r="AT525" s="319">
        <f t="shared" si="871"/>
        <v>0</v>
      </c>
      <c r="AU525" s="319">
        <f t="shared" si="871"/>
        <v>0</v>
      </c>
      <c r="AV525" s="319">
        <f t="shared" si="871"/>
        <v>0</v>
      </c>
      <c r="AW525" s="319">
        <f t="shared" si="871"/>
        <v>0</v>
      </c>
      <c r="AX525" s="319">
        <f t="shared" si="871"/>
        <v>0</v>
      </c>
      <c r="AY525" s="319">
        <f t="shared" si="871"/>
        <v>4188</v>
      </c>
      <c r="AZ525" s="319">
        <f t="shared" si="871"/>
        <v>0</v>
      </c>
      <c r="BA525" s="319">
        <f t="shared" si="871"/>
        <v>0</v>
      </c>
      <c r="BB525" s="319">
        <f t="shared" si="871"/>
        <v>0</v>
      </c>
      <c r="BC525" s="319">
        <f t="shared" si="871"/>
        <v>0</v>
      </c>
      <c r="BD525" s="319">
        <f t="shared" si="871"/>
        <v>0</v>
      </c>
      <c r="BE525" s="319">
        <f t="shared" si="871"/>
        <v>0</v>
      </c>
      <c r="BF525" s="319">
        <f t="shared" si="871"/>
        <v>0</v>
      </c>
      <c r="BG525" s="319">
        <f t="shared" si="871"/>
        <v>0</v>
      </c>
      <c r="BH525" s="319">
        <f t="shared" si="871"/>
        <v>0</v>
      </c>
      <c r="BI525" s="319">
        <f t="shared" si="871"/>
        <v>0</v>
      </c>
      <c r="BJ525" s="319">
        <f t="shared" si="871"/>
        <v>0</v>
      </c>
      <c r="BK525" s="319">
        <f t="shared" si="871"/>
        <v>0</v>
      </c>
      <c r="BL525" s="319">
        <f t="shared" si="871"/>
        <v>0</v>
      </c>
      <c r="BM525" s="319">
        <f t="shared" si="871"/>
        <v>0</v>
      </c>
      <c r="BN525" s="319">
        <f t="shared" si="871"/>
        <v>4188</v>
      </c>
      <c r="BO525" s="319">
        <f t="shared" si="871"/>
        <v>0</v>
      </c>
      <c r="BP525" s="319">
        <f t="shared" si="871"/>
        <v>4188</v>
      </c>
      <c r="BQ525" s="319">
        <f t="shared" si="871"/>
        <v>10008.4</v>
      </c>
      <c r="BR525" s="319">
        <f t="shared" si="871"/>
        <v>0</v>
      </c>
      <c r="BS525" s="319">
        <f t="shared" si="871"/>
        <v>10008.4</v>
      </c>
      <c r="BT525" s="319">
        <f t="shared" si="871"/>
        <v>0</v>
      </c>
      <c r="BU525" s="319">
        <f t="shared" si="871"/>
        <v>4188</v>
      </c>
      <c r="BV525" s="319">
        <f t="shared" si="871"/>
        <v>10008.4</v>
      </c>
      <c r="BW525" s="319">
        <f t="shared" si="871"/>
        <v>4188</v>
      </c>
      <c r="BX525" s="1"/>
      <c r="BY525" s="1"/>
      <c r="BZ525" s="1"/>
      <c r="CA525" s="1"/>
      <c r="CB525" s="1"/>
      <c r="CC525" s="1"/>
      <c r="CD525" s="1"/>
      <c r="CE525" s="1"/>
      <c r="CF525" s="1"/>
      <c r="CG525" s="1"/>
    </row>
    <row r="526" spans="1:85" ht="15.75" customHeight="1">
      <c r="A526" s="313"/>
      <c r="B526" s="418"/>
      <c r="C526" s="416" t="s">
        <v>143</v>
      </c>
      <c r="D526" s="321" t="s">
        <v>949</v>
      </c>
      <c r="E526" s="319">
        <f>E18</f>
        <v>500</v>
      </c>
      <c r="F526" s="319">
        <f>F18</f>
        <v>0</v>
      </c>
      <c r="G526" s="319">
        <f>G18</f>
        <v>500</v>
      </c>
      <c r="H526" s="319">
        <f t="shared" ref="H526:J526" si="872">H18</f>
        <v>0</v>
      </c>
      <c r="I526" s="319">
        <f t="shared" si="872"/>
        <v>0</v>
      </c>
      <c r="J526" s="319">
        <f t="shared" si="872"/>
        <v>0</v>
      </c>
      <c r="K526" s="319">
        <f>K18</f>
        <v>0</v>
      </c>
      <c r="L526" s="319">
        <f t="shared" ref="L526:W526" si="873">L18</f>
        <v>390</v>
      </c>
      <c r="M526" s="319">
        <f t="shared" si="873"/>
        <v>0</v>
      </c>
      <c r="N526" s="319">
        <f t="shared" si="873"/>
        <v>0</v>
      </c>
      <c r="O526" s="319">
        <f t="shared" si="873"/>
        <v>0</v>
      </c>
      <c r="P526" s="319">
        <f t="shared" si="873"/>
        <v>390</v>
      </c>
      <c r="Q526" s="319">
        <f t="shared" si="873"/>
        <v>0</v>
      </c>
      <c r="R526" s="320">
        <f t="shared" si="873"/>
        <v>0</v>
      </c>
      <c r="S526" s="320">
        <f t="shared" si="873"/>
        <v>390</v>
      </c>
      <c r="T526" s="320">
        <f t="shared" si="873"/>
        <v>0</v>
      </c>
      <c r="U526" s="386">
        <f t="shared" si="873"/>
        <v>0</v>
      </c>
      <c r="V526" s="386">
        <f t="shared" si="873"/>
        <v>0</v>
      </c>
      <c r="W526" s="386">
        <f t="shared" si="873"/>
        <v>0</v>
      </c>
      <c r="X526" s="310">
        <f t="shared" si="788"/>
        <v>0</v>
      </c>
      <c r="Y526" s="310">
        <f t="shared" si="789"/>
        <v>1</v>
      </c>
      <c r="Z526" s="310">
        <f t="shared" si="790"/>
        <v>0</v>
      </c>
      <c r="AA526" s="319">
        <f t="shared" ref="AA526:BW526" si="874">AA18</f>
        <v>0</v>
      </c>
      <c r="AB526" s="319">
        <f t="shared" si="874"/>
        <v>0</v>
      </c>
      <c r="AC526" s="319">
        <f t="shared" si="874"/>
        <v>0</v>
      </c>
      <c r="AD526" s="319">
        <f t="shared" si="874"/>
        <v>0</v>
      </c>
      <c r="AE526" s="319">
        <f t="shared" si="874"/>
        <v>0</v>
      </c>
      <c r="AF526" s="319">
        <f t="shared" si="874"/>
        <v>0</v>
      </c>
      <c r="AG526" s="319">
        <f t="shared" si="874"/>
        <v>0</v>
      </c>
      <c r="AH526" s="319">
        <f t="shared" si="874"/>
        <v>0</v>
      </c>
      <c r="AI526" s="319">
        <f t="shared" si="874"/>
        <v>0</v>
      </c>
      <c r="AJ526" s="319">
        <f t="shared" si="874"/>
        <v>0</v>
      </c>
      <c r="AK526" s="319">
        <f t="shared" si="874"/>
        <v>0</v>
      </c>
      <c r="AL526" s="319">
        <f t="shared" si="874"/>
        <v>0</v>
      </c>
      <c r="AM526" s="319">
        <f t="shared" si="874"/>
        <v>0</v>
      </c>
      <c r="AN526" s="319">
        <f t="shared" si="874"/>
        <v>0</v>
      </c>
      <c r="AO526" s="319">
        <f t="shared" si="874"/>
        <v>0</v>
      </c>
      <c r="AP526" s="319">
        <f t="shared" si="874"/>
        <v>0</v>
      </c>
      <c r="AQ526" s="319">
        <f t="shared" si="874"/>
        <v>390</v>
      </c>
      <c r="AR526" s="319">
        <f t="shared" si="874"/>
        <v>0</v>
      </c>
      <c r="AS526" s="319">
        <f t="shared" si="874"/>
        <v>0</v>
      </c>
      <c r="AT526" s="319">
        <f t="shared" si="874"/>
        <v>0</v>
      </c>
      <c r="AU526" s="319">
        <f t="shared" si="874"/>
        <v>0</v>
      </c>
      <c r="AV526" s="319">
        <f t="shared" si="874"/>
        <v>0</v>
      </c>
      <c r="AW526" s="319">
        <f t="shared" si="874"/>
        <v>0</v>
      </c>
      <c r="AX526" s="319">
        <f t="shared" si="874"/>
        <v>0</v>
      </c>
      <c r="AY526" s="319">
        <f t="shared" si="874"/>
        <v>0</v>
      </c>
      <c r="AZ526" s="319">
        <f t="shared" si="874"/>
        <v>0</v>
      </c>
      <c r="BA526" s="319">
        <f t="shared" si="874"/>
        <v>0</v>
      </c>
      <c r="BB526" s="319">
        <f t="shared" si="874"/>
        <v>0</v>
      </c>
      <c r="BC526" s="319">
        <f t="shared" si="874"/>
        <v>0</v>
      </c>
      <c r="BD526" s="319">
        <f t="shared" si="874"/>
        <v>0</v>
      </c>
      <c r="BE526" s="319">
        <f t="shared" si="874"/>
        <v>0</v>
      </c>
      <c r="BF526" s="319">
        <f t="shared" si="874"/>
        <v>0</v>
      </c>
      <c r="BG526" s="319">
        <f t="shared" si="874"/>
        <v>0</v>
      </c>
      <c r="BH526" s="319">
        <f t="shared" si="874"/>
        <v>0</v>
      </c>
      <c r="BI526" s="319">
        <f t="shared" si="874"/>
        <v>0</v>
      </c>
      <c r="BJ526" s="319">
        <f t="shared" si="874"/>
        <v>0</v>
      </c>
      <c r="BK526" s="319">
        <f t="shared" si="874"/>
        <v>0</v>
      </c>
      <c r="BL526" s="319">
        <f t="shared" si="874"/>
        <v>0</v>
      </c>
      <c r="BM526" s="319">
        <f t="shared" si="874"/>
        <v>0</v>
      </c>
      <c r="BN526" s="319">
        <f t="shared" si="874"/>
        <v>0</v>
      </c>
      <c r="BO526" s="319">
        <f t="shared" si="874"/>
        <v>0</v>
      </c>
      <c r="BP526" s="319">
        <f t="shared" si="874"/>
        <v>0</v>
      </c>
      <c r="BQ526" s="319">
        <f t="shared" si="874"/>
        <v>0</v>
      </c>
      <c r="BR526" s="319">
        <f t="shared" si="874"/>
        <v>0</v>
      </c>
      <c r="BS526" s="319">
        <f t="shared" si="874"/>
        <v>0</v>
      </c>
      <c r="BT526" s="319">
        <f t="shared" si="874"/>
        <v>0</v>
      </c>
      <c r="BU526" s="319">
        <f t="shared" si="874"/>
        <v>0</v>
      </c>
      <c r="BV526" s="319">
        <f t="shared" si="874"/>
        <v>0</v>
      </c>
      <c r="BW526" s="319">
        <f t="shared" si="874"/>
        <v>0</v>
      </c>
      <c r="BX526" s="1"/>
      <c r="BY526" s="1"/>
      <c r="BZ526" s="1"/>
      <c r="CA526" s="1"/>
      <c r="CB526" s="1"/>
      <c r="CC526" s="1"/>
      <c r="CD526" s="1"/>
      <c r="CE526" s="1"/>
      <c r="CF526" s="1"/>
      <c r="CG526" s="1"/>
    </row>
    <row r="527" spans="1:85" ht="15.75" customHeight="1">
      <c r="A527" s="313"/>
      <c r="B527" s="418"/>
      <c r="C527" s="416" t="s">
        <v>146</v>
      </c>
      <c r="D527" s="322" t="s">
        <v>950</v>
      </c>
      <c r="E527" s="319">
        <f>E19+E20+E21+E22+E23+E24+E25+E26+E27+E185+E363+E436+E437</f>
        <v>28000</v>
      </c>
      <c r="F527" s="319">
        <f>F19+F20+F21+F22+F23+F24+F25+F26+F27+F185+F363+F436+F437</f>
        <v>0</v>
      </c>
      <c r="G527" s="319">
        <f>G19+G20+G21+G22+G23+G24+G25+G26+G27+G185+G363+G436+G437</f>
        <v>28000</v>
      </c>
      <c r="H527" s="319">
        <f t="shared" ref="H527:J527" si="875">SUM(H19:H27)+H185+H363+H436+H437</f>
        <v>0</v>
      </c>
      <c r="I527" s="319">
        <f t="shared" si="875"/>
        <v>5.9154999999999992E-2</v>
      </c>
      <c r="J527" s="319">
        <f t="shared" si="875"/>
        <v>5.9154999999999992E-2</v>
      </c>
      <c r="K527" s="319">
        <f>SUM(K19:K27)+K185+K363+K436+K437</f>
        <v>5995.41</v>
      </c>
      <c r="L527" s="319">
        <f t="shared" ref="L527:W527" si="876">SUM(L19:L27)+L185+L363+L436+L437</f>
        <v>42790.45</v>
      </c>
      <c r="M527" s="319">
        <f t="shared" si="876"/>
        <v>42519.95</v>
      </c>
      <c r="N527" s="319">
        <f t="shared" si="876"/>
        <v>0</v>
      </c>
      <c r="O527" s="319">
        <f t="shared" si="876"/>
        <v>5995.41</v>
      </c>
      <c r="P527" s="319">
        <f t="shared" si="876"/>
        <v>270.5</v>
      </c>
      <c r="Q527" s="319">
        <f t="shared" si="876"/>
        <v>0</v>
      </c>
      <c r="R527" s="319">
        <f t="shared" si="876"/>
        <v>5995.41</v>
      </c>
      <c r="S527" s="319">
        <f t="shared" si="876"/>
        <v>270.5</v>
      </c>
      <c r="T527" s="319">
        <f t="shared" si="876"/>
        <v>0</v>
      </c>
      <c r="U527" s="319">
        <f t="shared" si="876"/>
        <v>0</v>
      </c>
      <c r="V527" s="319">
        <f t="shared" si="876"/>
        <v>0</v>
      </c>
      <c r="W527" s="319">
        <f t="shared" si="876"/>
        <v>0</v>
      </c>
      <c r="X527" s="310">
        <f t="shared" si="788"/>
        <v>1</v>
      </c>
      <c r="Y527" s="310">
        <f t="shared" si="789"/>
        <v>6.3215039804442354E-3</v>
      </c>
      <c r="Z527" s="310">
        <f t="shared" si="790"/>
        <v>0</v>
      </c>
      <c r="AA527" s="319">
        <f t="shared" ref="AA527:BW527" si="877">SUM(AA19:AA27)+AA185+AA363+AA436+AA437</f>
        <v>0</v>
      </c>
      <c r="AB527" s="319">
        <f t="shared" si="877"/>
        <v>0</v>
      </c>
      <c r="AC527" s="319">
        <f t="shared" si="877"/>
        <v>0</v>
      </c>
      <c r="AD527" s="319">
        <f t="shared" si="877"/>
        <v>0</v>
      </c>
      <c r="AE527" s="319">
        <f t="shared" si="877"/>
        <v>0</v>
      </c>
      <c r="AF527" s="319">
        <f t="shared" si="877"/>
        <v>0</v>
      </c>
      <c r="AG527" s="319">
        <f t="shared" si="877"/>
        <v>208</v>
      </c>
      <c r="AH527" s="319">
        <f t="shared" si="877"/>
        <v>0</v>
      </c>
      <c r="AI527" s="319">
        <f t="shared" si="877"/>
        <v>0</v>
      </c>
      <c r="AJ527" s="319">
        <f t="shared" si="877"/>
        <v>2209.77</v>
      </c>
      <c r="AK527" s="319">
        <f t="shared" si="877"/>
        <v>0</v>
      </c>
      <c r="AL527" s="319">
        <f t="shared" si="877"/>
        <v>0</v>
      </c>
      <c r="AM527" s="319">
        <f t="shared" si="877"/>
        <v>0</v>
      </c>
      <c r="AN527" s="319">
        <f t="shared" si="877"/>
        <v>0</v>
      </c>
      <c r="AO527" s="319">
        <f t="shared" si="877"/>
        <v>0</v>
      </c>
      <c r="AP527" s="319">
        <f t="shared" si="877"/>
        <v>1383.26</v>
      </c>
      <c r="AQ527" s="319">
        <f t="shared" si="877"/>
        <v>270.5</v>
      </c>
      <c r="AR527" s="319">
        <f t="shared" si="877"/>
        <v>0</v>
      </c>
      <c r="AS527" s="319">
        <f t="shared" si="877"/>
        <v>1183.0999999999999</v>
      </c>
      <c r="AT527" s="319">
        <f t="shared" si="877"/>
        <v>0</v>
      </c>
      <c r="AU527" s="319">
        <f t="shared" si="877"/>
        <v>0</v>
      </c>
      <c r="AV527" s="319">
        <f t="shared" si="877"/>
        <v>0</v>
      </c>
      <c r="AW527" s="319">
        <f t="shared" si="877"/>
        <v>0</v>
      </c>
      <c r="AX527" s="319">
        <f t="shared" si="877"/>
        <v>0</v>
      </c>
      <c r="AY527" s="319">
        <f t="shared" si="877"/>
        <v>1011.28</v>
      </c>
      <c r="AZ527" s="319">
        <f t="shared" si="877"/>
        <v>0</v>
      </c>
      <c r="BA527" s="319">
        <f t="shared" si="877"/>
        <v>0</v>
      </c>
      <c r="BB527" s="319">
        <f t="shared" si="877"/>
        <v>0</v>
      </c>
      <c r="BC527" s="319">
        <f t="shared" si="877"/>
        <v>0</v>
      </c>
      <c r="BD527" s="319">
        <f t="shared" si="877"/>
        <v>0</v>
      </c>
      <c r="BE527" s="319">
        <f t="shared" si="877"/>
        <v>0</v>
      </c>
      <c r="BF527" s="319">
        <f t="shared" si="877"/>
        <v>0</v>
      </c>
      <c r="BG527" s="319">
        <f t="shared" si="877"/>
        <v>0</v>
      </c>
      <c r="BH527" s="319">
        <f t="shared" si="877"/>
        <v>0</v>
      </c>
      <c r="BI527" s="319">
        <f t="shared" si="877"/>
        <v>0</v>
      </c>
      <c r="BJ527" s="319">
        <f t="shared" si="877"/>
        <v>0</v>
      </c>
      <c r="BK527" s="319">
        <f t="shared" si="877"/>
        <v>0</v>
      </c>
      <c r="BL527" s="319">
        <f t="shared" si="877"/>
        <v>0</v>
      </c>
      <c r="BM527" s="319">
        <f t="shared" si="877"/>
        <v>0</v>
      </c>
      <c r="BN527" s="319">
        <f t="shared" si="877"/>
        <v>5995.41</v>
      </c>
      <c r="BO527" s="319">
        <f t="shared" si="877"/>
        <v>0</v>
      </c>
      <c r="BP527" s="319">
        <f t="shared" si="877"/>
        <v>5995.41</v>
      </c>
      <c r="BQ527" s="319">
        <f t="shared" si="877"/>
        <v>0</v>
      </c>
      <c r="BR527" s="319">
        <f t="shared" si="877"/>
        <v>0</v>
      </c>
      <c r="BS527" s="319">
        <f t="shared" si="877"/>
        <v>0</v>
      </c>
      <c r="BT527" s="319">
        <f t="shared" si="877"/>
        <v>0</v>
      </c>
      <c r="BU527" s="319">
        <f t="shared" si="877"/>
        <v>5995.41</v>
      </c>
      <c r="BV527" s="319">
        <f t="shared" si="877"/>
        <v>0</v>
      </c>
      <c r="BW527" s="319">
        <f t="shared" si="877"/>
        <v>5995.41</v>
      </c>
      <c r="BX527" s="1"/>
      <c r="BY527" s="1"/>
      <c r="BZ527" s="1"/>
      <c r="CA527" s="1"/>
      <c r="CB527" s="1"/>
      <c r="CC527" s="1"/>
      <c r="CD527" s="1"/>
      <c r="CE527" s="1"/>
      <c r="CF527" s="1"/>
      <c r="CG527" s="1"/>
    </row>
    <row r="528" spans="1:85" ht="15.75" customHeight="1">
      <c r="A528" s="313"/>
      <c r="B528" s="418"/>
      <c r="C528" s="416" t="s">
        <v>166</v>
      </c>
      <c r="D528" s="311" t="s">
        <v>502</v>
      </c>
      <c r="E528" s="319">
        <f>E28+E210+E384</f>
        <v>20000</v>
      </c>
      <c r="F528" s="319">
        <f>F28+F210+F384</f>
        <v>0</v>
      </c>
      <c r="G528" s="319">
        <f>G28+G210+G384</f>
        <v>20000</v>
      </c>
      <c r="H528" s="319">
        <f t="shared" ref="H528:J528" si="878">H28+H210+H384</f>
        <v>0</v>
      </c>
      <c r="I528" s="319">
        <f t="shared" si="878"/>
        <v>0</v>
      </c>
      <c r="J528" s="319">
        <f t="shared" si="878"/>
        <v>0</v>
      </c>
      <c r="K528" s="319">
        <f>K28+K210+K384</f>
        <v>0</v>
      </c>
      <c r="L528" s="319">
        <f t="shared" ref="L528:W528" si="879">L28+L210+L384</f>
        <v>239.6</v>
      </c>
      <c r="M528" s="319">
        <f t="shared" si="879"/>
        <v>239.6</v>
      </c>
      <c r="N528" s="319">
        <f t="shared" si="879"/>
        <v>0</v>
      </c>
      <c r="O528" s="319">
        <f t="shared" si="879"/>
        <v>0</v>
      </c>
      <c r="P528" s="319">
        <f t="shared" si="879"/>
        <v>0</v>
      </c>
      <c r="Q528" s="319">
        <f t="shared" si="879"/>
        <v>0</v>
      </c>
      <c r="R528" s="320">
        <f t="shared" si="879"/>
        <v>0</v>
      </c>
      <c r="S528" s="320">
        <f t="shared" si="879"/>
        <v>0</v>
      </c>
      <c r="T528" s="320">
        <f t="shared" si="879"/>
        <v>0</v>
      </c>
      <c r="U528" s="386">
        <f t="shared" si="879"/>
        <v>0</v>
      </c>
      <c r="V528" s="386">
        <f t="shared" si="879"/>
        <v>0</v>
      </c>
      <c r="W528" s="386">
        <f t="shared" si="879"/>
        <v>0</v>
      </c>
      <c r="X528" s="310">
        <f t="shared" si="788"/>
        <v>0</v>
      </c>
      <c r="Y528" s="310">
        <f t="shared" si="789"/>
        <v>0</v>
      </c>
      <c r="Z528" s="310">
        <f t="shared" si="790"/>
        <v>0</v>
      </c>
      <c r="AA528" s="319">
        <f t="shared" ref="AA528:BW528" si="880">AA28+AA210+AA384</f>
        <v>0</v>
      </c>
      <c r="AB528" s="319">
        <f t="shared" si="880"/>
        <v>0</v>
      </c>
      <c r="AC528" s="319">
        <f t="shared" si="880"/>
        <v>0</v>
      </c>
      <c r="AD528" s="319">
        <f t="shared" si="880"/>
        <v>0</v>
      </c>
      <c r="AE528" s="319">
        <f t="shared" si="880"/>
        <v>0</v>
      </c>
      <c r="AF528" s="319">
        <f t="shared" si="880"/>
        <v>0</v>
      </c>
      <c r="AG528" s="319">
        <f t="shared" si="880"/>
        <v>0</v>
      </c>
      <c r="AH528" s="319">
        <f t="shared" si="880"/>
        <v>0</v>
      </c>
      <c r="AI528" s="319">
        <f t="shared" si="880"/>
        <v>0</v>
      </c>
      <c r="AJ528" s="319">
        <f t="shared" si="880"/>
        <v>0</v>
      </c>
      <c r="AK528" s="319">
        <f t="shared" si="880"/>
        <v>0</v>
      </c>
      <c r="AL528" s="319">
        <f t="shared" si="880"/>
        <v>0</v>
      </c>
      <c r="AM528" s="319">
        <f t="shared" si="880"/>
        <v>0</v>
      </c>
      <c r="AN528" s="319">
        <f t="shared" si="880"/>
        <v>0</v>
      </c>
      <c r="AO528" s="319">
        <f t="shared" si="880"/>
        <v>0</v>
      </c>
      <c r="AP528" s="319">
        <f t="shared" si="880"/>
        <v>0</v>
      </c>
      <c r="AQ528" s="319">
        <f t="shared" si="880"/>
        <v>0</v>
      </c>
      <c r="AR528" s="319">
        <f t="shared" si="880"/>
        <v>0</v>
      </c>
      <c r="AS528" s="319">
        <f t="shared" si="880"/>
        <v>0</v>
      </c>
      <c r="AT528" s="319">
        <f t="shared" si="880"/>
        <v>0</v>
      </c>
      <c r="AU528" s="319">
        <f t="shared" si="880"/>
        <v>0</v>
      </c>
      <c r="AV528" s="319">
        <f t="shared" si="880"/>
        <v>0</v>
      </c>
      <c r="AW528" s="319">
        <f t="shared" si="880"/>
        <v>0</v>
      </c>
      <c r="AX528" s="319">
        <f t="shared" si="880"/>
        <v>0</v>
      </c>
      <c r="AY528" s="319">
        <f t="shared" si="880"/>
        <v>0</v>
      </c>
      <c r="AZ528" s="319">
        <f t="shared" si="880"/>
        <v>0</v>
      </c>
      <c r="BA528" s="319">
        <f t="shared" si="880"/>
        <v>0</v>
      </c>
      <c r="BB528" s="319">
        <f t="shared" si="880"/>
        <v>0</v>
      </c>
      <c r="BC528" s="319">
        <f t="shared" si="880"/>
        <v>0</v>
      </c>
      <c r="BD528" s="319">
        <f t="shared" si="880"/>
        <v>0</v>
      </c>
      <c r="BE528" s="319">
        <f t="shared" si="880"/>
        <v>0</v>
      </c>
      <c r="BF528" s="319">
        <f t="shared" si="880"/>
        <v>0</v>
      </c>
      <c r="BG528" s="319">
        <f t="shared" si="880"/>
        <v>0</v>
      </c>
      <c r="BH528" s="319">
        <f t="shared" si="880"/>
        <v>0</v>
      </c>
      <c r="BI528" s="319">
        <f t="shared" si="880"/>
        <v>0</v>
      </c>
      <c r="BJ528" s="319">
        <f t="shared" si="880"/>
        <v>0</v>
      </c>
      <c r="BK528" s="319">
        <f t="shared" si="880"/>
        <v>0</v>
      </c>
      <c r="BL528" s="319">
        <f t="shared" si="880"/>
        <v>0</v>
      </c>
      <c r="BM528" s="319">
        <f t="shared" si="880"/>
        <v>0</v>
      </c>
      <c r="BN528" s="319">
        <f t="shared" si="880"/>
        <v>0</v>
      </c>
      <c r="BO528" s="319">
        <f t="shared" si="880"/>
        <v>0</v>
      </c>
      <c r="BP528" s="319">
        <f t="shared" si="880"/>
        <v>0</v>
      </c>
      <c r="BQ528" s="319">
        <f t="shared" si="880"/>
        <v>0</v>
      </c>
      <c r="BR528" s="319">
        <f t="shared" si="880"/>
        <v>0</v>
      </c>
      <c r="BS528" s="319">
        <f t="shared" si="880"/>
        <v>0</v>
      </c>
      <c r="BT528" s="319">
        <f t="shared" si="880"/>
        <v>0</v>
      </c>
      <c r="BU528" s="319">
        <f t="shared" si="880"/>
        <v>0</v>
      </c>
      <c r="BV528" s="319">
        <f t="shared" si="880"/>
        <v>0</v>
      </c>
      <c r="BW528" s="319">
        <f t="shared" si="880"/>
        <v>0</v>
      </c>
      <c r="BX528" s="1"/>
      <c r="BY528" s="1"/>
      <c r="BZ528" s="1"/>
      <c r="CA528" s="1"/>
      <c r="CB528" s="1"/>
      <c r="CC528" s="1"/>
      <c r="CD528" s="1"/>
      <c r="CE528" s="1"/>
      <c r="CF528" s="1"/>
      <c r="CG528" s="1"/>
    </row>
    <row r="529" spans="1:85" ht="15.75" customHeight="1">
      <c r="A529" s="313"/>
      <c r="B529" s="418"/>
      <c r="C529" s="416" t="s">
        <v>169</v>
      </c>
      <c r="D529" s="311" t="s">
        <v>828</v>
      </c>
      <c r="E529" s="319">
        <f>E29+E30+E31+E32+E33+E34+E35+E36+E37+E38+E39+E40+E42+E43+E44+E45+E46+E47+E48+E438+E439</f>
        <v>85000</v>
      </c>
      <c r="F529" s="319">
        <f>F29+F30+F31+F32+F33+F34+F35+F36+F37+F38+F39+F40+F42+F43+F44+F45+F46+F47+F48+F438+F439</f>
        <v>0</v>
      </c>
      <c r="G529" s="319">
        <f>G29+G30+G31+G32+G33+G34+G35+G36+G37+G38+G39+G40+G42+G43+G44+G45+G46+G47+G48+G438+G439</f>
        <v>85000</v>
      </c>
      <c r="H529" s="319">
        <f t="shared" ref="H529:J529" si="881">SUM(H29:H50)+H438+H439</f>
        <v>30000</v>
      </c>
      <c r="I529" s="319">
        <f t="shared" si="881"/>
        <v>2.1588333333333331E-2</v>
      </c>
      <c r="J529" s="319">
        <f t="shared" si="881"/>
        <v>2.1588333333333331E-2</v>
      </c>
      <c r="K529" s="319">
        <f>SUM(K29:K50)+K438+K439</f>
        <v>118711.84000000001</v>
      </c>
      <c r="L529" s="319">
        <f t="shared" ref="L529:W529" si="882">SUM(L29:L50)+L438+L439</f>
        <v>3549.08</v>
      </c>
      <c r="M529" s="319">
        <f t="shared" si="882"/>
        <v>3549.08</v>
      </c>
      <c r="N529" s="319">
        <f t="shared" si="882"/>
        <v>0</v>
      </c>
      <c r="O529" s="319">
        <f t="shared" si="882"/>
        <v>82064.38</v>
      </c>
      <c r="P529" s="319">
        <f t="shared" si="882"/>
        <v>0</v>
      </c>
      <c r="Q529" s="319">
        <f t="shared" si="882"/>
        <v>0</v>
      </c>
      <c r="R529" s="319">
        <f t="shared" si="882"/>
        <v>82064.38</v>
      </c>
      <c r="S529" s="319">
        <f t="shared" si="882"/>
        <v>0</v>
      </c>
      <c r="T529" s="319">
        <f t="shared" si="882"/>
        <v>0</v>
      </c>
      <c r="U529" s="319">
        <f t="shared" si="882"/>
        <v>36647.46</v>
      </c>
      <c r="V529" s="319">
        <f t="shared" si="882"/>
        <v>0</v>
      </c>
      <c r="W529" s="319">
        <f t="shared" si="882"/>
        <v>0</v>
      </c>
      <c r="X529" s="310">
        <f t="shared" si="788"/>
        <v>0.69129060757545324</v>
      </c>
      <c r="Y529" s="310">
        <f t="shared" si="789"/>
        <v>0</v>
      </c>
      <c r="Z529" s="310">
        <f t="shared" si="790"/>
        <v>0</v>
      </c>
      <c r="AA529" s="319">
        <f t="shared" ref="AA529:BW529" si="883">SUM(AA29:AA50)+AA438+AA439</f>
        <v>0</v>
      </c>
      <c r="AB529" s="319">
        <f t="shared" si="883"/>
        <v>0</v>
      </c>
      <c r="AC529" s="319">
        <f t="shared" si="883"/>
        <v>0</v>
      </c>
      <c r="AD529" s="319">
        <f t="shared" si="883"/>
        <v>0</v>
      </c>
      <c r="AE529" s="319">
        <f t="shared" si="883"/>
        <v>0</v>
      </c>
      <c r="AF529" s="319">
        <f t="shared" si="883"/>
        <v>0</v>
      </c>
      <c r="AG529" s="319">
        <f t="shared" si="883"/>
        <v>8198.24</v>
      </c>
      <c r="AH529" s="319">
        <f t="shared" si="883"/>
        <v>0</v>
      </c>
      <c r="AI529" s="319">
        <f t="shared" si="883"/>
        <v>0</v>
      </c>
      <c r="AJ529" s="319">
        <f t="shared" si="883"/>
        <v>5468.09</v>
      </c>
      <c r="AK529" s="319">
        <f t="shared" si="883"/>
        <v>0</v>
      </c>
      <c r="AL529" s="319">
        <f t="shared" si="883"/>
        <v>0</v>
      </c>
      <c r="AM529" s="319">
        <f t="shared" si="883"/>
        <v>6884.45</v>
      </c>
      <c r="AN529" s="319">
        <f t="shared" si="883"/>
        <v>0</v>
      </c>
      <c r="AO529" s="319">
        <f t="shared" si="883"/>
        <v>0</v>
      </c>
      <c r="AP529" s="319">
        <f t="shared" si="883"/>
        <v>6851.46</v>
      </c>
      <c r="AQ529" s="319">
        <f t="shared" si="883"/>
        <v>0</v>
      </c>
      <c r="AR529" s="319">
        <f t="shared" si="883"/>
        <v>0</v>
      </c>
      <c r="AS529" s="319">
        <f t="shared" si="883"/>
        <v>19175.45</v>
      </c>
      <c r="AT529" s="319">
        <f t="shared" si="883"/>
        <v>0</v>
      </c>
      <c r="AU529" s="319">
        <f t="shared" si="883"/>
        <v>0</v>
      </c>
      <c r="AV529" s="319">
        <f t="shared" si="883"/>
        <v>24056.46</v>
      </c>
      <c r="AW529" s="319">
        <f t="shared" si="883"/>
        <v>0</v>
      </c>
      <c r="AX529" s="319">
        <f t="shared" si="883"/>
        <v>0</v>
      </c>
      <c r="AY529" s="319">
        <f t="shared" si="883"/>
        <v>11430.23</v>
      </c>
      <c r="AZ529" s="319">
        <f t="shared" si="883"/>
        <v>0</v>
      </c>
      <c r="BA529" s="319">
        <f t="shared" si="883"/>
        <v>0</v>
      </c>
      <c r="BB529" s="319">
        <f t="shared" si="883"/>
        <v>0</v>
      </c>
      <c r="BC529" s="319">
        <f t="shared" si="883"/>
        <v>0</v>
      </c>
      <c r="BD529" s="319">
        <f t="shared" si="883"/>
        <v>0</v>
      </c>
      <c r="BE529" s="319">
        <f t="shared" si="883"/>
        <v>0</v>
      </c>
      <c r="BF529" s="319">
        <f t="shared" si="883"/>
        <v>0</v>
      </c>
      <c r="BG529" s="319">
        <f t="shared" si="883"/>
        <v>0</v>
      </c>
      <c r="BH529" s="319">
        <f t="shared" si="883"/>
        <v>0</v>
      </c>
      <c r="BI529" s="319">
        <f t="shared" si="883"/>
        <v>0</v>
      </c>
      <c r="BJ529" s="319">
        <f t="shared" si="883"/>
        <v>0</v>
      </c>
      <c r="BK529" s="319">
        <f t="shared" si="883"/>
        <v>0</v>
      </c>
      <c r="BL529" s="319">
        <f t="shared" si="883"/>
        <v>0</v>
      </c>
      <c r="BM529" s="319">
        <f t="shared" si="883"/>
        <v>0</v>
      </c>
      <c r="BN529" s="319">
        <f t="shared" si="883"/>
        <v>82064.38</v>
      </c>
      <c r="BO529" s="319">
        <f t="shared" si="883"/>
        <v>0</v>
      </c>
      <c r="BP529" s="319">
        <f t="shared" si="883"/>
        <v>82064.38</v>
      </c>
      <c r="BQ529" s="319">
        <f t="shared" si="883"/>
        <v>36647.46</v>
      </c>
      <c r="BR529" s="319">
        <f t="shared" si="883"/>
        <v>0</v>
      </c>
      <c r="BS529" s="319">
        <f t="shared" si="883"/>
        <v>36647.46</v>
      </c>
      <c r="BT529" s="319">
        <f t="shared" si="883"/>
        <v>0</v>
      </c>
      <c r="BU529" s="319">
        <f t="shared" si="883"/>
        <v>82064.38</v>
      </c>
      <c r="BV529" s="319">
        <f t="shared" si="883"/>
        <v>36647.46</v>
      </c>
      <c r="BW529" s="319">
        <f t="shared" si="883"/>
        <v>82064.38</v>
      </c>
      <c r="BX529" s="1"/>
      <c r="BY529" s="1"/>
      <c r="BZ529" s="1"/>
      <c r="CA529" s="1"/>
      <c r="CB529" s="1"/>
      <c r="CC529" s="1"/>
      <c r="CD529" s="1"/>
      <c r="CE529" s="1"/>
      <c r="CF529" s="1"/>
      <c r="CG529" s="1"/>
    </row>
    <row r="530" spans="1:85" ht="15.75" customHeight="1">
      <c r="A530" s="313"/>
      <c r="B530" s="418"/>
      <c r="C530" s="416" t="s">
        <v>210</v>
      </c>
      <c r="D530" s="314" t="s">
        <v>211</v>
      </c>
      <c r="E530" s="319">
        <f>E52</f>
        <v>5000</v>
      </c>
      <c r="F530" s="319">
        <f>F52</f>
        <v>0</v>
      </c>
      <c r="G530" s="319">
        <f>G52</f>
        <v>5000</v>
      </c>
      <c r="H530" s="319">
        <f t="shared" ref="H530:J530" si="884">H52</f>
        <v>0</v>
      </c>
      <c r="I530" s="319">
        <f t="shared" si="884"/>
        <v>0</v>
      </c>
      <c r="J530" s="319">
        <f t="shared" si="884"/>
        <v>0</v>
      </c>
      <c r="K530" s="319">
        <f>K52</f>
        <v>0</v>
      </c>
      <c r="L530" s="319">
        <f t="shared" ref="L530:W530" si="885">L52</f>
        <v>0</v>
      </c>
      <c r="M530" s="319">
        <f t="shared" si="885"/>
        <v>0</v>
      </c>
      <c r="N530" s="319">
        <f t="shared" si="885"/>
        <v>0</v>
      </c>
      <c r="O530" s="319">
        <f t="shared" si="885"/>
        <v>0</v>
      </c>
      <c r="P530" s="319">
        <f t="shared" si="885"/>
        <v>0</v>
      </c>
      <c r="Q530" s="319">
        <f t="shared" si="885"/>
        <v>0</v>
      </c>
      <c r="R530" s="320">
        <f t="shared" si="885"/>
        <v>0</v>
      </c>
      <c r="S530" s="320">
        <f t="shared" si="885"/>
        <v>0</v>
      </c>
      <c r="T530" s="320">
        <f t="shared" si="885"/>
        <v>0</v>
      </c>
      <c r="U530" s="386">
        <f t="shared" si="885"/>
        <v>0</v>
      </c>
      <c r="V530" s="386">
        <f t="shared" si="885"/>
        <v>0</v>
      </c>
      <c r="W530" s="386">
        <f t="shared" si="885"/>
        <v>0</v>
      </c>
      <c r="X530" s="310">
        <f t="shared" si="788"/>
        <v>0</v>
      </c>
      <c r="Y530" s="310">
        <f t="shared" si="789"/>
        <v>0</v>
      </c>
      <c r="Z530" s="310">
        <f t="shared" si="790"/>
        <v>0</v>
      </c>
      <c r="AA530" s="319">
        <f t="shared" ref="AA530:BW530" si="886">AA52</f>
        <v>0</v>
      </c>
      <c r="AB530" s="319">
        <f t="shared" si="886"/>
        <v>0</v>
      </c>
      <c r="AC530" s="319">
        <f t="shared" si="886"/>
        <v>0</v>
      </c>
      <c r="AD530" s="319">
        <f t="shared" si="886"/>
        <v>0</v>
      </c>
      <c r="AE530" s="319">
        <f t="shared" si="886"/>
        <v>0</v>
      </c>
      <c r="AF530" s="319">
        <f t="shared" si="886"/>
        <v>0</v>
      </c>
      <c r="AG530" s="319">
        <f t="shared" si="886"/>
        <v>0</v>
      </c>
      <c r="AH530" s="319">
        <f t="shared" si="886"/>
        <v>0</v>
      </c>
      <c r="AI530" s="319">
        <f t="shared" si="886"/>
        <v>0</v>
      </c>
      <c r="AJ530" s="319">
        <f t="shared" si="886"/>
        <v>0</v>
      </c>
      <c r="AK530" s="319">
        <f t="shared" si="886"/>
        <v>0</v>
      </c>
      <c r="AL530" s="319">
        <f t="shared" si="886"/>
        <v>0</v>
      </c>
      <c r="AM530" s="319">
        <f t="shared" si="886"/>
        <v>0</v>
      </c>
      <c r="AN530" s="319">
        <f t="shared" si="886"/>
        <v>0</v>
      </c>
      <c r="AO530" s="319">
        <f t="shared" si="886"/>
        <v>0</v>
      </c>
      <c r="AP530" s="319">
        <f t="shared" si="886"/>
        <v>0</v>
      </c>
      <c r="AQ530" s="319">
        <f t="shared" si="886"/>
        <v>0</v>
      </c>
      <c r="AR530" s="319">
        <f t="shared" si="886"/>
        <v>0</v>
      </c>
      <c r="AS530" s="319">
        <f t="shared" si="886"/>
        <v>0</v>
      </c>
      <c r="AT530" s="319">
        <f t="shared" si="886"/>
        <v>0</v>
      </c>
      <c r="AU530" s="319">
        <f t="shared" si="886"/>
        <v>0</v>
      </c>
      <c r="AV530" s="319">
        <f t="shared" si="886"/>
        <v>0</v>
      </c>
      <c r="AW530" s="319">
        <f t="shared" si="886"/>
        <v>0</v>
      </c>
      <c r="AX530" s="319">
        <f t="shared" si="886"/>
        <v>0</v>
      </c>
      <c r="AY530" s="319">
        <f t="shared" si="886"/>
        <v>0</v>
      </c>
      <c r="AZ530" s="319">
        <f t="shared" si="886"/>
        <v>0</v>
      </c>
      <c r="BA530" s="319">
        <f t="shared" si="886"/>
        <v>0</v>
      </c>
      <c r="BB530" s="319">
        <f t="shared" si="886"/>
        <v>0</v>
      </c>
      <c r="BC530" s="319">
        <f t="shared" si="886"/>
        <v>0</v>
      </c>
      <c r="BD530" s="319">
        <f t="shared" si="886"/>
        <v>0</v>
      </c>
      <c r="BE530" s="319">
        <f t="shared" si="886"/>
        <v>0</v>
      </c>
      <c r="BF530" s="319">
        <f t="shared" si="886"/>
        <v>0</v>
      </c>
      <c r="BG530" s="319">
        <f t="shared" si="886"/>
        <v>0</v>
      </c>
      <c r="BH530" s="319">
        <f t="shared" si="886"/>
        <v>0</v>
      </c>
      <c r="BI530" s="319">
        <f t="shared" si="886"/>
        <v>0</v>
      </c>
      <c r="BJ530" s="319">
        <f t="shared" si="886"/>
        <v>0</v>
      </c>
      <c r="BK530" s="319">
        <f t="shared" si="886"/>
        <v>0</v>
      </c>
      <c r="BL530" s="319">
        <f t="shared" si="886"/>
        <v>0</v>
      </c>
      <c r="BM530" s="319">
        <f t="shared" si="886"/>
        <v>0</v>
      </c>
      <c r="BN530" s="319">
        <f t="shared" si="886"/>
        <v>0</v>
      </c>
      <c r="BO530" s="319">
        <f t="shared" si="886"/>
        <v>0</v>
      </c>
      <c r="BP530" s="319">
        <f t="shared" si="886"/>
        <v>0</v>
      </c>
      <c r="BQ530" s="319">
        <f t="shared" si="886"/>
        <v>0</v>
      </c>
      <c r="BR530" s="319">
        <f t="shared" si="886"/>
        <v>0</v>
      </c>
      <c r="BS530" s="319">
        <f t="shared" si="886"/>
        <v>0</v>
      </c>
      <c r="BT530" s="319">
        <f t="shared" si="886"/>
        <v>0</v>
      </c>
      <c r="BU530" s="319">
        <f t="shared" si="886"/>
        <v>0</v>
      </c>
      <c r="BV530" s="319">
        <f t="shared" si="886"/>
        <v>0</v>
      </c>
      <c r="BW530" s="319">
        <f t="shared" si="886"/>
        <v>0</v>
      </c>
      <c r="BX530" s="1"/>
      <c r="BY530" s="1"/>
      <c r="BZ530" s="1"/>
      <c r="CA530" s="1"/>
      <c r="CB530" s="1"/>
      <c r="CC530" s="1"/>
      <c r="CD530" s="1"/>
      <c r="CE530" s="1"/>
      <c r="CF530" s="1"/>
      <c r="CG530" s="1"/>
    </row>
    <row r="531" spans="1:85" ht="15.75" customHeight="1">
      <c r="A531" s="313"/>
      <c r="B531" s="418"/>
      <c r="C531" s="416" t="s">
        <v>209</v>
      </c>
      <c r="D531" s="323" t="s">
        <v>398</v>
      </c>
      <c r="E531" s="319">
        <f>E51+E53+E145+E440</f>
        <v>62200</v>
      </c>
      <c r="F531" s="319">
        <f>F51+F53+F145+F440</f>
        <v>0</v>
      </c>
      <c r="G531" s="319">
        <f>G51+G53+G145+G440</f>
        <v>62200</v>
      </c>
      <c r="H531" s="319">
        <f t="shared" ref="H531:J531" si="887">H51+H53+H145+H440</f>
        <v>0</v>
      </c>
      <c r="I531" s="319">
        <f t="shared" si="887"/>
        <v>0.41666666666666669</v>
      </c>
      <c r="J531" s="319">
        <f t="shared" si="887"/>
        <v>0.35657783333333332</v>
      </c>
      <c r="K531" s="319">
        <f>K51+K53+K145+K440</f>
        <v>42110</v>
      </c>
      <c r="L531" s="319">
        <f t="shared" ref="L531:W531" si="888">L51+L53+L145+L440</f>
        <v>0</v>
      </c>
      <c r="M531" s="319">
        <f t="shared" si="888"/>
        <v>0</v>
      </c>
      <c r="N531" s="319">
        <f t="shared" si="888"/>
        <v>0</v>
      </c>
      <c r="O531" s="319">
        <f t="shared" si="888"/>
        <v>38504.67</v>
      </c>
      <c r="P531" s="319">
        <f t="shared" si="888"/>
        <v>0</v>
      </c>
      <c r="Q531" s="319">
        <f t="shared" si="888"/>
        <v>0</v>
      </c>
      <c r="R531" s="320">
        <f t="shared" si="888"/>
        <v>38504.67</v>
      </c>
      <c r="S531" s="320">
        <f t="shared" si="888"/>
        <v>0</v>
      </c>
      <c r="T531" s="320">
        <f t="shared" si="888"/>
        <v>0</v>
      </c>
      <c r="U531" s="386">
        <f t="shared" si="888"/>
        <v>3605.3300000000017</v>
      </c>
      <c r="V531" s="386">
        <f t="shared" si="888"/>
        <v>0</v>
      </c>
      <c r="W531" s="386">
        <f t="shared" si="888"/>
        <v>0</v>
      </c>
      <c r="X531" s="310">
        <f t="shared" ref="X531:X562" si="889">IF(O531&gt;0,O531/K531,0)</f>
        <v>0.91438304440750406</v>
      </c>
      <c r="Y531" s="310">
        <f t="shared" ref="Y531:Y562" si="890">IF(P531&gt;0,P531/L531,0)</f>
        <v>0</v>
      </c>
      <c r="Z531" s="310">
        <f t="shared" si="790"/>
        <v>0</v>
      </c>
      <c r="AA531" s="319">
        <f t="shared" ref="AA531:BW531" si="891">AA51+AA53+AA145+AA440</f>
        <v>0</v>
      </c>
      <c r="AB531" s="319">
        <f t="shared" si="891"/>
        <v>0</v>
      </c>
      <c r="AC531" s="319">
        <f t="shared" si="891"/>
        <v>0</v>
      </c>
      <c r="AD531" s="319">
        <f t="shared" si="891"/>
        <v>0</v>
      </c>
      <c r="AE531" s="319">
        <f t="shared" si="891"/>
        <v>0</v>
      </c>
      <c r="AF531" s="319">
        <f t="shared" si="891"/>
        <v>0</v>
      </c>
      <c r="AG531" s="319">
        <f t="shared" si="891"/>
        <v>0</v>
      </c>
      <c r="AH531" s="319">
        <f t="shared" si="891"/>
        <v>0</v>
      </c>
      <c r="AI531" s="319">
        <f t="shared" si="891"/>
        <v>0</v>
      </c>
      <c r="AJ531" s="319">
        <f t="shared" si="891"/>
        <v>0</v>
      </c>
      <c r="AK531" s="319">
        <f t="shared" si="891"/>
        <v>0</v>
      </c>
      <c r="AL531" s="319">
        <f t="shared" si="891"/>
        <v>0</v>
      </c>
      <c r="AM531" s="319">
        <f t="shared" si="891"/>
        <v>17110</v>
      </c>
      <c r="AN531" s="319">
        <f t="shared" si="891"/>
        <v>0</v>
      </c>
      <c r="AO531" s="319">
        <f t="shared" si="891"/>
        <v>0</v>
      </c>
      <c r="AP531" s="319">
        <f t="shared" si="891"/>
        <v>0</v>
      </c>
      <c r="AQ531" s="319">
        <f t="shared" si="891"/>
        <v>0</v>
      </c>
      <c r="AR531" s="319">
        <f t="shared" si="891"/>
        <v>0</v>
      </c>
      <c r="AS531" s="319">
        <f t="shared" si="891"/>
        <v>0</v>
      </c>
      <c r="AT531" s="319">
        <f t="shared" si="891"/>
        <v>0</v>
      </c>
      <c r="AU531" s="319">
        <f t="shared" si="891"/>
        <v>0</v>
      </c>
      <c r="AV531" s="319">
        <f t="shared" si="891"/>
        <v>20523.64</v>
      </c>
      <c r="AW531" s="319">
        <f t="shared" si="891"/>
        <v>0</v>
      </c>
      <c r="AX531" s="319">
        <f t="shared" si="891"/>
        <v>0</v>
      </c>
      <c r="AY531" s="319">
        <f t="shared" si="891"/>
        <v>871.03</v>
      </c>
      <c r="AZ531" s="319">
        <f t="shared" si="891"/>
        <v>0</v>
      </c>
      <c r="BA531" s="319">
        <f t="shared" si="891"/>
        <v>0</v>
      </c>
      <c r="BB531" s="319">
        <f t="shared" si="891"/>
        <v>0</v>
      </c>
      <c r="BC531" s="319">
        <f t="shared" si="891"/>
        <v>0</v>
      </c>
      <c r="BD531" s="319">
        <f t="shared" si="891"/>
        <v>0</v>
      </c>
      <c r="BE531" s="319">
        <f t="shared" si="891"/>
        <v>0</v>
      </c>
      <c r="BF531" s="319">
        <f t="shared" si="891"/>
        <v>0</v>
      </c>
      <c r="BG531" s="319">
        <f t="shared" si="891"/>
        <v>0</v>
      </c>
      <c r="BH531" s="319">
        <f t="shared" si="891"/>
        <v>0</v>
      </c>
      <c r="BI531" s="319">
        <f t="shared" si="891"/>
        <v>0</v>
      </c>
      <c r="BJ531" s="319">
        <f t="shared" si="891"/>
        <v>0</v>
      </c>
      <c r="BK531" s="319">
        <f t="shared" si="891"/>
        <v>0</v>
      </c>
      <c r="BL531" s="319">
        <f t="shared" si="891"/>
        <v>0</v>
      </c>
      <c r="BM531" s="319">
        <f t="shared" si="891"/>
        <v>0</v>
      </c>
      <c r="BN531" s="319">
        <f t="shared" si="891"/>
        <v>38504.67</v>
      </c>
      <c r="BO531" s="319">
        <f t="shared" si="891"/>
        <v>0</v>
      </c>
      <c r="BP531" s="319">
        <f t="shared" si="891"/>
        <v>38504.67</v>
      </c>
      <c r="BQ531" s="319">
        <f t="shared" si="891"/>
        <v>3605.3300000000017</v>
      </c>
      <c r="BR531" s="319">
        <f t="shared" si="891"/>
        <v>0</v>
      </c>
      <c r="BS531" s="319">
        <f t="shared" si="891"/>
        <v>3605.3300000000017</v>
      </c>
      <c r="BT531" s="319">
        <f t="shared" si="891"/>
        <v>0</v>
      </c>
      <c r="BU531" s="319">
        <f t="shared" si="891"/>
        <v>38504.67</v>
      </c>
      <c r="BV531" s="319">
        <f t="shared" si="891"/>
        <v>3605.3300000000017</v>
      </c>
      <c r="BW531" s="319">
        <f t="shared" si="891"/>
        <v>38504.67</v>
      </c>
      <c r="BX531" s="1"/>
      <c r="BY531" s="1"/>
      <c r="BZ531" s="1"/>
      <c r="CA531" s="1"/>
      <c r="CB531" s="1"/>
      <c r="CC531" s="1"/>
      <c r="CD531" s="1"/>
      <c r="CE531" s="1"/>
      <c r="CF531" s="1"/>
      <c r="CG531" s="1"/>
    </row>
    <row r="532" spans="1:85" ht="15.75" customHeight="1">
      <c r="A532" s="313"/>
      <c r="B532" s="418"/>
      <c r="C532" s="416" t="s">
        <v>215</v>
      </c>
      <c r="D532" s="323" t="s">
        <v>830</v>
      </c>
      <c r="E532" s="319">
        <f>E55+E56+E441</f>
        <v>1500</v>
      </c>
      <c r="F532" s="319">
        <f>F55+F56+F441</f>
        <v>0</v>
      </c>
      <c r="G532" s="319">
        <f>G55+G56+G441</f>
        <v>1500</v>
      </c>
      <c r="H532" s="319">
        <f t="shared" ref="H532:J532" si="892">H55+H56+H441</f>
        <v>0</v>
      </c>
      <c r="I532" s="319">
        <f t="shared" si="892"/>
        <v>0</v>
      </c>
      <c r="J532" s="319">
        <f t="shared" si="892"/>
        <v>0</v>
      </c>
      <c r="K532" s="319">
        <f>K55+K56+K441</f>
        <v>0</v>
      </c>
      <c r="L532" s="319">
        <f t="shared" ref="L532:W532" si="893">L55+L56+L441</f>
        <v>193.5</v>
      </c>
      <c r="M532" s="319">
        <f t="shared" si="893"/>
        <v>193.5</v>
      </c>
      <c r="N532" s="319">
        <f t="shared" si="893"/>
        <v>0</v>
      </c>
      <c r="O532" s="319">
        <f t="shared" si="893"/>
        <v>0</v>
      </c>
      <c r="P532" s="319">
        <f t="shared" si="893"/>
        <v>0</v>
      </c>
      <c r="Q532" s="319">
        <f t="shared" si="893"/>
        <v>0</v>
      </c>
      <c r="R532" s="320">
        <f t="shared" si="893"/>
        <v>0</v>
      </c>
      <c r="S532" s="320">
        <f t="shared" si="893"/>
        <v>0</v>
      </c>
      <c r="T532" s="320">
        <f t="shared" si="893"/>
        <v>0</v>
      </c>
      <c r="U532" s="386">
        <f t="shared" si="893"/>
        <v>0</v>
      </c>
      <c r="V532" s="386">
        <f t="shared" si="893"/>
        <v>0</v>
      </c>
      <c r="W532" s="386">
        <f t="shared" si="893"/>
        <v>0</v>
      </c>
      <c r="X532" s="310">
        <f t="shared" si="889"/>
        <v>0</v>
      </c>
      <c r="Y532" s="310">
        <f t="shared" si="890"/>
        <v>0</v>
      </c>
      <c r="Z532" s="310">
        <f t="shared" si="790"/>
        <v>0</v>
      </c>
      <c r="AA532" s="319">
        <f t="shared" ref="AA532:BW532" si="894">AA55+AA56+AA441</f>
        <v>0</v>
      </c>
      <c r="AB532" s="319">
        <f t="shared" si="894"/>
        <v>0</v>
      </c>
      <c r="AC532" s="319">
        <f t="shared" si="894"/>
        <v>0</v>
      </c>
      <c r="AD532" s="319">
        <f t="shared" si="894"/>
        <v>0</v>
      </c>
      <c r="AE532" s="319">
        <f t="shared" si="894"/>
        <v>0</v>
      </c>
      <c r="AF532" s="319">
        <f t="shared" si="894"/>
        <v>0</v>
      </c>
      <c r="AG532" s="319">
        <f t="shared" si="894"/>
        <v>0</v>
      </c>
      <c r="AH532" s="319">
        <f t="shared" si="894"/>
        <v>0</v>
      </c>
      <c r="AI532" s="319">
        <f t="shared" si="894"/>
        <v>0</v>
      </c>
      <c r="AJ532" s="319">
        <f t="shared" si="894"/>
        <v>0</v>
      </c>
      <c r="AK532" s="319">
        <f t="shared" si="894"/>
        <v>0</v>
      </c>
      <c r="AL532" s="319">
        <f t="shared" si="894"/>
        <v>0</v>
      </c>
      <c r="AM532" s="319">
        <f t="shared" si="894"/>
        <v>0</v>
      </c>
      <c r="AN532" s="319">
        <f t="shared" si="894"/>
        <v>0</v>
      </c>
      <c r="AO532" s="319">
        <f t="shared" si="894"/>
        <v>0</v>
      </c>
      <c r="AP532" s="319">
        <f t="shared" si="894"/>
        <v>0</v>
      </c>
      <c r="AQ532" s="319">
        <f t="shared" si="894"/>
        <v>0</v>
      </c>
      <c r="AR532" s="319">
        <f t="shared" si="894"/>
        <v>0</v>
      </c>
      <c r="AS532" s="319">
        <f t="shared" si="894"/>
        <v>0</v>
      </c>
      <c r="AT532" s="319">
        <f t="shared" si="894"/>
        <v>0</v>
      </c>
      <c r="AU532" s="319">
        <f t="shared" si="894"/>
        <v>0</v>
      </c>
      <c r="AV532" s="319">
        <f t="shared" si="894"/>
        <v>0</v>
      </c>
      <c r="AW532" s="319">
        <f t="shared" si="894"/>
        <v>0</v>
      </c>
      <c r="AX532" s="319">
        <f t="shared" si="894"/>
        <v>0</v>
      </c>
      <c r="AY532" s="319">
        <f t="shared" si="894"/>
        <v>0</v>
      </c>
      <c r="AZ532" s="319">
        <f t="shared" si="894"/>
        <v>0</v>
      </c>
      <c r="BA532" s="319">
        <f t="shared" si="894"/>
        <v>0</v>
      </c>
      <c r="BB532" s="319">
        <f t="shared" si="894"/>
        <v>0</v>
      </c>
      <c r="BC532" s="319">
        <f t="shared" si="894"/>
        <v>0</v>
      </c>
      <c r="BD532" s="319">
        <f t="shared" si="894"/>
        <v>0</v>
      </c>
      <c r="BE532" s="319">
        <f t="shared" si="894"/>
        <v>0</v>
      </c>
      <c r="BF532" s="319">
        <f t="shared" si="894"/>
        <v>0</v>
      </c>
      <c r="BG532" s="319">
        <f t="shared" si="894"/>
        <v>0</v>
      </c>
      <c r="BH532" s="319">
        <f t="shared" si="894"/>
        <v>0</v>
      </c>
      <c r="BI532" s="319">
        <f t="shared" si="894"/>
        <v>0</v>
      </c>
      <c r="BJ532" s="319">
        <f t="shared" si="894"/>
        <v>0</v>
      </c>
      <c r="BK532" s="319">
        <f t="shared" si="894"/>
        <v>0</v>
      </c>
      <c r="BL532" s="319">
        <f t="shared" si="894"/>
        <v>0</v>
      </c>
      <c r="BM532" s="319">
        <f t="shared" si="894"/>
        <v>0</v>
      </c>
      <c r="BN532" s="319">
        <f t="shared" si="894"/>
        <v>0</v>
      </c>
      <c r="BO532" s="319">
        <f t="shared" si="894"/>
        <v>0</v>
      </c>
      <c r="BP532" s="319">
        <f t="shared" si="894"/>
        <v>0</v>
      </c>
      <c r="BQ532" s="319">
        <f t="shared" si="894"/>
        <v>0</v>
      </c>
      <c r="BR532" s="319">
        <f t="shared" si="894"/>
        <v>0</v>
      </c>
      <c r="BS532" s="319">
        <f t="shared" si="894"/>
        <v>0</v>
      </c>
      <c r="BT532" s="319">
        <f t="shared" si="894"/>
        <v>0</v>
      </c>
      <c r="BU532" s="319">
        <f t="shared" si="894"/>
        <v>0</v>
      </c>
      <c r="BV532" s="319">
        <f t="shared" si="894"/>
        <v>0</v>
      </c>
      <c r="BW532" s="319">
        <f t="shared" si="894"/>
        <v>0</v>
      </c>
      <c r="BX532" s="1"/>
      <c r="BY532" s="1"/>
      <c r="BZ532" s="1"/>
      <c r="CA532" s="1"/>
      <c r="CB532" s="1"/>
      <c r="CC532" s="1"/>
      <c r="CD532" s="1"/>
      <c r="CE532" s="1"/>
      <c r="CF532" s="1"/>
      <c r="CG532" s="1"/>
    </row>
    <row r="533" spans="1:85" ht="15.75" customHeight="1">
      <c r="A533" s="313"/>
      <c r="B533" s="418"/>
      <c r="C533" s="416" t="s">
        <v>399</v>
      </c>
      <c r="D533" s="323" t="s">
        <v>400</v>
      </c>
      <c r="E533" s="319">
        <f>E146+E186</f>
        <v>3800</v>
      </c>
      <c r="F533" s="319">
        <f>F146+F186</f>
        <v>0</v>
      </c>
      <c r="G533" s="319">
        <f>G146+G186</f>
        <v>3800</v>
      </c>
      <c r="H533" s="319">
        <f t="shared" ref="H533:J533" si="895">H146+H186</f>
        <v>0</v>
      </c>
      <c r="I533" s="319">
        <f t="shared" si="895"/>
        <v>0</v>
      </c>
      <c r="J533" s="319">
        <f t="shared" si="895"/>
        <v>0</v>
      </c>
      <c r="K533" s="319">
        <f>K146+K186</f>
        <v>1110</v>
      </c>
      <c r="L533" s="319">
        <f t="shared" ref="L533:W533" si="896">L146+L186</f>
        <v>0</v>
      </c>
      <c r="M533" s="319">
        <f t="shared" si="896"/>
        <v>0</v>
      </c>
      <c r="N533" s="319">
        <f t="shared" si="896"/>
        <v>0</v>
      </c>
      <c r="O533" s="320">
        <f t="shared" si="896"/>
        <v>1110</v>
      </c>
      <c r="P533" s="320">
        <f t="shared" si="896"/>
        <v>0</v>
      </c>
      <c r="Q533" s="320">
        <f t="shared" si="896"/>
        <v>0</v>
      </c>
      <c r="R533" s="320">
        <f t="shared" si="896"/>
        <v>1110</v>
      </c>
      <c r="S533" s="320">
        <f t="shared" si="896"/>
        <v>0</v>
      </c>
      <c r="T533" s="320">
        <f t="shared" si="896"/>
        <v>0</v>
      </c>
      <c r="U533" s="387">
        <f t="shared" si="896"/>
        <v>0</v>
      </c>
      <c r="V533" s="386">
        <f t="shared" si="896"/>
        <v>0</v>
      </c>
      <c r="W533" s="387">
        <f t="shared" si="896"/>
        <v>0</v>
      </c>
      <c r="X533" s="310">
        <f t="shared" si="889"/>
        <v>1</v>
      </c>
      <c r="Y533" s="310">
        <f t="shared" si="890"/>
        <v>0</v>
      </c>
      <c r="Z533" s="310">
        <f t="shared" si="790"/>
        <v>0</v>
      </c>
      <c r="AA533" s="319">
        <f t="shared" ref="AA533:BW533" si="897">AA146+AA186</f>
        <v>0</v>
      </c>
      <c r="AB533" s="319">
        <f t="shared" si="897"/>
        <v>0</v>
      </c>
      <c r="AC533" s="319">
        <f t="shared" si="897"/>
        <v>0</v>
      </c>
      <c r="AD533" s="319">
        <f t="shared" si="897"/>
        <v>1110</v>
      </c>
      <c r="AE533" s="319">
        <f t="shared" si="897"/>
        <v>0</v>
      </c>
      <c r="AF533" s="319">
        <f t="shared" si="897"/>
        <v>0</v>
      </c>
      <c r="AG533" s="319">
        <f t="shared" si="897"/>
        <v>0</v>
      </c>
      <c r="AH533" s="319">
        <f t="shared" si="897"/>
        <v>0</v>
      </c>
      <c r="AI533" s="319">
        <f t="shared" si="897"/>
        <v>0</v>
      </c>
      <c r="AJ533" s="319">
        <f t="shared" si="897"/>
        <v>0</v>
      </c>
      <c r="AK533" s="319">
        <f t="shared" si="897"/>
        <v>0</v>
      </c>
      <c r="AL533" s="319">
        <f t="shared" si="897"/>
        <v>0</v>
      </c>
      <c r="AM533" s="319">
        <f t="shared" si="897"/>
        <v>0</v>
      </c>
      <c r="AN533" s="319">
        <f t="shared" si="897"/>
        <v>0</v>
      </c>
      <c r="AO533" s="319">
        <f t="shared" si="897"/>
        <v>0</v>
      </c>
      <c r="AP533" s="319">
        <f t="shared" si="897"/>
        <v>0</v>
      </c>
      <c r="AQ533" s="319">
        <f t="shared" si="897"/>
        <v>0</v>
      </c>
      <c r="AR533" s="319">
        <f t="shared" si="897"/>
        <v>0</v>
      </c>
      <c r="AS533" s="319">
        <f t="shared" si="897"/>
        <v>0</v>
      </c>
      <c r="AT533" s="319">
        <f t="shared" si="897"/>
        <v>0</v>
      </c>
      <c r="AU533" s="319">
        <f t="shared" si="897"/>
        <v>0</v>
      </c>
      <c r="AV533" s="319">
        <f t="shared" si="897"/>
        <v>0</v>
      </c>
      <c r="AW533" s="319">
        <f t="shared" si="897"/>
        <v>0</v>
      </c>
      <c r="AX533" s="319">
        <f t="shared" si="897"/>
        <v>0</v>
      </c>
      <c r="AY533" s="319">
        <f t="shared" si="897"/>
        <v>0</v>
      </c>
      <c r="AZ533" s="319">
        <f t="shared" si="897"/>
        <v>0</v>
      </c>
      <c r="BA533" s="319">
        <f t="shared" si="897"/>
        <v>0</v>
      </c>
      <c r="BB533" s="319">
        <f t="shared" si="897"/>
        <v>0</v>
      </c>
      <c r="BC533" s="319">
        <f t="shared" si="897"/>
        <v>0</v>
      </c>
      <c r="BD533" s="319">
        <f t="shared" si="897"/>
        <v>0</v>
      </c>
      <c r="BE533" s="319">
        <f t="shared" si="897"/>
        <v>0</v>
      </c>
      <c r="BF533" s="319">
        <f t="shared" si="897"/>
        <v>0</v>
      </c>
      <c r="BG533" s="319">
        <f t="shared" si="897"/>
        <v>0</v>
      </c>
      <c r="BH533" s="319">
        <f t="shared" si="897"/>
        <v>0</v>
      </c>
      <c r="BI533" s="319">
        <f t="shared" si="897"/>
        <v>0</v>
      </c>
      <c r="BJ533" s="319">
        <f t="shared" si="897"/>
        <v>0</v>
      </c>
      <c r="BK533" s="319">
        <f t="shared" si="897"/>
        <v>0</v>
      </c>
      <c r="BL533" s="319">
        <f t="shared" si="897"/>
        <v>0</v>
      </c>
      <c r="BM533" s="319">
        <f t="shared" si="897"/>
        <v>0</v>
      </c>
      <c r="BN533" s="319">
        <f t="shared" si="897"/>
        <v>1110</v>
      </c>
      <c r="BO533" s="319">
        <f t="shared" si="897"/>
        <v>0</v>
      </c>
      <c r="BP533" s="319">
        <f t="shared" si="897"/>
        <v>1110</v>
      </c>
      <c r="BQ533" s="319">
        <f t="shared" si="897"/>
        <v>0</v>
      </c>
      <c r="BR533" s="319">
        <f t="shared" si="897"/>
        <v>0</v>
      </c>
      <c r="BS533" s="319">
        <f t="shared" si="897"/>
        <v>0</v>
      </c>
      <c r="BT533" s="319">
        <f t="shared" si="897"/>
        <v>0</v>
      </c>
      <c r="BU533" s="319">
        <f t="shared" si="897"/>
        <v>1110</v>
      </c>
      <c r="BV533" s="319">
        <f t="shared" si="897"/>
        <v>0</v>
      </c>
      <c r="BW533" s="319">
        <f t="shared" si="897"/>
        <v>1110</v>
      </c>
      <c r="BX533" s="1"/>
      <c r="BY533" s="1"/>
      <c r="BZ533" s="1"/>
      <c r="CA533" s="1"/>
      <c r="CB533" s="1"/>
      <c r="CC533" s="1"/>
      <c r="CD533" s="1"/>
      <c r="CE533" s="1"/>
      <c r="CF533" s="1"/>
      <c r="CG533" s="1"/>
    </row>
    <row r="534" spans="1:85" ht="15.75" customHeight="1">
      <c r="A534" s="313"/>
      <c r="B534" s="418"/>
      <c r="C534" s="416" t="s">
        <v>832</v>
      </c>
      <c r="D534" s="324" t="s">
        <v>833</v>
      </c>
      <c r="E534" s="319">
        <f>E442+E443+E444+E445+E446</f>
        <v>60000</v>
      </c>
      <c r="F534" s="319">
        <f>F442+F443+F444+F445+F446</f>
        <v>0</v>
      </c>
      <c r="G534" s="319">
        <f>G442+G443+G444+G445+G446</f>
        <v>60000</v>
      </c>
      <c r="H534" s="319">
        <f t="shared" ref="H534:J534" si="898">SUM(H442:H449)</f>
        <v>0</v>
      </c>
      <c r="I534" s="319">
        <f t="shared" si="898"/>
        <v>0.27166433333333334</v>
      </c>
      <c r="J534" s="319">
        <f t="shared" si="898"/>
        <v>0.27166433333333334</v>
      </c>
      <c r="K534" s="319">
        <f>SUM(K442:K449)</f>
        <v>56361.36</v>
      </c>
      <c r="L534" s="319">
        <f t="shared" ref="L534:W534" si="899">SUM(L442:L449)</f>
        <v>9540</v>
      </c>
      <c r="M534" s="319">
        <f t="shared" si="899"/>
        <v>0</v>
      </c>
      <c r="N534" s="319">
        <f t="shared" si="899"/>
        <v>0</v>
      </c>
      <c r="O534" s="319">
        <f t="shared" si="899"/>
        <v>56361.36</v>
      </c>
      <c r="P534" s="319">
        <f t="shared" si="899"/>
        <v>9540</v>
      </c>
      <c r="Q534" s="319">
        <f t="shared" si="899"/>
        <v>0</v>
      </c>
      <c r="R534" s="319">
        <f t="shared" si="899"/>
        <v>56361.36</v>
      </c>
      <c r="S534" s="319">
        <f t="shared" si="899"/>
        <v>9540</v>
      </c>
      <c r="T534" s="319">
        <f t="shared" si="899"/>
        <v>0</v>
      </c>
      <c r="U534" s="319">
        <f t="shared" si="899"/>
        <v>0</v>
      </c>
      <c r="V534" s="319">
        <f t="shared" si="899"/>
        <v>0</v>
      </c>
      <c r="W534" s="319">
        <f t="shared" si="899"/>
        <v>0</v>
      </c>
      <c r="X534" s="310">
        <f t="shared" si="889"/>
        <v>1</v>
      </c>
      <c r="Y534" s="310">
        <f t="shared" si="890"/>
        <v>1</v>
      </c>
      <c r="Z534" s="310">
        <f t="shared" si="790"/>
        <v>0</v>
      </c>
      <c r="AA534" s="319">
        <f t="shared" ref="AA534:BW534" si="900">SUM(AA442:AA449)</f>
        <v>0</v>
      </c>
      <c r="AB534" s="319">
        <f t="shared" si="900"/>
        <v>0</v>
      </c>
      <c r="AC534" s="319">
        <f t="shared" si="900"/>
        <v>0</v>
      </c>
      <c r="AD534" s="319">
        <f t="shared" si="900"/>
        <v>0</v>
      </c>
      <c r="AE534" s="319">
        <f t="shared" si="900"/>
        <v>0</v>
      </c>
      <c r="AF534" s="319">
        <f t="shared" si="900"/>
        <v>0</v>
      </c>
      <c r="AG534" s="319">
        <f t="shared" si="900"/>
        <v>41655.360000000001</v>
      </c>
      <c r="AH534" s="319">
        <f t="shared" si="900"/>
        <v>9540</v>
      </c>
      <c r="AI534" s="319">
        <f t="shared" si="900"/>
        <v>0</v>
      </c>
      <c r="AJ534" s="319">
        <f t="shared" si="900"/>
        <v>0</v>
      </c>
      <c r="AK534" s="319">
        <f t="shared" si="900"/>
        <v>0</v>
      </c>
      <c r="AL534" s="319">
        <f t="shared" si="900"/>
        <v>0</v>
      </c>
      <c r="AM534" s="319">
        <f t="shared" si="900"/>
        <v>2277</v>
      </c>
      <c r="AN534" s="319">
        <f t="shared" si="900"/>
        <v>0</v>
      </c>
      <c r="AO534" s="319">
        <f t="shared" si="900"/>
        <v>0</v>
      </c>
      <c r="AP534" s="319">
        <f t="shared" si="900"/>
        <v>2400</v>
      </c>
      <c r="AQ534" s="319">
        <f t="shared" si="900"/>
        <v>0</v>
      </c>
      <c r="AR534" s="319">
        <f t="shared" si="900"/>
        <v>0</v>
      </c>
      <c r="AS534" s="319">
        <f t="shared" si="900"/>
        <v>0</v>
      </c>
      <c r="AT534" s="319">
        <f t="shared" si="900"/>
        <v>0</v>
      </c>
      <c r="AU534" s="319">
        <f t="shared" si="900"/>
        <v>0</v>
      </c>
      <c r="AV534" s="319">
        <f t="shared" si="900"/>
        <v>10029</v>
      </c>
      <c r="AW534" s="319">
        <f t="shared" si="900"/>
        <v>0</v>
      </c>
      <c r="AX534" s="319">
        <f t="shared" si="900"/>
        <v>0</v>
      </c>
      <c r="AY534" s="319">
        <f t="shared" si="900"/>
        <v>0</v>
      </c>
      <c r="AZ534" s="319">
        <f t="shared" si="900"/>
        <v>0</v>
      </c>
      <c r="BA534" s="319">
        <f t="shared" si="900"/>
        <v>0</v>
      </c>
      <c r="BB534" s="319">
        <f t="shared" si="900"/>
        <v>0</v>
      </c>
      <c r="BC534" s="319">
        <f t="shared" si="900"/>
        <v>0</v>
      </c>
      <c r="BD534" s="319">
        <f t="shared" si="900"/>
        <v>0</v>
      </c>
      <c r="BE534" s="319">
        <f t="shared" si="900"/>
        <v>0</v>
      </c>
      <c r="BF534" s="319">
        <f t="shared" si="900"/>
        <v>0</v>
      </c>
      <c r="BG534" s="319">
        <f t="shared" si="900"/>
        <v>0</v>
      </c>
      <c r="BH534" s="319">
        <f t="shared" si="900"/>
        <v>0</v>
      </c>
      <c r="BI534" s="319">
        <f t="shared" si="900"/>
        <v>0</v>
      </c>
      <c r="BJ534" s="319">
        <f t="shared" si="900"/>
        <v>0</v>
      </c>
      <c r="BK534" s="319">
        <f t="shared" si="900"/>
        <v>0</v>
      </c>
      <c r="BL534" s="319">
        <f t="shared" si="900"/>
        <v>0</v>
      </c>
      <c r="BM534" s="319">
        <f t="shared" si="900"/>
        <v>0</v>
      </c>
      <c r="BN534" s="319">
        <f t="shared" si="900"/>
        <v>56361.36</v>
      </c>
      <c r="BO534" s="319">
        <f t="shared" si="900"/>
        <v>0</v>
      </c>
      <c r="BP534" s="319">
        <f t="shared" si="900"/>
        <v>56361.36</v>
      </c>
      <c r="BQ534" s="319">
        <f t="shared" si="900"/>
        <v>0</v>
      </c>
      <c r="BR534" s="319">
        <f t="shared" si="900"/>
        <v>0</v>
      </c>
      <c r="BS534" s="319">
        <f t="shared" si="900"/>
        <v>0</v>
      </c>
      <c r="BT534" s="319">
        <f t="shared" si="900"/>
        <v>0</v>
      </c>
      <c r="BU534" s="319">
        <f t="shared" si="900"/>
        <v>56361.36</v>
      </c>
      <c r="BV534" s="319">
        <f t="shared" si="900"/>
        <v>0</v>
      </c>
      <c r="BW534" s="319">
        <f t="shared" si="900"/>
        <v>56361.36</v>
      </c>
      <c r="BX534" s="1"/>
      <c r="BY534" s="1"/>
      <c r="BZ534" s="1"/>
      <c r="CA534" s="1"/>
      <c r="CB534" s="1"/>
      <c r="CC534" s="1"/>
      <c r="CD534" s="1"/>
      <c r="CE534" s="1"/>
      <c r="CF534" s="1"/>
      <c r="CG534" s="1"/>
    </row>
    <row r="535" spans="1:85" ht="15.75" customHeight="1">
      <c r="A535" s="313"/>
      <c r="B535" s="418"/>
      <c r="C535" s="416" t="s">
        <v>504</v>
      </c>
      <c r="D535" s="323" t="s">
        <v>715</v>
      </c>
      <c r="E535" s="319">
        <f>E211+E364+E450+E451+E452</f>
        <v>10000</v>
      </c>
      <c r="F535" s="319">
        <f>F211+F364+F450+F451+F452</f>
        <v>0</v>
      </c>
      <c r="G535" s="319">
        <f>G211+G364+G450+G451+G452</f>
        <v>10000</v>
      </c>
      <c r="H535" s="319">
        <f t="shared" ref="H535:J535" si="901">SUM(H211:H217)+H364+H450+H451+H452</f>
        <v>0</v>
      </c>
      <c r="I535" s="319">
        <f t="shared" si="901"/>
        <v>0.11</v>
      </c>
      <c r="J535" s="319">
        <f t="shared" si="901"/>
        <v>0.11</v>
      </c>
      <c r="K535" s="319">
        <f>SUM(K211:K217)+K364+K450+K451+K452</f>
        <v>9506.49</v>
      </c>
      <c r="L535" s="319">
        <f t="shared" ref="L535:W535" si="902">SUM(L211:L217)+L364+L450+L451+L452</f>
        <v>1750.41</v>
      </c>
      <c r="M535" s="319">
        <f t="shared" si="902"/>
        <v>0</v>
      </c>
      <c r="N535" s="319">
        <f t="shared" si="902"/>
        <v>0</v>
      </c>
      <c r="O535" s="319">
        <f t="shared" si="902"/>
        <v>5956.49</v>
      </c>
      <c r="P535" s="319">
        <f t="shared" si="902"/>
        <v>1750.41</v>
      </c>
      <c r="Q535" s="319">
        <f t="shared" si="902"/>
        <v>0</v>
      </c>
      <c r="R535" s="319">
        <f t="shared" si="902"/>
        <v>5956.49</v>
      </c>
      <c r="S535" s="319">
        <f t="shared" si="902"/>
        <v>1750.41</v>
      </c>
      <c r="T535" s="319">
        <f t="shared" si="902"/>
        <v>0</v>
      </c>
      <c r="U535" s="319">
        <f t="shared" si="902"/>
        <v>3550</v>
      </c>
      <c r="V535" s="319">
        <f t="shared" si="902"/>
        <v>0</v>
      </c>
      <c r="W535" s="319">
        <f t="shared" si="902"/>
        <v>0</v>
      </c>
      <c r="X535" s="310">
        <f t="shared" si="889"/>
        <v>0.62657090051112452</v>
      </c>
      <c r="Y535" s="310">
        <f t="shared" si="890"/>
        <v>1</v>
      </c>
      <c r="Z535" s="310">
        <f t="shared" si="790"/>
        <v>0</v>
      </c>
      <c r="AA535" s="319">
        <f t="shared" ref="AA535:BW535" si="903">SUM(AA211:AA217)+AA364+AA450+AA451+AA452</f>
        <v>0</v>
      </c>
      <c r="AB535" s="319">
        <f t="shared" si="903"/>
        <v>0</v>
      </c>
      <c r="AC535" s="319">
        <f t="shared" si="903"/>
        <v>0</v>
      </c>
      <c r="AD535" s="319">
        <f t="shared" si="903"/>
        <v>0</v>
      </c>
      <c r="AE535" s="319">
        <f t="shared" si="903"/>
        <v>589.41000000000008</v>
      </c>
      <c r="AF535" s="319">
        <f t="shared" si="903"/>
        <v>0</v>
      </c>
      <c r="AG535" s="319">
        <f t="shared" si="903"/>
        <v>0</v>
      </c>
      <c r="AH535" s="319">
        <f t="shared" si="903"/>
        <v>0</v>
      </c>
      <c r="AI535" s="319">
        <f t="shared" si="903"/>
        <v>0</v>
      </c>
      <c r="AJ535" s="319">
        <f t="shared" si="903"/>
        <v>0</v>
      </c>
      <c r="AK535" s="319">
        <f t="shared" si="903"/>
        <v>0</v>
      </c>
      <c r="AL535" s="319">
        <f t="shared" si="903"/>
        <v>0</v>
      </c>
      <c r="AM535" s="319">
        <f t="shared" si="903"/>
        <v>0</v>
      </c>
      <c r="AN535" s="319">
        <f t="shared" si="903"/>
        <v>0</v>
      </c>
      <c r="AO535" s="319">
        <f t="shared" si="903"/>
        <v>0</v>
      </c>
      <c r="AP535" s="319">
        <f t="shared" si="903"/>
        <v>0</v>
      </c>
      <c r="AQ535" s="319">
        <f t="shared" si="903"/>
        <v>1161</v>
      </c>
      <c r="AR535" s="319">
        <f t="shared" si="903"/>
        <v>0</v>
      </c>
      <c r="AS535" s="319">
        <f t="shared" si="903"/>
        <v>0</v>
      </c>
      <c r="AT535" s="319">
        <f t="shared" si="903"/>
        <v>0</v>
      </c>
      <c r="AU535" s="319">
        <f t="shared" si="903"/>
        <v>0</v>
      </c>
      <c r="AV535" s="319">
        <f t="shared" si="903"/>
        <v>0</v>
      </c>
      <c r="AW535" s="319">
        <f t="shared" si="903"/>
        <v>0</v>
      </c>
      <c r="AX535" s="319">
        <f t="shared" si="903"/>
        <v>0</v>
      </c>
      <c r="AY535" s="319">
        <f t="shared" si="903"/>
        <v>5956.49</v>
      </c>
      <c r="AZ535" s="319">
        <f t="shared" si="903"/>
        <v>0</v>
      </c>
      <c r="BA535" s="319">
        <f t="shared" si="903"/>
        <v>0</v>
      </c>
      <c r="BB535" s="319">
        <f t="shared" si="903"/>
        <v>0</v>
      </c>
      <c r="BC535" s="319">
        <f t="shared" si="903"/>
        <v>0</v>
      </c>
      <c r="BD535" s="319">
        <f t="shared" si="903"/>
        <v>0</v>
      </c>
      <c r="BE535" s="319">
        <f t="shared" si="903"/>
        <v>0</v>
      </c>
      <c r="BF535" s="319">
        <f t="shared" si="903"/>
        <v>0</v>
      </c>
      <c r="BG535" s="319">
        <f t="shared" si="903"/>
        <v>0</v>
      </c>
      <c r="BH535" s="319">
        <f t="shared" si="903"/>
        <v>0</v>
      </c>
      <c r="BI535" s="319">
        <f t="shared" si="903"/>
        <v>0</v>
      </c>
      <c r="BJ535" s="319">
        <f t="shared" si="903"/>
        <v>0</v>
      </c>
      <c r="BK535" s="319">
        <f t="shared" si="903"/>
        <v>0</v>
      </c>
      <c r="BL535" s="319">
        <f t="shared" si="903"/>
        <v>0</v>
      </c>
      <c r="BM535" s="319">
        <f t="shared" si="903"/>
        <v>0</v>
      </c>
      <c r="BN535" s="319">
        <f t="shared" si="903"/>
        <v>5956.49</v>
      </c>
      <c r="BO535" s="319">
        <f t="shared" si="903"/>
        <v>0</v>
      </c>
      <c r="BP535" s="319">
        <f t="shared" si="903"/>
        <v>5956.49</v>
      </c>
      <c r="BQ535" s="319">
        <f t="shared" si="903"/>
        <v>3550</v>
      </c>
      <c r="BR535" s="319">
        <f t="shared" si="903"/>
        <v>0</v>
      </c>
      <c r="BS535" s="319">
        <f t="shared" si="903"/>
        <v>3550</v>
      </c>
      <c r="BT535" s="319">
        <f t="shared" si="903"/>
        <v>0</v>
      </c>
      <c r="BU535" s="319">
        <f t="shared" si="903"/>
        <v>5956.49</v>
      </c>
      <c r="BV535" s="319">
        <f t="shared" si="903"/>
        <v>3550</v>
      </c>
      <c r="BW535" s="319">
        <f t="shared" si="903"/>
        <v>5956.49</v>
      </c>
      <c r="BX535" s="1"/>
      <c r="BY535" s="1"/>
      <c r="BZ535" s="1"/>
      <c r="CA535" s="1"/>
      <c r="CB535" s="1"/>
      <c r="CC535" s="1"/>
      <c r="CD535" s="1"/>
      <c r="CE535" s="1"/>
      <c r="CF535" s="1"/>
      <c r="CG535" s="1"/>
    </row>
    <row r="536" spans="1:85" ht="15.75" customHeight="1">
      <c r="A536" s="313"/>
      <c r="B536" s="418"/>
      <c r="C536" s="416" t="s">
        <v>560</v>
      </c>
      <c r="D536" s="314" t="s">
        <v>561</v>
      </c>
      <c r="E536" s="319">
        <f>E246</f>
        <v>3000</v>
      </c>
      <c r="F536" s="319">
        <f>F246</f>
        <v>0</v>
      </c>
      <c r="G536" s="319">
        <f>G246</f>
        <v>3000</v>
      </c>
      <c r="H536" s="319">
        <f t="shared" ref="H536:J536" si="904">H246</f>
        <v>0</v>
      </c>
      <c r="I536" s="319">
        <f t="shared" si="904"/>
        <v>0</v>
      </c>
      <c r="J536" s="319">
        <f t="shared" si="904"/>
        <v>0</v>
      </c>
      <c r="K536" s="319">
        <f>K246</f>
        <v>0</v>
      </c>
      <c r="L536" s="319">
        <f t="shared" ref="L536:W536" si="905">L246</f>
        <v>0</v>
      </c>
      <c r="M536" s="319">
        <f t="shared" si="905"/>
        <v>0</v>
      </c>
      <c r="N536" s="319">
        <f t="shared" si="905"/>
        <v>0</v>
      </c>
      <c r="O536" s="319">
        <f t="shared" si="905"/>
        <v>0</v>
      </c>
      <c r="P536" s="319">
        <f t="shared" si="905"/>
        <v>0</v>
      </c>
      <c r="Q536" s="319">
        <f t="shared" si="905"/>
        <v>0</v>
      </c>
      <c r="R536" s="320">
        <f t="shared" si="905"/>
        <v>0</v>
      </c>
      <c r="S536" s="320">
        <f t="shared" si="905"/>
        <v>0</v>
      </c>
      <c r="T536" s="320">
        <f t="shared" si="905"/>
        <v>0</v>
      </c>
      <c r="U536" s="386">
        <f t="shared" si="905"/>
        <v>0</v>
      </c>
      <c r="V536" s="386">
        <f t="shared" si="905"/>
        <v>0</v>
      </c>
      <c r="W536" s="386">
        <f t="shared" si="905"/>
        <v>0</v>
      </c>
      <c r="X536" s="310">
        <f t="shared" si="889"/>
        <v>0</v>
      </c>
      <c r="Y536" s="310">
        <f t="shared" si="890"/>
        <v>0</v>
      </c>
      <c r="Z536" s="310">
        <f t="shared" si="790"/>
        <v>0</v>
      </c>
      <c r="AA536" s="319">
        <f t="shared" ref="AA536:BW536" si="906">AA246</f>
        <v>0</v>
      </c>
      <c r="AB536" s="319">
        <f t="shared" si="906"/>
        <v>0</v>
      </c>
      <c r="AC536" s="319">
        <f t="shared" si="906"/>
        <v>0</v>
      </c>
      <c r="AD536" s="319">
        <f t="shared" si="906"/>
        <v>0</v>
      </c>
      <c r="AE536" s="319">
        <f t="shared" si="906"/>
        <v>0</v>
      </c>
      <c r="AF536" s="319">
        <f t="shared" si="906"/>
        <v>0</v>
      </c>
      <c r="AG536" s="319">
        <f t="shared" si="906"/>
        <v>0</v>
      </c>
      <c r="AH536" s="319">
        <f t="shared" si="906"/>
        <v>0</v>
      </c>
      <c r="AI536" s="319">
        <f t="shared" si="906"/>
        <v>0</v>
      </c>
      <c r="AJ536" s="319">
        <f t="shared" si="906"/>
        <v>0</v>
      </c>
      <c r="AK536" s="319">
        <f t="shared" si="906"/>
        <v>0</v>
      </c>
      <c r="AL536" s="319">
        <f t="shared" si="906"/>
        <v>0</v>
      </c>
      <c r="AM536" s="319">
        <f t="shared" si="906"/>
        <v>0</v>
      </c>
      <c r="AN536" s="319">
        <f t="shared" si="906"/>
        <v>0</v>
      </c>
      <c r="AO536" s="319">
        <f t="shared" si="906"/>
        <v>0</v>
      </c>
      <c r="AP536" s="319">
        <f t="shared" si="906"/>
        <v>0</v>
      </c>
      <c r="AQ536" s="319">
        <f t="shared" si="906"/>
        <v>0</v>
      </c>
      <c r="AR536" s="319">
        <f t="shared" si="906"/>
        <v>0</v>
      </c>
      <c r="AS536" s="319">
        <f t="shared" si="906"/>
        <v>0</v>
      </c>
      <c r="AT536" s="319">
        <f t="shared" si="906"/>
        <v>0</v>
      </c>
      <c r="AU536" s="319">
        <f t="shared" si="906"/>
        <v>0</v>
      </c>
      <c r="AV536" s="319">
        <f t="shared" si="906"/>
        <v>0</v>
      </c>
      <c r="AW536" s="319">
        <f t="shared" si="906"/>
        <v>0</v>
      </c>
      <c r="AX536" s="319">
        <f t="shared" si="906"/>
        <v>0</v>
      </c>
      <c r="AY536" s="319">
        <f t="shared" si="906"/>
        <v>0</v>
      </c>
      <c r="AZ536" s="319">
        <f t="shared" si="906"/>
        <v>0</v>
      </c>
      <c r="BA536" s="319">
        <f t="shared" si="906"/>
        <v>0</v>
      </c>
      <c r="BB536" s="319">
        <f t="shared" si="906"/>
        <v>0</v>
      </c>
      <c r="BC536" s="319">
        <f t="shared" si="906"/>
        <v>0</v>
      </c>
      <c r="BD536" s="319">
        <f t="shared" si="906"/>
        <v>0</v>
      </c>
      <c r="BE536" s="319">
        <f t="shared" si="906"/>
        <v>0</v>
      </c>
      <c r="BF536" s="319">
        <f t="shared" si="906"/>
        <v>0</v>
      </c>
      <c r="BG536" s="319">
        <f t="shared" si="906"/>
        <v>0</v>
      </c>
      <c r="BH536" s="319">
        <f t="shared" si="906"/>
        <v>0</v>
      </c>
      <c r="BI536" s="319">
        <f t="shared" si="906"/>
        <v>0</v>
      </c>
      <c r="BJ536" s="319">
        <f t="shared" si="906"/>
        <v>0</v>
      </c>
      <c r="BK536" s="319">
        <f t="shared" si="906"/>
        <v>0</v>
      </c>
      <c r="BL536" s="319">
        <f t="shared" si="906"/>
        <v>0</v>
      </c>
      <c r="BM536" s="319">
        <f t="shared" si="906"/>
        <v>0</v>
      </c>
      <c r="BN536" s="319">
        <f t="shared" si="906"/>
        <v>0</v>
      </c>
      <c r="BO536" s="319">
        <f t="shared" si="906"/>
        <v>0</v>
      </c>
      <c r="BP536" s="319">
        <f t="shared" si="906"/>
        <v>0</v>
      </c>
      <c r="BQ536" s="319">
        <f t="shared" si="906"/>
        <v>0</v>
      </c>
      <c r="BR536" s="319">
        <f t="shared" si="906"/>
        <v>0</v>
      </c>
      <c r="BS536" s="319">
        <f t="shared" si="906"/>
        <v>0</v>
      </c>
      <c r="BT536" s="319">
        <f t="shared" si="906"/>
        <v>0</v>
      </c>
      <c r="BU536" s="319">
        <f t="shared" si="906"/>
        <v>0</v>
      </c>
      <c r="BV536" s="319">
        <f t="shared" si="906"/>
        <v>0</v>
      </c>
      <c r="BW536" s="319">
        <f t="shared" si="906"/>
        <v>0</v>
      </c>
      <c r="BX536" s="1"/>
      <c r="BY536" s="1"/>
      <c r="BZ536" s="1"/>
      <c r="CA536" s="1"/>
      <c r="CB536" s="1"/>
      <c r="CC536" s="1"/>
      <c r="CD536" s="1"/>
      <c r="CE536" s="1"/>
      <c r="CF536" s="1"/>
      <c r="CG536" s="1"/>
    </row>
    <row r="537" spans="1:85" ht="15.75" customHeight="1">
      <c r="A537" s="313"/>
      <c r="B537" s="418"/>
      <c r="C537" s="416" t="s">
        <v>218</v>
      </c>
      <c r="D537" s="323" t="s">
        <v>850</v>
      </c>
      <c r="E537" s="319">
        <f t="shared" ref="E537:J537" si="907">E57+E453</f>
        <v>235000</v>
      </c>
      <c r="F537" s="319">
        <f t="shared" si="907"/>
        <v>0</v>
      </c>
      <c r="G537" s="319">
        <f t="shared" si="907"/>
        <v>235000</v>
      </c>
      <c r="H537" s="319">
        <f t="shared" si="907"/>
        <v>0</v>
      </c>
      <c r="I537" s="319">
        <f t="shared" si="907"/>
        <v>0</v>
      </c>
      <c r="J537" s="319">
        <f t="shared" si="907"/>
        <v>0</v>
      </c>
      <c r="K537" s="319">
        <f>K57+K453</f>
        <v>0</v>
      </c>
      <c r="L537" s="319">
        <f t="shared" ref="L537:W537" si="908">L57+L453</f>
        <v>0</v>
      </c>
      <c r="M537" s="319">
        <f t="shared" si="908"/>
        <v>0</v>
      </c>
      <c r="N537" s="319">
        <f t="shared" si="908"/>
        <v>0</v>
      </c>
      <c r="O537" s="319">
        <f t="shared" si="908"/>
        <v>0</v>
      </c>
      <c r="P537" s="319">
        <f t="shared" si="908"/>
        <v>0</v>
      </c>
      <c r="Q537" s="319">
        <f t="shared" si="908"/>
        <v>0</v>
      </c>
      <c r="R537" s="319">
        <f t="shared" si="908"/>
        <v>0</v>
      </c>
      <c r="S537" s="319">
        <f t="shared" si="908"/>
        <v>0</v>
      </c>
      <c r="T537" s="319">
        <f t="shared" si="908"/>
        <v>0</v>
      </c>
      <c r="U537" s="319">
        <f t="shared" si="908"/>
        <v>0</v>
      </c>
      <c r="V537" s="319">
        <f t="shared" si="908"/>
        <v>0</v>
      </c>
      <c r="W537" s="319">
        <f t="shared" si="908"/>
        <v>0</v>
      </c>
      <c r="X537" s="310">
        <f t="shared" si="889"/>
        <v>0</v>
      </c>
      <c r="Y537" s="310">
        <f t="shared" si="890"/>
        <v>0</v>
      </c>
      <c r="Z537" s="310">
        <f t="shared" si="790"/>
        <v>0</v>
      </c>
      <c r="AA537" s="319">
        <f t="shared" ref="AA537:BW537" si="909">AA57+AA453</f>
        <v>0</v>
      </c>
      <c r="AB537" s="319">
        <f t="shared" si="909"/>
        <v>0</v>
      </c>
      <c r="AC537" s="319">
        <f t="shared" si="909"/>
        <v>0</v>
      </c>
      <c r="AD537" s="319">
        <f t="shared" si="909"/>
        <v>0</v>
      </c>
      <c r="AE537" s="319">
        <f t="shared" si="909"/>
        <v>0</v>
      </c>
      <c r="AF537" s="319">
        <f t="shared" si="909"/>
        <v>0</v>
      </c>
      <c r="AG537" s="319">
        <f t="shared" si="909"/>
        <v>0</v>
      </c>
      <c r="AH537" s="319">
        <f t="shared" si="909"/>
        <v>0</v>
      </c>
      <c r="AI537" s="319">
        <f t="shared" si="909"/>
        <v>0</v>
      </c>
      <c r="AJ537" s="319">
        <f t="shared" si="909"/>
        <v>0</v>
      </c>
      <c r="AK537" s="319">
        <f t="shared" si="909"/>
        <v>0</v>
      </c>
      <c r="AL537" s="319">
        <f t="shared" si="909"/>
        <v>0</v>
      </c>
      <c r="AM537" s="319">
        <f t="shared" si="909"/>
        <v>0</v>
      </c>
      <c r="AN537" s="319">
        <f t="shared" si="909"/>
        <v>0</v>
      </c>
      <c r="AO537" s="319">
        <f t="shared" si="909"/>
        <v>0</v>
      </c>
      <c r="AP537" s="319">
        <f t="shared" si="909"/>
        <v>0</v>
      </c>
      <c r="AQ537" s="319">
        <f t="shared" si="909"/>
        <v>0</v>
      </c>
      <c r="AR537" s="319">
        <f t="shared" si="909"/>
        <v>0</v>
      </c>
      <c r="AS537" s="319">
        <f t="shared" si="909"/>
        <v>0</v>
      </c>
      <c r="AT537" s="319">
        <f t="shared" si="909"/>
        <v>0</v>
      </c>
      <c r="AU537" s="319">
        <f t="shared" si="909"/>
        <v>0</v>
      </c>
      <c r="AV537" s="319">
        <f t="shared" si="909"/>
        <v>0</v>
      </c>
      <c r="AW537" s="319">
        <f t="shared" si="909"/>
        <v>0</v>
      </c>
      <c r="AX537" s="319">
        <f t="shared" si="909"/>
        <v>0</v>
      </c>
      <c r="AY537" s="319">
        <f t="shared" si="909"/>
        <v>0</v>
      </c>
      <c r="AZ537" s="319">
        <f t="shared" si="909"/>
        <v>0</v>
      </c>
      <c r="BA537" s="319">
        <f t="shared" si="909"/>
        <v>0</v>
      </c>
      <c r="BB537" s="319">
        <f t="shared" si="909"/>
        <v>0</v>
      </c>
      <c r="BC537" s="319">
        <f t="shared" si="909"/>
        <v>0</v>
      </c>
      <c r="BD537" s="319">
        <f t="shared" si="909"/>
        <v>0</v>
      </c>
      <c r="BE537" s="319">
        <f t="shared" si="909"/>
        <v>0</v>
      </c>
      <c r="BF537" s="319">
        <f t="shared" si="909"/>
        <v>0</v>
      </c>
      <c r="BG537" s="319">
        <f t="shared" si="909"/>
        <v>0</v>
      </c>
      <c r="BH537" s="319">
        <f t="shared" si="909"/>
        <v>0</v>
      </c>
      <c r="BI537" s="319">
        <f t="shared" si="909"/>
        <v>0</v>
      </c>
      <c r="BJ537" s="319">
        <f t="shared" si="909"/>
        <v>0</v>
      </c>
      <c r="BK537" s="319">
        <f t="shared" si="909"/>
        <v>0</v>
      </c>
      <c r="BL537" s="319">
        <f t="shared" si="909"/>
        <v>0</v>
      </c>
      <c r="BM537" s="319">
        <f t="shared" si="909"/>
        <v>0</v>
      </c>
      <c r="BN537" s="319">
        <f t="shared" si="909"/>
        <v>0</v>
      </c>
      <c r="BO537" s="319">
        <f t="shared" si="909"/>
        <v>0</v>
      </c>
      <c r="BP537" s="319">
        <f t="shared" si="909"/>
        <v>0</v>
      </c>
      <c r="BQ537" s="319">
        <f t="shared" si="909"/>
        <v>0</v>
      </c>
      <c r="BR537" s="319">
        <f t="shared" si="909"/>
        <v>0</v>
      </c>
      <c r="BS537" s="319">
        <f t="shared" si="909"/>
        <v>0</v>
      </c>
      <c r="BT537" s="319">
        <f t="shared" si="909"/>
        <v>0</v>
      </c>
      <c r="BU537" s="319">
        <f t="shared" si="909"/>
        <v>0</v>
      </c>
      <c r="BV537" s="319">
        <f t="shared" si="909"/>
        <v>0</v>
      </c>
      <c r="BW537" s="319">
        <f t="shared" si="909"/>
        <v>0</v>
      </c>
      <c r="BX537" s="1"/>
      <c r="BY537" s="1"/>
      <c r="BZ537" s="1"/>
      <c r="CA537" s="1"/>
      <c r="CB537" s="1"/>
      <c r="CC537" s="1"/>
      <c r="CD537" s="1"/>
      <c r="CE537" s="1"/>
      <c r="CF537" s="1"/>
      <c r="CG537" s="1"/>
    </row>
    <row r="538" spans="1:85" ht="15.75" customHeight="1">
      <c r="A538" s="313"/>
      <c r="B538" s="418"/>
      <c r="C538" s="416" t="s">
        <v>518</v>
      </c>
      <c r="D538" s="323" t="s">
        <v>519</v>
      </c>
      <c r="E538" s="319">
        <f>E218+E454</f>
        <v>2000</v>
      </c>
      <c r="F538" s="319">
        <f>F218+F454</f>
        <v>0</v>
      </c>
      <c r="G538" s="319">
        <f>G218+G454</f>
        <v>2000</v>
      </c>
      <c r="H538" s="319">
        <f t="shared" ref="H538:J538" si="910">H218+H454</f>
        <v>0</v>
      </c>
      <c r="I538" s="319">
        <f t="shared" si="910"/>
        <v>0</v>
      </c>
      <c r="J538" s="319">
        <f t="shared" si="910"/>
        <v>0</v>
      </c>
      <c r="K538" s="319">
        <f>K218+K454</f>
        <v>0</v>
      </c>
      <c r="L538" s="319">
        <f t="shared" ref="L538:W538" si="911">L218+L454</f>
        <v>3610</v>
      </c>
      <c r="M538" s="319">
        <f t="shared" si="911"/>
        <v>0</v>
      </c>
      <c r="N538" s="319">
        <f t="shared" si="911"/>
        <v>0</v>
      </c>
      <c r="O538" s="319">
        <f t="shared" si="911"/>
        <v>0</v>
      </c>
      <c r="P538" s="319">
        <f t="shared" si="911"/>
        <v>3610</v>
      </c>
      <c r="Q538" s="319">
        <f t="shared" si="911"/>
        <v>0</v>
      </c>
      <c r="R538" s="320">
        <f t="shared" si="911"/>
        <v>0</v>
      </c>
      <c r="S538" s="320">
        <f t="shared" si="911"/>
        <v>3610</v>
      </c>
      <c r="T538" s="320">
        <f t="shared" si="911"/>
        <v>0</v>
      </c>
      <c r="U538" s="386">
        <f t="shared" si="911"/>
        <v>0</v>
      </c>
      <c r="V538" s="386">
        <f t="shared" si="911"/>
        <v>0</v>
      </c>
      <c r="W538" s="386">
        <f t="shared" si="911"/>
        <v>0</v>
      </c>
      <c r="X538" s="310">
        <f t="shared" si="889"/>
        <v>0</v>
      </c>
      <c r="Y538" s="310">
        <f t="shared" si="890"/>
        <v>1</v>
      </c>
      <c r="Z538" s="310">
        <f t="shared" si="790"/>
        <v>0</v>
      </c>
      <c r="AA538" s="319">
        <f t="shared" ref="AA538:BW538" si="912">AA218+AA454</f>
        <v>0</v>
      </c>
      <c r="AB538" s="319">
        <f t="shared" si="912"/>
        <v>3610</v>
      </c>
      <c r="AC538" s="319">
        <f t="shared" si="912"/>
        <v>0</v>
      </c>
      <c r="AD538" s="319">
        <f t="shared" si="912"/>
        <v>0</v>
      </c>
      <c r="AE538" s="319">
        <f t="shared" si="912"/>
        <v>0</v>
      </c>
      <c r="AF538" s="319">
        <f t="shared" si="912"/>
        <v>0</v>
      </c>
      <c r="AG538" s="319">
        <f t="shared" si="912"/>
        <v>0</v>
      </c>
      <c r="AH538" s="319">
        <f t="shared" si="912"/>
        <v>0</v>
      </c>
      <c r="AI538" s="319">
        <f t="shared" si="912"/>
        <v>0</v>
      </c>
      <c r="AJ538" s="319">
        <f t="shared" si="912"/>
        <v>0</v>
      </c>
      <c r="AK538" s="319">
        <f t="shared" si="912"/>
        <v>0</v>
      </c>
      <c r="AL538" s="319">
        <f t="shared" si="912"/>
        <v>0</v>
      </c>
      <c r="AM538" s="319">
        <f t="shared" si="912"/>
        <v>0</v>
      </c>
      <c r="AN538" s="319">
        <f t="shared" si="912"/>
        <v>0</v>
      </c>
      <c r="AO538" s="319">
        <f t="shared" si="912"/>
        <v>0</v>
      </c>
      <c r="AP538" s="319">
        <f t="shared" si="912"/>
        <v>0</v>
      </c>
      <c r="AQ538" s="319">
        <f t="shared" si="912"/>
        <v>0</v>
      </c>
      <c r="AR538" s="319">
        <f t="shared" si="912"/>
        <v>0</v>
      </c>
      <c r="AS538" s="319">
        <f t="shared" si="912"/>
        <v>0</v>
      </c>
      <c r="AT538" s="319">
        <f t="shared" si="912"/>
        <v>0</v>
      </c>
      <c r="AU538" s="319">
        <f t="shared" si="912"/>
        <v>0</v>
      </c>
      <c r="AV538" s="319">
        <f t="shared" si="912"/>
        <v>0</v>
      </c>
      <c r="AW538" s="319">
        <f t="shared" si="912"/>
        <v>0</v>
      </c>
      <c r="AX538" s="319">
        <f t="shared" si="912"/>
        <v>0</v>
      </c>
      <c r="AY538" s="319">
        <f t="shared" si="912"/>
        <v>0</v>
      </c>
      <c r="AZ538" s="319">
        <f t="shared" si="912"/>
        <v>0</v>
      </c>
      <c r="BA538" s="319">
        <f t="shared" si="912"/>
        <v>0</v>
      </c>
      <c r="BB538" s="319">
        <f t="shared" si="912"/>
        <v>0</v>
      </c>
      <c r="BC538" s="319">
        <f t="shared" si="912"/>
        <v>0</v>
      </c>
      <c r="BD538" s="319">
        <f t="shared" si="912"/>
        <v>0</v>
      </c>
      <c r="BE538" s="319">
        <f t="shared" si="912"/>
        <v>0</v>
      </c>
      <c r="BF538" s="319">
        <f t="shared" si="912"/>
        <v>0</v>
      </c>
      <c r="BG538" s="319">
        <f t="shared" si="912"/>
        <v>0</v>
      </c>
      <c r="BH538" s="319">
        <f t="shared" si="912"/>
        <v>0</v>
      </c>
      <c r="BI538" s="319">
        <f t="shared" si="912"/>
        <v>0</v>
      </c>
      <c r="BJ538" s="319">
        <f t="shared" si="912"/>
        <v>0</v>
      </c>
      <c r="BK538" s="319">
        <f t="shared" si="912"/>
        <v>0</v>
      </c>
      <c r="BL538" s="319">
        <f t="shared" si="912"/>
        <v>0</v>
      </c>
      <c r="BM538" s="319">
        <f t="shared" si="912"/>
        <v>0</v>
      </c>
      <c r="BN538" s="319">
        <f t="shared" si="912"/>
        <v>0</v>
      </c>
      <c r="BO538" s="319">
        <f t="shared" si="912"/>
        <v>0</v>
      </c>
      <c r="BP538" s="319">
        <f t="shared" si="912"/>
        <v>0</v>
      </c>
      <c r="BQ538" s="319">
        <f t="shared" si="912"/>
        <v>0</v>
      </c>
      <c r="BR538" s="319">
        <f t="shared" si="912"/>
        <v>0</v>
      </c>
      <c r="BS538" s="319">
        <f t="shared" si="912"/>
        <v>0</v>
      </c>
      <c r="BT538" s="319">
        <f t="shared" si="912"/>
        <v>0</v>
      </c>
      <c r="BU538" s="319">
        <f t="shared" si="912"/>
        <v>0</v>
      </c>
      <c r="BV538" s="319">
        <f t="shared" si="912"/>
        <v>0</v>
      </c>
      <c r="BW538" s="319">
        <f t="shared" si="912"/>
        <v>0</v>
      </c>
      <c r="BX538" s="1"/>
      <c r="BY538" s="1"/>
      <c r="BZ538" s="1"/>
      <c r="CA538" s="1"/>
      <c r="CB538" s="1"/>
      <c r="CC538" s="1"/>
      <c r="CD538" s="1"/>
      <c r="CE538" s="1"/>
      <c r="CF538" s="1"/>
      <c r="CG538" s="1"/>
    </row>
    <row r="539" spans="1:85" ht="15.75" customHeight="1">
      <c r="A539" s="313"/>
      <c r="B539" s="418"/>
      <c r="C539" s="416" t="s">
        <v>220</v>
      </c>
      <c r="D539" s="314" t="s">
        <v>221</v>
      </c>
      <c r="E539" s="319">
        <f>E58+E59+E187</f>
        <v>5000</v>
      </c>
      <c r="F539" s="319">
        <f>F58+F59+F187</f>
        <v>0</v>
      </c>
      <c r="G539" s="319">
        <f>G58+G59+G187</f>
        <v>5000</v>
      </c>
      <c r="H539" s="319">
        <f t="shared" ref="H539:J539" si="913">H58+H59+H187+H455</f>
        <v>0</v>
      </c>
      <c r="I539" s="319">
        <f t="shared" si="913"/>
        <v>0</v>
      </c>
      <c r="J539" s="319">
        <f t="shared" si="913"/>
        <v>0</v>
      </c>
      <c r="K539" s="319">
        <f>K58+K59+K187+K455</f>
        <v>1260.31</v>
      </c>
      <c r="L539" s="319">
        <f t="shared" ref="L539:W539" si="914">L58+L59+L187+L455</f>
        <v>2388</v>
      </c>
      <c r="M539" s="319">
        <f t="shared" si="914"/>
        <v>2388</v>
      </c>
      <c r="N539" s="319">
        <f t="shared" si="914"/>
        <v>0</v>
      </c>
      <c r="O539" s="319">
        <f t="shared" si="914"/>
        <v>1260.31</v>
      </c>
      <c r="P539" s="319">
        <f t="shared" si="914"/>
        <v>0</v>
      </c>
      <c r="Q539" s="319">
        <f t="shared" si="914"/>
        <v>0</v>
      </c>
      <c r="R539" s="319">
        <f t="shared" si="914"/>
        <v>1260.31</v>
      </c>
      <c r="S539" s="319">
        <f t="shared" si="914"/>
        <v>0</v>
      </c>
      <c r="T539" s="319">
        <f t="shared" si="914"/>
        <v>0</v>
      </c>
      <c r="U539" s="319">
        <f t="shared" si="914"/>
        <v>0</v>
      </c>
      <c r="V539" s="319">
        <f t="shared" si="914"/>
        <v>0</v>
      </c>
      <c r="W539" s="319">
        <f t="shared" si="914"/>
        <v>0</v>
      </c>
      <c r="X539" s="310">
        <f t="shared" si="889"/>
        <v>1</v>
      </c>
      <c r="Y539" s="310">
        <f t="shared" si="890"/>
        <v>0</v>
      </c>
      <c r="Z539" s="310">
        <f t="shared" si="790"/>
        <v>0</v>
      </c>
      <c r="AA539" s="319">
        <f t="shared" ref="AA539:BW539" si="915">AA58+AA59+AA187+AA455</f>
        <v>0</v>
      </c>
      <c r="AB539" s="319">
        <f t="shared" si="915"/>
        <v>0</v>
      </c>
      <c r="AC539" s="319">
        <f t="shared" si="915"/>
        <v>0</v>
      </c>
      <c r="AD539" s="319">
        <f t="shared" si="915"/>
        <v>0</v>
      </c>
      <c r="AE539" s="319">
        <f t="shared" si="915"/>
        <v>0</v>
      </c>
      <c r="AF539" s="319">
        <f t="shared" si="915"/>
        <v>0</v>
      </c>
      <c r="AG539" s="319">
        <f t="shared" si="915"/>
        <v>599.98</v>
      </c>
      <c r="AH539" s="319">
        <f t="shared" si="915"/>
        <v>0</v>
      </c>
      <c r="AI539" s="319">
        <f t="shared" si="915"/>
        <v>0</v>
      </c>
      <c r="AJ539" s="319">
        <f t="shared" si="915"/>
        <v>0</v>
      </c>
      <c r="AK539" s="319">
        <f t="shared" si="915"/>
        <v>0</v>
      </c>
      <c r="AL539" s="319">
        <f t="shared" si="915"/>
        <v>0</v>
      </c>
      <c r="AM539" s="319">
        <f t="shared" si="915"/>
        <v>0</v>
      </c>
      <c r="AN539" s="319">
        <f t="shared" si="915"/>
        <v>0</v>
      </c>
      <c r="AO539" s="319">
        <f t="shared" si="915"/>
        <v>0</v>
      </c>
      <c r="AP539" s="319">
        <f t="shared" si="915"/>
        <v>0</v>
      </c>
      <c r="AQ539" s="319">
        <f t="shared" si="915"/>
        <v>0</v>
      </c>
      <c r="AR539" s="319">
        <f t="shared" si="915"/>
        <v>0</v>
      </c>
      <c r="AS539" s="319">
        <f t="shared" si="915"/>
        <v>0</v>
      </c>
      <c r="AT539" s="319">
        <f t="shared" si="915"/>
        <v>0</v>
      </c>
      <c r="AU539" s="319">
        <f t="shared" si="915"/>
        <v>0</v>
      </c>
      <c r="AV539" s="319">
        <f t="shared" si="915"/>
        <v>0</v>
      </c>
      <c r="AW539" s="319">
        <f t="shared" si="915"/>
        <v>0</v>
      </c>
      <c r="AX539" s="319">
        <f t="shared" si="915"/>
        <v>0</v>
      </c>
      <c r="AY539" s="319">
        <f t="shared" si="915"/>
        <v>660.33</v>
      </c>
      <c r="AZ539" s="319">
        <f t="shared" si="915"/>
        <v>0</v>
      </c>
      <c r="BA539" s="319">
        <f t="shared" si="915"/>
        <v>0</v>
      </c>
      <c r="BB539" s="319">
        <f t="shared" si="915"/>
        <v>0</v>
      </c>
      <c r="BC539" s="319">
        <f t="shared" si="915"/>
        <v>0</v>
      </c>
      <c r="BD539" s="319">
        <f t="shared" si="915"/>
        <v>0</v>
      </c>
      <c r="BE539" s="319">
        <f t="shared" si="915"/>
        <v>0</v>
      </c>
      <c r="BF539" s="319">
        <f t="shared" si="915"/>
        <v>0</v>
      </c>
      <c r="BG539" s="319">
        <f t="shared" si="915"/>
        <v>0</v>
      </c>
      <c r="BH539" s="319">
        <f t="shared" si="915"/>
        <v>0</v>
      </c>
      <c r="BI539" s="319">
        <f t="shared" si="915"/>
        <v>0</v>
      </c>
      <c r="BJ539" s="319">
        <f t="shared" si="915"/>
        <v>0</v>
      </c>
      <c r="BK539" s="319">
        <f t="shared" si="915"/>
        <v>0</v>
      </c>
      <c r="BL539" s="319">
        <f t="shared" si="915"/>
        <v>0</v>
      </c>
      <c r="BM539" s="319">
        <f t="shared" si="915"/>
        <v>0</v>
      </c>
      <c r="BN539" s="319">
        <f t="shared" si="915"/>
        <v>1260.31</v>
      </c>
      <c r="BO539" s="319">
        <f t="shared" si="915"/>
        <v>0</v>
      </c>
      <c r="BP539" s="319">
        <f t="shared" si="915"/>
        <v>1260.31</v>
      </c>
      <c r="BQ539" s="319">
        <f t="shared" si="915"/>
        <v>0</v>
      </c>
      <c r="BR539" s="319">
        <f t="shared" si="915"/>
        <v>0</v>
      </c>
      <c r="BS539" s="319">
        <f t="shared" si="915"/>
        <v>0</v>
      </c>
      <c r="BT539" s="319">
        <f t="shared" si="915"/>
        <v>0</v>
      </c>
      <c r="BU539" s="319">
        <f t="shared" si="915"/>
        <v>1260.31</v>
      </c>
      <c r="BV539" s="319">
        <f t="shared" si="915"/>
        <v>0</v>
      </c>
      <c r="BW539" s="319">
        <f t="shared" si="915"/>
        <v>1260.31</v>
      </c>
      <c r="BX539" s="1"/>
      <c r="BY539" s="1"/>
      <c r="BZ539" s="1"/>
      <c r="CA539" s="1"/>
      <c r="CB539" s="1"/>
      <c r="CC539" s="1"/>
      <c r="CD539" s="1"/>
      <c r="CE539" s="1"/>
      <c r="CF539" s="1"/>
      <c r="CG539" s="1"/>
    </row>
    <row r="540" spans="1:85" ht="15.75" customHeight="1">
      <c r="A540" s="313"/>
      <c r="B540" s="418"/>
      <c r="C540" s="416" t="s">
        <v>854</v>
      </c>
      <c r="D540" s="323" t="s">
        <v>855</v>
      </c>
      <c r="E540" s="319">
        <f>E456</f>
        <v>0</v>
      </c>
      <c r="F540" s="319">
        <f>F456</f>
        <v>0</v>
      </c>
      <c r="G540" s="319">
        <f>G456</f>
        <v>0</v>
      </c>
      <c r="H540" s="319">
        <f t="shared" ref="H540:J540" si="916">H456</f>
        <v>20000</v>
      </c>
      <c r="I540" s="319">
        <f t="shared" si="916"/>
        <v>0</v>
      </c>
      <c r="J540" s="319">
        <f t="shared" si="916"/>
        <v>0</v>
      </c>
      <c r="K540" s="319">
        <f>K456</f>
        <v>0</v>
      </c>
      <c r="L540" s="320">
        <f t="shared" ref="L540:W540" si="917">L456</f>
        <v>0</v>
      </c>
      <c r="M540" s="320">
        <f t="shared" si="917"/>
        <v>0</v>
      </c>
      <c r="N540" s="320">
        <f t="shared" si="917"/>
        <v>0</v>
      </c>
      <c r="O540" s="319">
        <f t="shared" si="917"/>
        <v>0</v>
      </c>
      <c r="P540" s="319">
        <f t="shared" si="917"/>
        <v>0</v>
      </c>
      <c r="Q540" s="319">
        <f t="shared" si="917"/>
        <v>0</v>
      </c>
      <c r="R540" s="320">
        <f t="shared" si="917"/>
        <v>0</v>
      </c>
      <c r="S540" s="320">
        <f t="shared" si="917"/>
        <v>0</v>
      </c>
      <c r="T540" s="320">
        <f t="shared" si="917"/>
        <v>0</v>
      </c>
      <c r="U540" s="386">
        <f t="shared" si="917"/>
        <v>0</v>
      </c>
      <c r="V540" s="386">
        <f t="shared" si="917"/>
        <v>0</v>
      </c>
      <c r="W540" s="386">
        <f t="shared" si="917"/>
        <v>0</v>
      </c>
      <c r="X540" s="310">
        <f t="shared" si="889"/>
        <v>0</v>
      </c>
      <c r="Y540" s="310">
        <f t="shared" si="890"/>
        <v>0</v>
      </c>
      <c r="Z540" s="310">
        <f t="shared" si="790"/>
        <v>0</v>
      </c>
      <c r="AA540" s="320">
        <f t="shared" ref="AA540:BW540" si="918">AA456</f>
        <v>0</v>
      </c>
      <c r="AB540" s="320">
        <f t="shared" si="918"/>
        <v>0</v>
      </c>
      <c r="AC540" s="320">
        <f t="shared" si="918"/>
        <v>0</v>
      </c>
      <c r="AD540" s="320">
        <f t="shared" si="918"/>
        <v>0</v>
      </c>
      <c r="AE540" s="320">
        <f t="shared" si="918"/>
        <v>0</v>
      </c>
      <c r="AF540" s="320">
        <f t="shared" si="918"/>
        <v>0</v>
      </c>
      <c r="AG540" s="320">
        <f t="shared" si="918"/>
        <v>0</v>
      </c>
      <c r="AH540" s="320">
        <f t="shared" si="918"/>
        <v>0</v>
      </c>
      <c r="AI540" s="320">
        <f t="shared" si="918"/>
        <v>0</v>
      </c>
      <c r="AJ540" s="320">
        <f t="shared" si="918"/>
        <v>0</v>
      </c>
      <c r="AK540" s="320">
        <f t="shared" si="918"/>
        <v>0</v>
      </c>
      <c r="AL540" s="320">
        <f t="shared" si="918"/>
        <v>0</v>
      </c>
      <c r="AM540" s="320">
        <f t="shared" si="918"/>
        <v>0</v>
      </c>
      <c r="AN540" s="320">
        <f t="shared" si="918"/>
        <v>0</v>
      </c>
      <c r="AO540" s="320">
        <f t="shared" si="918"/>
        <v>0</v>
      </c>
      <c r="AP540" s="320">
        <f t="shared" si="918"/>
        <v>0</v>
      </c>
      <c r="AQ540" s="320">
        <f t="shared" si="918"/>
        <v>0</v>
      </c>
      <c r="AR540" s="320">
        <f t="shared" si="918"/>
        <v>0</v>
      </c>
      <c r="AS540" s="320">
        <f t="shared" si="918"/>
        <v>0</v>
      </c>
      <c r="AT540" s="320">
        <f t="shared" si="918"/>
        <v>0</v>
      </c>
      <c r="AU540" s="320">
        <f t="shared" si="918"/>
        <v>0</v>
      </c>
      <c r="AV540" s="320">
        <f t="shared" si="918"/>
        <v>0</v>
      </c>
      <c r="AW540" s="320">
        <f t="shared" si="918"/>
        <v>0</v>
      </c>
      <c r="AX540" s="320">
        <f t="shared" si="918"/>
        <v>0</v>
      </c>
      <c r="AY540" s="320">
        <f t="shared" si="918"/>
        <v>0</v>
      </c>
      <c r="AZ540" s="320">
        <f t="shared" si="918"/>
        <v>0</v>
      </c>
      <c r="BA540" s="320">
        <f t="shared" si="918"/>
        <v>0</v>
      </c>
      <c r="BB540" s="320">
        <f t="shared" si="918"/>
        <v>0</v>
      </c>
      <c r="BC540" s="320">
        <f t="shared" si="918"/>
        <v>0</v>
      </c>
      <c r="BD540" s="320">
        <f t="shared" si="918"/>
        <v>0</v>
      </c>
      <c r="BE540" s="320">
        <f t="shared" si="918"/>
        <v>0</v>
      </c>
      <c r="BF540" s="320">
        <f t="shared" si="918"/>
        <v>0</v>
      </c>
      <c r="BG540" s="320">
        <f t="shared" si="918"/>
        <v>0</v>
      </c>
      <c r="BH540" s="320">
        <f t="shared" si="918"/>
        <v>0</v>
      </c>
      <c r="BI540" s="320">
        <f t="shared" si="918"/>
        <v>0</v>
      </c>
      <c r="BJ540" s="320">
        <f t="shared" si="918"/>
        <v>0</v>
      </c>
      <c r="BK540" s="320">
        <f t="shared" si="918"/>
        <v>0</v>
      </c>
      <c r="BL540" s="320">
        <f t="shared" si="918"/>
        <v>0</v>
      </c>
      <c r="BM540" s="320">
        <f t="shared" si="918"/>
        <v>0</v>
      </c>
      <c r="BN540" s="319">
        <f t="shared" si="918"/>
        <v>0</v>
      </c>
      <c r="BO540" s="319">
        <f t="shared" si="918"/>
        <v>0</v>
      </c>
      <c r="BP540" s="319">
        <f t="shared" si="918"/>
        <v>0</v>
      </c>
      <c r="BQ540" s="319">
        <f t="shared" si="918"/>
        <v>0</v>
      </c>
      <c r="BR540" s="319">
        <f t="shared" si="918"/>
        <v>0</v>
      </c>
      <c r="BS540" s="319">
        <f t="shared" si="918"/>
        <v>0</v>
      </c>
      <c r="BT540" s="319">
        <f t="shared" si="918"/>
        <v>0</v>
      </c>
      <c r="BU540" s="319">
        <f t="shared" si="918"/>
        <v>0</v>
      </c>
      <c r="BV540" s="319">
        <f t="shared" si="918"/>
        <v>0</v>
      </c>
      <c r="BW540" s="319">
        <f t="shared" si="918"/>
        <v>0</v>
      </c>
      <c r="BX540" s="1"/>
      <c r="BY540" s="1"/>
      <c r="BZ540" s="1"/>
      <c r="CA540" s="1"/>
      <c r="CB540" s="1"/>
      <c r="CC540" s="1"/>
      <c r="CD540" s="1"/>
      <c r="CE540" s="1"/>
      <c r="CF540" s="1"/>
      <c r="CG540" s="1"/>
    </row>
    <row r="541" spans="1:85" ht="15.75" customHeight="1">
      <c r="A541" s="313"/>
      <c r="B541" s="418"/>
      <c r="C541" s="416" t="s">
        <v>652</v>
      </c>
      <c r="D541" s="311" t="s">
        <v>951</v>
      </c>
      <c r="E541" s="319">
        <f>E303+E304+E305+E306+E307+E308+E309+E310+E311+E312+E313+E314+E315+E316+E317+E318+E319+E320</f>
        <v>0</v>
      </c>
      <c r="F541" s="319">
        <f>F303+F304+F305+F306+F307+F308+F309+F310+F311+F312+F313+F314+F315+F316+F317+F318+F319+F320</f>
        <v>0</v>
      </c>
      <c r="G541" s="319">
        <f>G303+G304+G305+G306+G307+G308+G309+G310+G311+G312+G313+G314+G315+G316+G317+G318+G319+G320</f>
        <v>0</v>
      </c>
      <c r="H541" s="319">
        <f t="shared" ref="H541:J541" si="919">H303+H304+H305+H306+H307+H308+H309+H310+H311+H312+H313+H314+H315+H316+H317+H318+H319+H320</f>
        <v>0</v>
      </c>
      <c r="I541" s="319">
        <f t="shared" si="919"/>
        <v>0</v>
      </c>
      <c r="J541" s="319">
        <f t="shared" si="919"/>
        <v>0</v>
      </c>
      <c r="K541" s="319">
        <f>K303+K304+K305+K306+K307+K308+K309+K310+K311+K312+K313+K314+K315+K316+K317+K318+K319+K320</f>
        <v>0</v>
      </c>
      <c r="L541" s="319">
        <f t="shared" ref="L541:W541" si="920">L303+L304+L305+L306+L307+L308+L309+L310+L311+L312+L313+L314+L315+L316+L317+L318+L319+L320</f>
        <v>228990</v>
      </c>
      <c r="M541" s="319">
        <f t="shared" si="920"/>
        <v>0.01</v>
      </c>
      <c r="N541" s="319">
        <f>N303+N304+N305+N306+N307+N308+N309+N310+N311+N312+N313+N314+N315+N316+N317+N318+N319+N320</f>
        <v>132858.5</v>
      </c>
      <c r="O541" s="319">
        <f t="shared" si="920"/>
        <v>0</v>
      </c>
      <c r="P541" s="319">
        <f t="shared" si="920"/>
        <v>153490.64000000001</v>
      </c>
      <c r="Q541" s="319">
        <f t="shared" si="920"/>
        <v>115604.6</v>
      </c>
      <c r="R541" s="320">
        <f t="shared" si="920"/>
        <v>0</v>
      </c>
      <c r="S541" s="320">
        <f t="shared" si="920"/>
        <v>153490.64000000001</v>
      </c>
      <c r="T541" s="320">
        <f t="shared" si="920"/>
        <v>115604.6</v>
      </c>
      <c r="U541" s="386">
        <f t="shared" si="920"/>
        <v>0</v>
      </c>
      <c r="V541" s="386">
        <f t="shared" si="920"/>
        <v>75499.350000000006</v>
      </c>
      <c r="W541" s="386">
        <f t="shared" si="920"/>
        <v>17253.900000000001</v>
      </c>
      <c r="X541" s="310">
        <f t="shared" si="889"/>
        <v>0</v>
      </c>
      <c r="Y541" s="310">
        <f t="shared" si="890"/>
        <v>0.67029407397702967</v>
      </c>
      <c r="Z541" s="310">
        <f t="shared" si="790"/>
        <v>0.87013326207958097</v>
      </c>
      <c r="AA541" s="319">
        <f t="shared" ref="AA541:BW541" si="921">AA303+AA304+AA305+AA306+AA307+AA308+AA309+AA310+AA311+AA312+AA313+AA314+AA315+AA316+AA317+AA318+AA319+AA320</f>
        <v>0</v>
      </c>
      <c r="AB541" s="319">
        <f t="shared" si="921"/>
        <v>0</v>
      </c>
      <c r="AC541" s="319">
        <f t="shared" si="921"/>
        <v>0</v>
      </c>
      <c r="AD541" s="319">
        <f t="shared" si="921"/>
        <v>0</v>
      </c>
      <c r="AE541" s="319">
        <f t="shared" si="921"/>
        <v>10952.04</v>
      </c>
      <c r="AF541" s="319">
        <f t="shared" si="921"/>
        <v>0</v>
      </c>
      <c r="AG541" s="319">
        <f t="shared" si="921"/>
        <v>0</v>
      </c>
      <c r="AH541" s="319">
        <f t="shared" si="921"/>
        <v>10336.6</v>
      </c>
      <c r="AI541" s="319">
        <f t="shared" si="921"/>
        <v>0</v>
      </c>
      <c r="AJ541" s="319">
        <f t="shared" si="921"/>
        <v>0</v>
      </c>
      <c r="AK541" s="319">
        <f t="shared" si="921"/>
        <v>44781.74</v>
      </c>
      <c r="AL541" s="319">
        <f t="shared" si="921"/>
        <v>9540.2999999999993</v>
      </c>
      <c r="AM541" s="319">
        <f t="shared" si="921"/>
        <v>0</v>
      </c>
      <c r="AN541" s="319">
        <f t="shared" si="921"/>
        <v>3682.2</v>
      </c>
      <c r="AO541" s="319">
        <f t="shared" si="921"/>
        <v>15795.2</v>
      </c>
      <c r="AP541" s="319">
        <f t="shared" si="921"/>
        <v>0</v>
      </c>
      <c r="AQ541" s="319">
        <f t="shared" si="921"/>
        <v>27027.84</v>
      </c>
      <c r="AR541" s="319">
        <f t="shared" si="921"/>
        <v>36619.600000000006</v>
      </c>
      <c r="AS541" s="319">
        <f t="shared" si="921"/>
        <v>0</v>
      </c>
      <c r="AT541" s="319">
        <f t="shared" si="921"/>
        <v>15469.89</v>
      </c>
      <c r="AU541" s="319">
        <f t="shared" si="921"/>
        <v>42131</v>
      </c>
      <c r="AV541" s="319">
        <f t="shared" si="921"/>
        <v>0</v>
      </c>
      <c r="AW541" s="319">
        <f t="shared" si="921"/>
        <v>20577.560000000001</v>
      </c>
      <c r="AX541" s="319">
        <f t="shared" si="921"/>
        <v>10113.5</v>
      </c>
      <c r="AY541" s="319">
        <f t="shared" si="921"/>
        <v>0</v>
      </c>
      <c r="AZ541" s="319">
        <f t="shared" si="921"/>
        <v>20662.77</v>
      </c>
      <c r="BA541" s="319">
        <f t="shared" si="921"/>
        <v>1405</v>
      </c>
      <c r="BB541" s="319">
        <f t="shared" si="921"/>
        <v>0</v>
      </c>
      <c r="BC541" s="319">
        <f t="shared" si="921"/>
        <v>0</v>
      </c>
      <c r="BD541" s="319">
        <f t="shared" si="921"/>
        <v>0</v>
      </c>
      <c r="BE541" s="319">
        <f t="shared" si="921"/>
        <v>0</v>
      </c>
      <c r="BF541" s="319">
        <f t="shared" si="921"/>
        <v>0</v>
      </c>
      <c r="BG541" s="319">
        <f t="shared" si="921"/>
        <v>0</v>
      </c>
      <c r="BH541" s="319">
        <f t="shared" si="921"/>
        <v>0</v>
      </c>
      <c r="BI541" s="319">
        <f t="shared" si="921"/>
        <v>0</v>
      </c>
      <c r="BJ541" s="319">
        <f t="shared" si="921"/>
        <v>0</v>
      </c>
      <c r="BK541" s="319">
        <f t="shared" si="921"/>
        <v>0</v>
      </c>
      <c r="BL541" s="319">
        <f t="shared" si="921"/>
        <v>0</v>
      </c>
      <c r="BM541" s="319">
        <f t="shared" si="921"/>
        <v>0</v>
      </c>
      <c r="BN541" s="319">
        <f t="shared" si="921"/>
        <v>0</v>
      </c>
      <c r="BO541" s="319">
        <f t="shared" si="921"/>
        <v>115604.6</v>
      </c>
      <c r="BP541" s="319">
        <f t="shared" si="921"/>
        <v>115604.6</v>
      </c>
      <c r="BQ541" s="319">
        <f t="shared" si="921"/>
        <v>0</v>
      </c>
      <c r="BR541" s="319">
        <f t="shared" si="921"/>
        <v>17253.900000000001</v>
      </c>
      <c r="BS541" s="319">
        <f t="shared" si="921"/>
        <v>17253.900000000001</v>
      </c>
      <c r="BT541" s="319">
        <f t="shared" si="921"/>
        <v>75499.350000000006</v>
      </c>
      <c r="BU541" s="319">
        <f t="shared" si="921"/>
        <v>115604.6</v>
      </c>
      <c r="BV541" s="319">
        <f t="shared" si="921"/>
        <v>17253.900000000001</v>
      </c>
      <c r="BW541" s="319">
        <f t="shared" si="921"/>
        <v>191103.95</v>
      </c>
      <c r="BX541" s="1"/>
      <c r="BY541" s="1"/>
      <c r="BZ541" s="1"/>
      <c r="CA541" s="1"/>
      <c r="CB541" s="1"/>
      <c r="CC541" s="1"/>
      <c r="CD541" s="1"/>
      <c r="CE541" s="1"/>
      <c r="CF541" s="1"/>
      <c r="CG541" s="1"/>
    </row>
    <row r="542" spans="1:85" ht="15.75" customHeight="1">
      <c r="A542" s="313"/>
      <c r="B542" s="418"/>
      <c r="C542" s="416" t="s">
        <v>226</v>
      </c>
      <c r="D542" s="324" t="s">
        <v>952</v>
      </c>
      <c r="E542" s="319">
        <f t="shared" ref="E542:M542" si="922">E62+E223+E247+E279+E280+E281+E284+E285+SUM(E457:E460)</f>
        <v>470000</v>
      </c>
      <c r="F542" s="319">
        <f t="shared" si="922"/>
        <v>0</v>
      </c>
      <c r="G542" s="319">
        <f t="shared" si="922"/>
        <v>470000</v>
      </c>
      <c r="H542" s="319">
        <f t="shared" si="922"/>
        <v>615000</v>
      </c>
      <c r="I542" s="319">
        <f t="shared" si="922"/>
        <v>0.34196768181818182</v>
      </c>
      <c r="J542" s="319">
        <f t="shared" si="922"/>
        <v>0.34196768181818188</v>
      </c>
      <c r="K542" s="319">
        <f t="shared" si="922"/>
        <v>540165.69000000006</v>
      </c>
      <c r="L542" s="319">
        <f t="shared" si="922"/>
        <v>97666.5</v>
      </c>
      <c r="M542" s="319">
        <f t="shared" si="922"/>
        <v>0</v>
      </c>
      <c r="N542" s="319">
        <f>N62+N223+N247+N279+N280+N281+N284+N285+SUM(N457:N460)</f>
        <v>448508.32999999996</v>
      </c>
      <c r="O542" s="319">
        <f t="shared" ref="O542:W542" si="923">O62+O223+O247+O279+O280+O281+O284+O285+SUM(O457:O460)</f>
        <v>310702.86</v>
      </c>
      <c r="P542" s="319">
        <f t="shared" si="923"/>
        <v>97666.5</v>
      </c>
      <c r="Q542" s="319">
        <f t="shared" si="923"/>
        <v>254570.24999999997</v>
      </c>
      <c r="R542" s="319">
        <f t="shared" si="923"/>
        <v>310702.86</v>
      </c>
      <c r="S542" s="319">
        <f t="shared" si="923"/>
        <v>97666.5</v>
      </c>
      <c r="T542" s="319">
        <f t="shared" si="923"/>
        <v>254570.24999999997</v>
      </c>
      <c r="U542" s="319">
        <f t="shared" si="923"/>
        <v>229462.83000000002</v>
      </c>
      <c r="V542" s="319">
        <f t="shared" si="923"/>
        <v>0</v>
      </c>
      <c r="W542" s="319">
        <f t="shared" si="923"/>
        <v>193938.08000000002</v>
      </c>
      <c r="X542" s="310">
        <f t="shared" si="889"/>
        <v>0.57519917638604545</v>
      </c>
      <c r="Y542" s="310">
        <f t="shared" si="890"/>
        <v>1</v>
      </c>
      <c r="Z542" s="310">
        <f t="shared" si="790"/>
        <v>0.56759313701040959</v>
      </c>
      <c r="AA542" s="319">
        <f t="shared" ref="AA542:BW542" si="924">AA62+AA223+AA247+AA279+AA280+AA281+AA284+AA285+SUM(AA457:AA460)</f>
        <v>0</v>
      </c>
      <c r="AB542" s="319">
        <f t="shared" si="924"/>
        <v>44067.65</v>
      </c>
      <c r="AC542" s="319">
        <f t="shared" si="924"/>
        <v>0</v>
      </c>
      <c r="AD542" s="319">
        <f t="shared" si="924"/>
        <v>0</v>
      </c>
      <c r="AE542" s="319">
        <f t="shared" si="924"/>
        <v>44067.17</v>
      </c>
      <c r="AF542" s="319">
        <f t="shared" si="924"/>
        <v>0</v>
      </c>
      <c r="AG542" s="319">
        <f t="shared" si="924"/>
        <v>34340.93</v>
      </c>
      <c r="AH542" s="319">
        <f t="shared" si="924"/>
        <v>3176.17</v>
      </c>
      <c r="AI542" s="319">
        <f t="shared" si="924"/>
        <v>3775.98</v>
      </c>
      <c r="AJ542" s="319">
        <f t="shared" si="924"/>
        <v>40891.960000000006</v>
      </c>
      <c r="AK542" s="319">
        <f t="shared" si="924"/>
        <v>3176.17</v>
      </c>
      <c r="AL542" s="319">
        <f t="shared" si="924"/>
        <v>25666.720000000001</v>
      </c>
      <c r="AM542" s="319">
        <f t="shared" si="924"/>
        <v>40891.480000000003</v>
      </c>
      <c r="AN542" s="319">
        <f t="shared" si="924"/>
        <v>3070.3</v>
      </c>
      <c r="AO542" s="319">
        <f t="shared" si="924"/>
        <v>38548.239999999998</v>
      </c>
      <c r="AP542" s="319">
        <f t="shared" si="924"/>
        <v>81782.94</v>
      </c>
      <c r="AQ542" s="319">
        <f t="shared" si="924"/>
        <v>109.04</v>
      </c>
      <c r="AR542" s="319">
        <f t="shared" si="924"/>
        <v>48051.07</v>
      </c>
      <c r="AS542" s="319">
        <f t="shared" si="924"/>
        <v>0</v>
      </c>
      <c r="AT542" s="319">
        <f t="shared" si="924"/>
        <v>0</v>
      </c>
      <c r="AU542" s="319">
        <f t="shared" si="924"/>
        <v>48947.55</v>
      </c>
      <c r="AV542" s="319">
        <f t="shared" si="924"/>
        <v>55752.49</v>
      </c>
      <c r="AW542" s="319">
        <f t="shared" si="924"/>
        <v>0</v>
      </c>
      <c r="AX542" s="319">
        <f t="shared" si="924"/>
        <v>47495.66</v>
      </c>
      <c r="AY542" s="319">
        <f t="shared" si="924"/>
        <v>57043.06</v>
      </c>
      <c r="AZ542" s="319">
        <f t="shared" si="924"/>
        <v>0</v>
      </c>
      <c r="BA542" s="319">
        <f t="shared" si="924"/>
        <v>42085.03</v>
      </c>
      <c r="BB542" s="319">
        <f t="shared" si="924"/>
        <v>0</v>
      </c>
      <c r="BC542" s="319">
        <f t="shared" si="924"/>
        <v>0</v>
      </c>
      <c r="BD542" s="319">
        <f t="shared" si="924"/>
        <v>0</v>
      </c>
      <c r="BE542" s="319">
        <f t="shared" si="924"/>
        <v>0</v>
      </c>
      <c r="BF542" s="319">
        <f t="shared" si="924"/>
        <v>0</v>
      </c>
      <c r="BG542" s="319">
        <f t="shared" si="924"/>
        <v>0</v>
      </c>
      <c r="BH542" s="319">
        <f t="shared" si="924"/>
        <v>0</v>
      </c>
      <c r="BI542" s="319">
        <f t="shared" si="924"/>
        <v>0</v>
      </c>
      <c r="BJ542" s="319">
        <f t="shared" si="924"/>
        <v>0</v>
      </c>
      <c r="BK542" s="319">
        <f t="shared" si="924"/>
        <v>0</v>
      </c>
      <c r="BL542" s="319">
        <f t="shared" si="924"/>
        <v>0</v>
      </c>
      <c r="BM542" s="319">
        <f t="shared" si="924"/>
        <v>0</v>
      </c>
      <c r="BN542" s="319">
        <f t="shared" si="924"/>
        <v>310702.86</v>
      </c>
      <c r="BO542" s="319">
        <f t="shared" si="924"/>
        <v>254570.24999999997</v>
      </c>
      <c r="BP542" s="319">
        <f t="shared" si="924"/>
        <v>565273.11</v>
      </c>
      <c r="BQ542" s="319">
        <f t="shared" si="924"/>
        <v>229462.83000000002</v>
      </c>
      <c r="BR542" s="319">
        <f t="shared" si="924"/>
        <v>193938.08000000002</v>
      </c>
      <c r="BS542" s="319">
        <f t="shared" si="924"/>
        <v>423400.91000000003</v>
      </c>
      <c r="BT542" s="319">
        <f t="shared" si="924"/>
        <v>0</v>
      </c>
      <c r="BU542" s="319">
        <f t="shared" si="924"/>
        <v>565273.11</v>
      </c>
      <c r="BV542" s="319">
        <f t="shared" si="924"/>
        <v>423400.91000000003</v>
      </c>
      <c r="BW542" s="319">
        <f t="shared" si="924"/>
        <v>565273.11</v>
      </c>
      <c r="BX542" s="1"/>
      <c r="BY542" s="1"/>
      <c r="BZ542" s="1"/>
      <c r="CA542" s="1"/>
      <c r="CB542" s="1"/>
      <c r="CC542" s="1"/>
      <c r="CD542" s="1"/>
      <c r="CE542" s="1"/>
      <c r="CF542" s="1"/>
      <c r="CG542" s="1"/>
    </row>
    <row r="543" spans="1:85" ht="15.75" customHeight="1">
      <c r="A543" s="313"/>
      <c r="B543" s="418"/>
      <c r="C543" s="416" t="s">
        <v>229</v>
      </c>
      <c r="D543" s="311" t="s">
        <v>953</v>
      </c>
      <c r="E543" s="319">
        <f>E63+E282</f>
        <v>700000</v>
      </c>
      <c r="F543" s="319">
        <f>F63+F282</f>
        <v>175357.14</v>
      </c>
      <c r="G543" s="319">
        <f>G63+G282</f>
        <v>524642.86</v>
      </c>
      <c r="H543" s="319">
        <f t="shared" ref="H543:J543" si="925">H63+H282</f>
        <v>789944.87</v>
      </c>
      <c r="I543" s="319">
        <f t="shared" si="925"/>
        <v>0.98192276932921574</v>
      </c>
      <c r="J543" s="319">
        <f t="shared" si="925"/>
        <v>0.55359381046375056</v>
      </c>
      <c r="K543" s="319">
        <f>K63+K282</f>
        <v>515158.77</v>
      </c>
      <c r="L543" s="319">
        <f t="shared" ref="L543:W543" si="926">L63+L282</f>
        <v>80361.09</v>
      </c>
      <c r="M543" s="319">
        <f t="shared" si="926"/>
        <v>0</v>
      </c>
      <c r="N543" s="319">
        <f>N63+N282</f>
        <v>193488.18</v>
      </c>
      <c r="O543" s="319">
        <f t="shared" si="926"/>
        <v>290439.04000000004</v>
      </c>
      <c r="P543" s="319">
        <f t="shared" si="926"/>
        <v>80361.09</v>
      </c>
      <c r="Q543" s="319">
        <f t="shared" si="926"/>
        <v>193488.18</v>
      </c>
      <c r="R543" s="320">
        <f t="shared" si="926"/>
        <v>290439.04000000004</v>
      </c>
      <c r="S543" s="320">
        <f t="shared" si="926"/>
        <v>80361.09</v>
      </c>
      <c r="T543" s="320">
        <f t="shared" si="926"/>
        <v>193488.18</v>
      </c>
      <c r="U543" s="386">
        <f t="shared" si="926"/>
        <v>224719.72999999998</v>
      </c>
      <c r="V543" s="386">
        <f t="shared" si="926"/>
        <v>0</v>
      </c>
      <c r="W543" s="386">
        <f t="shared" si="926"/>
        <v>0</v>
      </c>
      <c r="X543" s="310">
        <f t="shared" si="889"/>
        <v>0.5637854908303318</v>
      </c>
      <c r="Y543" s="310">
        <f t="shared" si="890"/>
        <v>1</v>
      </c>
      <c r="Z543" s="310">
        <f t="shared" si="790"/>
        <v>1</v>
      </c>
      <c r="AA543" s="319">
        <f t="shared" ref="AA543:BW543" si="927">AA63+AA282</f>
        <v>0</v>
      </c>
      <c r="AB543" s="319">
        <f t="shared" si="927"/>
        <v>0</v>
      </c>
      <c r="AC543" s="319">
        <f t="shared" si="927"/>
        <v>0</v>
      </c>
      <c r="AD543" s="319">
        <f t="shared" si="927"/>
        <v>0</v>
      </c>
      <c r="AE543" s="319">
        <f t="shared" si="927"/>
        <v>34109.4</v>
      </c>
      <c r="AF543" s="319">
        <f t="shared" si="927"/>
        <v>0</v>
      </c>
      <c r="AG543" s="319">
        <f t="shared" si="927"/>
        <v>0</v>
      </c>
      <c r="AH543" s="319">
        <f t="shared" si="927"/>
        <v>34109.4</v>
      </c>
      <c r="AI543" s="319">
        <f t="shared" si="927"/>
        <v>0</v>
      </c>
      <c r="AJ543" s="319">
        <f t="shared" si="927"/>
        <v>0</v>
      </c>
      <c r="AK543" s="319">
        <f t="shared" si="927"/>
        <v>12142.29</v>
      </c>
      <c r="AL543" s="319">
        <f t="shared" si="927"/>
        <v>35499.230000000003</v>
      </c>
      <c r="AM543" s="319">
        <f t="shared" si="927"/>
        <v>0</v>
      </c>
      <c r="AN543" s="319">
        <f t="shared" si="927"/>
        <v>0</v>
      </c>
      <c r="AO543" s="319">
        <f t="shared" si="927"/>
        <v>51024.26</v>
      </c>
      <c r="AP543" s="319">
        <f t="shared" si="927"/>
        <v>20569.23</v>
      </c>
      <c r="AQ543" s="319">
        <f t="shared" si="927"/>
        <v>0</v>
      </c>
      <c r="AR543" s="319">
        <f t="shared" si="927"/>
        <v>51024.26</v>
      </c>
      <c r="AS543" s="319">
        <f t="shared" si="927"/>
        <v>0</v>
      </c>
      <c r="AT543" s="319">
        <f t="shared" si="927"/>
        <v>0</v>
      </c>
      <c r="AU543" s="319">
        <f t="shared" si="927"/>
        <v>55940.43</v>
      </c>
      <c r="AV543" s="319">
        <f t="shared" si="927"/>
        <v>55940.43</v>
      </c>
      <c r="AW543" s="319">
        <f t="shared" si="927"/>
        <v>0</v>
      </c>
      <c r="AX543" s="319">
        <f t="shared" si="927"/>
        <v>0</v>
      </c>
      <c r="AY543" s="319">
        <f t="shared" si="927"/>
        <v>213929.38</v>
      </c>
      <c r="AZ543" s="319">
        <f t="shared" si="927"/>
        <v>0</v>
      </c>
      <c r="BA543" s="319">
        <f t="shared" si="927"/>
        <v>0</v>
      </c>
      <c r="BB543" s="319">
        <f t="shared" si="927"/>
        <v>0</v>
      </c>
      <c r="BC543" s="319">
        <f t="shared" si="927"/>
        <v>0</v>
      </c>
      <c r="BD543" s="319">
        <f t="shared" si="927"/>
        <v>0</v>
      </c>
      <c r="BE543" s="319">
        <f t="shared" si="927"/>
        <v>0</v>
      </c>
      <c r="BF543" s="319">
        <f t="shared" si="927"/>
        <v>0</v>
      </c>
      <c r="BG543" s="319">
        <f t="shared" si="927"/>
        <v>0</v>
      </c>
      <c r="BH543" s="319">
        <f t="shared" si="927"/>
        <v>0</v>
      </c>
      <c r="BI543" s="319">
        <f t="shared" si="927"/>
        <v>0</v>
      </c>
      <c r="BJ543" s="319">
        <f t="shared" si="927"/>
        <v>0</v>
      </c>
      <c r="BK543" s="319">
        <f t="shared" si="927"/>
        <v>0</v>
      </c>
      <c r="BL543" s="319">
        <f t="shared" si="927"/>
        <v>0</v>
      </c>
      <c r="BM543" s="319">
        <f t="shared" si="927"/>
        <v>0</v>
      </c>
      <c r="BN543" s="319">
        <f t="shared" si="927"/>
        <v>290439.04000000004</v>
      </c>
      <c r="BO543" s="319">
        <f t="shared" si="927"/>
        <v>193488.18</v>
      </c>
      <c r="BP543" s="319">
        <f t="shared" si="927"/>
        <v>483927.22000000003</v>
      </c>
      <c r="BQ543" s="319">
        <f t="shared" si="927"/>
        <v>224719.72999999998</v>
      </c>
      <c r="BR543" s="319">
        <f t="shared" si="927"/>
        <v>0</v>
      </c>
      <c r="BS543" s="319">
        <f t="shared" si="927"/>
        <v>224719.72999999998</v>
      </c>
      <c r="BT543" s="319">
        <f t="shared" si="927"/>
        <v>0</v>
      </c>
      <c r="BU543" s="319">
        <f t="shared" si="927"/>
        <v>483927.22000000003</v>
      </c>
      <c r="BV543" s="319">
        <f t="shared" si="927"/>
        <v>224719.72999999998</v>
      </c>
      <c r="BW543" s="319">
        <f t="shared" si="927"/>
        <v>483927.22000000003</v>
      </c>
      <c r="BX543" s="1"/>
      <c r="BY543" s="1"/>
      <c r="BZ543" s="1"/>
      <c r="CA543" s="1"/>
      <c r="CB543" s="1"/>
      <c r="CC543" s="1"/>
      <c r="CD543" s="1"/>
      <c r="CE543" s="1"/>
      <c r="CF543" s="1"/>
      <c r="CG543" s="1"/>
    </row>
    <row r="544" spans="1:85" ht="15.75" customHeight="1">
      <c r="A544" s="313"/>
      <c r="B544" s="418"/>
      <c r="C544" s="416" t="s">
        <v>233</v>
      </c>
      <c r="D544" s="324" t="s">
        <v>954</v>
      </c>
      <c r="E544" s="319">
        <f>E64+E286</f>
        <v>370000</v>
      </c>
      <c r="F544" s="319">
        <f>F64+F286</f>
        <v>0</v>
      </c>
      <c r="G544" s="319">
        <f>G64+G286</f>
        <v>370000</v>
      </c>
      <c r="H544" s="319">
        <f t="shared" ref="H544:J544" si="928">H64+H286</f>
        <v>100000</v>
      </c>
      <c r="I544" s="319">
        <f t="shared" si="928"/>
        <v>1.2423024054054055</v>
      </c>
      <c r="J544" s="319">
        <f t="shared" si="928"/>
        <v>1.0001142972972972</v>
      </c>
      <c r="K544" s="319">
        <f>K64+K286</f>
        <v>459651.89</v>
      </c>
      <c r="L544" s="319">
        <f t="shared" ref="L544:W544" si="929">L64+L286</f>
        <v>76485.26999999999</v>
      </c>
      <c r="M544" s="319">
        <f t="shared" si="929"/>
        <v>0</v>
      </c>
      <c r="N544" s="319">
        <f>N64+N286</f>
        <v>405.27</v>
      </c>
      <c r="O544" s="319">
        <f t="shared" si="929"/>
        <v>370042.29</v>
      </c>
      <c r="P544" s="319">
        <f t="shared" si="929"/>
        <v>76485.26999999999</v>
      </c>
      <c r="Q544" s="319">
        <f t="shared" si="929"/>
        <v>405.27</v>
      </c>
      <c r="R544" s="320">
        <f t="shared" si="929"/>
        <v>370042.29</v>
      </c>
      <c r="S544" s="320">
        <f t="shared" si="929"/>
        <v>76485.26999999999</v>
      </c>
      <c r="T544" s="320">
        <f t="shared" si="929"/>
        <v>405.27</v>
      </c>
      <c r="U544" s="386">
        <f t="shared" si="929"/>
        <v>89609.600000000035</v>
      </c>
      <c r="V544" s="386">
        <f t="shared" si="929"/>
        <v>0</v>
      </c>
      <c r="W544" s="386">
        <f t="shared" si="929"/>
        <v>0</v>
      </c>
      <c r="X544" s="310">
        <f t="shared" si="889"/>
        <v>0.80504899044361589</v>
      </c>
      <c r="Y544" s="310">
        <f t="shared" si="890"/>
        <v>1</v>
      </c>
      <c r="Z544" s="310">
        <f t="shared" si="790"/>
        <v>1</v>
      </c>
      <c r="AA544" s="319">
        <f t="shared" ref="AA544:BW544" si="930">AA64+AA286</f>
        <v>0</v>
      </c>
      <c r="AB544" s="319">
        <f t="shared" si="930"/>
        <v>38445.269999999997</v>
      </c>
      <c r="AC544" s="319">
        <f t="shared" si="930"/>
        <v>0</v>
      </c>
      <c r="AD544" s="319">
        <f t="shared" si="930"/>
        <v>0</v>
      </c>
      <c r="AE544" s="319">
        <f t="shared" si="930"/>
        <v>38040</v>
      </c>
      <c r="AF544" s="319">
        <f t="shared" si="930"/>
        <v>405.27</v>
      </c>
      <c r="AG544" s="319">
        <f t="shared" si="930"/>
        <v>38445.269999999997</v>
      </c>
      <c r="AH544" s="319">
        <f t="shared" si="930"/>
        <v>0</v>
      </c>
      <c r="AI544" s="319">
        <f t="shared" si="930"/>
        <v>0</v>
      </c>
      <c r="AJ544" s="319">
        <f t="shared" si="930"/>
        <v>38445.269999999997</v>
      </c>
      <c r="AK544" s="319">
        <f t="shared" si="930"/>
        <v>0</v>
      </c>
      <c r="AL544" s="319">
        <f t="shared" si="930"/>
        <v>0</v>
      </c>
      <c r="AM544" s="319">
        <f t="shared" si="930"/>
        <v>38445.269999999997</v>
      </c>
      <c r="AN544" s="319">
        <f t="shared" si="930"/>
        <v>0</v>
      </c>
      <c r="AO544" s="319">
        <f t="shared" si="930"/>
        <v>0</v>
      </c>
      <c r="AP544" s="319">
        <f t="shared" si="930"/>
        <v>38445.269999999997</v>
      </c>
      <c r="AQ544" s="319">
        <f t="shared" si="930"/>
        <v>0</v>
      </c>
      <c r="AR544" s="319">
        <f t="shared" si="930"/>
        <v>0</v>
      </c>
      <c r="AS544" s="319">
        <f t="shared" si="930"/>
        <v>97296.81</v>
      </c>
      <c r="AT544" s="319">
        <f t="shared" si="930"/>
        <v>0</v>
      </c>
      <c r="AU544" s="319">
        <f t="shared" si="930"/>
        <v>0</v>
      </c>
      <c r="AV544" s="319">
        <f t="shared" si="930"/>
        <v>46156.65</v>
      </c>
      <c r="AW544" s="319">
        <f t="shared" si="930"/>
        <v>0</v>
      </c>
      <c r="AX544" s="319">
        <f t="shared" si="930"/>
        <v>0</v>
      </c>
      <c r="AY544" s="319">
        <f t="shared" si="930"/>
        <v>72807.75</v>
      </c>
      <c r="AZ544" s="319">
        <f t="shared" si="930"/>
        <v>0</v>
      </c>
      <c r="BA544" s="319">
        <f t="shared" si="930"/>
        <v>0</v>
      </c>
      <c r="BB544" s="319">
        <f t="shared" si="930"/>
        <v>0</v>
      </c>
      <c r="BC544" s="319">
        <f t="shared" si="930"/>
        <v>0</v>
      </c>
      <c r="BD544" s="319">
        <f t="shared" si="930"/>
        <v>0</v>
      </c>
      <c r="BE544" s="319">
        <f t="shared" si="930"/>
        <v>0</v>
      </c>
      <c r="BF544" s="319">
        <f t="shared" si="930"/>
        <v>0</v>
      </c>
      <c r="BG544" s="319">
        <f t="shared" si="930"/>
        <v>0</v>
      </c>
      <c r="BH544" s="319">
        <f t="shared" si="930"/>
        <v>0</v>
      </c>
      <c r="BI544" s="319">
        <f t="shared" si="930"/>
        <v>0</v>
      </c>
      <c r="BJ544" s="319">
        <f t="shared" si="930"/>
        <v>0</v>
      </c>
      <c r="BK544" s="319">
        <f t="shared" si="930"/>
        <v>0</v>
      </c>
      <c r="BL544" s="319">
        <f t="shared" si="930"/>
        <v>0</v>
      </c>
      <c r="BM544" s="319">
        <f t="shared" si="930"/>
        <v>0</v>
      </c>
      <c r="BN544" s="319">
        <f t="shared" si="930"/>
        <v>370042.29</v>
      </c>
      <c r="BO544" s="319">
        <f t="shared" si="930"/>
        <v>405.27</v>
      </c>
      <c r="BP544" s="319">
        <f t="shared" si="930"/>
        <v>370447.56</v>
      </c>
      <c r="BQ544" s="319">
        <f t="shared" si="930"/>
        <v>89609.600000000035</v>
      </c>
      <c r="BR544" s="319">
        <f t="shared" si="930"/>
        <v>0</v>
      </c>
      <c r="BS544" s="319">
        <f t="shared" si="930"/>
        <v>89609.600000000035</v>
      </c>
      <c r="BT544" s="319">
        <f t="shared" si="930"/>
        <v>0</v>
      </c>
      <c r="BU544" s="319">
        <f t="shared" si="930"/>
        <v>370447.56</v>
      </c>
      <c r="BV544" s="319">
        <f t="shared" si="930"/>
        <v>89609.600000000035</v>
      </c>
      <c r="BW544" s="319">
        <f t="shared" si="930"/>
        <v>370447.56</v>
      </c>
      <c r="BX544" s="1"/>
      <c r="BY544" s="1"/>
      <c r="BZ544" s="1"/>
      <c r="CA544" s="1"/>
      <c r="CB544" s="1"/>
      <c r="CC544" s="1"/>
      <c r="CD544" s="1"/>
      <c r="CE544" s="1"/>
      <c r="CF544" s="1"/>
      <c r="CG544" s="1"/>
    </row>
    <row r="545" spans="1:85" ht="15.75" customHeight="1">
      <c r="A545" s="313"/>
      <c r="B545" s="418"/>
      <c r="C545" s="416" t="s">
        <v>237</v>
      </c>
      <c r="D545" s="311" t="s">
        <v>955</v>
      </c>
      <c r="E545" s="319">
        <f>E65+E248+E283</f>
        <v>361443.26</v>
      </c>
      <c r="F545" s="319">
        <f>F65+F248+F283</f>
        <v>25227.3</v>
      </c>
      <c r="G545" s="319">
        <f>G65+G248+G283</f>
        <v>336215.95999999996</v>
      </c>
      <c r="H545" s="319">
        <f t="shared" ref="H545:J545" si="931">H65+H248+H283</f>
        <v>100000</v>
      </c>
      <c r="I545" s="319">
        <f t="shared" si="931"/>
        <v>1.5240132692307693</v>
      </c>
      <c r="J545" s="319">
        <f t="shared" si="931"/>
        <v>0.86739615384615387</v>
      </c>
      <c r="K545" s="319">
        <f>K65+K248+K283</f>
        <v>396243.45</v>
      </c>
      <c r="L545" s="319">
        <f t="shared" ref="L545:W545" si="932">L65+L248+L283</f>
        <v>116262.20999999999</v>
      </c>
      <c r="M545" s="319">
        <f t="shared" si="932"/>
        <v>0.03</v>
      </c>
      <c r="N545" s="319">
        <f>N65+N248+N283</f>
        <v>34765.729999999996</v>
      </c>
      <c r="O545" s="319">
        <f t="shared" si="932"/>
        <v>225523</v>
      </c>
      <c r="P545" s="319">
        <f t="shared" si="932"/>
        <v>116262.18</v>
      </c>
      <c r="Q545" s="319">
        <f t="shared" si="932"/>
        <v>34765.730000000003</v>
      </c>
      <c r="R545" s="320">
        <f t="shared" si="932"/>
        <v>225523</v>
      </c>
      <c r="S545" s="320">
        <f t="shared" si="932"/>
        <v>116262.18</v>
      </c>
      <c r="T545" s="320">
        <f t="shared" si="932"/>
        <v>34765.730000000003</v>
      </c>
      <c r="U545" s="386">
        <f t="shared" si="932"/>
        <v>170720.45</v>
      </c>
      <c r="V545" s="386">
        <f t="shared" si="932"/>
        <v>-8.4401097222297494E-12</v>
      </c>
      <c r="W545" s="386">
        <f t="shared" si="932"/>
        <v>0</v>
      </c>
      <c r="X545" s="310">
        <f t="shared" si="889"/>
        <v>0.56915262574056424</v>
      </c>
      <c r="Y545" s="310">
        <f t="shared" si="890"/>
        <v>0.99999974196258612</v>
      </c>
      <c r="Z545" s="310">
        <f t="shared" si="790"/>
        <v>1.0000000000000002</v>
      </c>
      <c r="AA545" s="319">
        <f t="shared" ref="AA545:BW545" si="933">AA65+AA248+AA283</f>
        <v>0</v>
      </c>
      <c r="AB545" s="319">
        <f t="shared" si="933"/>
        <v>36042.720000000001</v>
      </c>
      <c r="AC545" s="319">
        <f t="shared" si="933"/>
        <v>0</v>
      </c>
      <c r="AD545" s="319">
        <f t="shared" si="933"/>
        <v>0</v>
      </c>
      <c r="AE545" s="319">
        <f t="shared" si="933"/>
        <v>38699.450000000004</v>
      </c>
      <c r="AF545" s="319">
        <f t="shared" si="933"/>
        <v>0</v>
      </c>
      <c r="AG545" s="319">
        <f t="shared" si="933"/>
        <v>0</v>
      </c>
      <c r="AH545" s="319">
        <f t="shared" si="933"/>
        <v>38123.97</v>
      </c>
      <c r="AI545" s="319">
        <f t="shared" si="933"/>
        <v>0</v>
      </c>
      <c r="AJ545" s="319">
        <f t="shared" si="933"/>
        <v>0</v>
      </c>
      <c r="AK545" s="319">
        <f t="shared" si="933"/>
        <v>3396.04</v>
      </c>
      <c r="AL545" s="319">
        <f t="shared" si="933"/>
        <v>34765.730000000003</v>
      </c>
      <c r="AM545" s="319">
        <f t="shared" si="933"/>
        <v>38468.43</v>
      </c>
      <c r="AN545" s="319">
        <f t="shared" si="933"/>
        <v>0</v>
      </c>
      <c r="AO545" s="319">
        <f t="shared" si="933"/>
        <v>0</v>
      </c>
      <c r="AP545" s="319">
        <f t="shared" si="933"/>
        <v>37757.279999999999</v>
      </c>
      <c r="AQ545" s="319">
        <f t="shared" si="933"/>
        <v>0</v>
      </c>
      <c r="AR545" s="319">
        <f t="shared" si="933"/>
        <v>0</v>
      </c>
      <c r="AS545" s="319">
        <f t="shared" si="933"/>
        <v>19978.5</v>
      </c>
      <c r="AT545" s="319">
        <f t="shared" si="933"/>
        <v>0</v>
      </c>
      <c r="AU545" s="319">
        <f t="shared" si="933"/>
        <v>0</v>
      </c>
      <c r="AV545" s="319">
        <f t="shared" si="933"/>
        <v>84502.040000000008</v>
      </c>
      <c r="AW545" s="319">
        <f t="shared" si="933"/>
        <v>0</v>
      </c>
      <c r="AX545" s="319">
        <f t="shared" si="933"/>
        <v>0</v>
      </c>
      <c r="AY545" s="319">
        <f t="shared" si="933"/>
        <v>44816.75</v>
      </c>
      <c r="AZ545" s="319">
        <f t="shared" si="933"/>
        <v>0</v>
      </c>
      <c r="BA545" s="319">
        <f t="shared" si="933"/>
        <v>0</v>
      </c>
      <c r="BB545" s="319">
        <f t="shared" si="933"/>
        <v>0</v>
      </c>
      <c r="BC545" s="319">
        <f t="shared" si="933"/>
        <v>0</v>
      </c>
      <c r="BD545" s="319">
        <f t="shared" si="933"/>
        <v>0</v>
      </c>
      <c r="BE545" s="319">
        <f t="shared" si="933"/>
        <v>0</v>
      </c>
      <c r="BF545" s="319">
        <f t="shared" si="933"/>
        <v>0</v>
      </c>
      <c r="BG545" s="319">
        <f t="shared" si="933"/>
        <v>0</v>
      </c>
      <c r="BH545" s="319">
        <f t="shared" si="933"/>
        <v>0</v>
      </c>
      <c r="BI545" s="319">
        <f t="shared" si="933"/>
        <v>0</v>
      </c>
      <c r="BJ545" s="319">
        <f t="shared" si="933"/>
        <v>0</v>
      </c>
      <c r="BK545" s="319">
        <f t="shared" si="933"/>
        <v>0</v>
      </c>
      <c r="BL545" s="319">
        <f t="shared" si="933"/>
        <v>0</v>
      </c>
      <c r="BM545" s="319">
        <f t="shared" si="933"/>
        <v>0</v>
      </c>
      <c r="BN545" s="319">
        <f t="shared" si="933"/>
        <v>225523</v>
      </c>
      <c r="BO545" s="319">
        <f t="shared" si="933"/>
        <v>34765.730000000003</v>
      </c>
      <c r="BP545" s="319">
        <f t="shared" si="933"/>
        <v>260288.73</v>
      </c>
      <c r="BQ545" s="319">
        <f t="shared" si="933"/>
        <v>170720.45</v>
      </c>
      <c r="BR545" s="319">
        <f t="shared" si="933"/>
        <v>0</v>
      </c>
      <c r="BS545" s="319">
        <f t="shared" si="933"/>
        <v>170720.45</v>
      </c>
      <c r="BT545" s="319">
        <f t="shared" si="933"/>
        <v>0</v>
      </c>
      <c r="BU545" s="319">
        <f t="shared" si="933"/>
        <v>260288.73</v>
      </c>
      <c r="BV545" s="319">
        <f t="shared" si="933"/>
        <v>170720.45</v>
      </c>
      <c r="BW545" s="319">
        <f t="shared" si="933"/>
        <v>260288.73</v>
      </c>
      <c r="BX545" s="1"/>
      <c r="BY545" s="1"/>
      <c r="BZ545" s="1"/>
      <c r="CA545" s="1"/>
      <c r="CB545" s="1"/>
      <c r="CC545" s="1"/>
      <c r="CD545" s="1"/>
      <c r="CE545" s="1"/>
      <c r="CF545" s="1"/>
      <c r="CG545" s="1"/>
    </row>
    <row r="546" spans="1:85" ht="15.75" customHeight="1">
      <c r="A546" s="313"/>
      <c r="B546" s="418"/>
      <c r="C546" s="416" t="s">
        <v>624</v>
      </c>
      <c r="D546" s="311" t="s">
        <v>956</v>
      </c>
      <c r="E546" s="319">
        <f t="shared" ref="E546:M546" si="934">E287+E288</f>
        <v>0</v>
      </c>
      <c r="F546" s="319">
        <f t="shared" si="934"/>
        <v>0</v>
      </c>
      <c r="G546" s="319">
        <f t="shared" si="934"/>
        <v>0</v>
      </c>
      <c r="H546" s="319">
        <f t="shared" si="934"/>
        <v>680000</v>
      </c>
      <c r="I546" s="319">
        <f t="shared" si="934"/>
        <v>0</v>
      </c>
      <c r="J546" s="319">
        <f t="shared" si="934"/>
        <v>0</v>
      </c>
      <c r="K546" s="319">
        <f t="shared" si="934"/>
        <v>0</v>
      </c>
      <c r="L546" s="319">
        <f t="shared" si="934"/>
        <v>0</v>
      </c>
      <c r="M546" s="319">
        <f t="shared" si="934"/>
        <v>0</v>
      </c>
      <c r="N546" s="319">
        <f>N287+N288</f>
        <v>795723.79</v>
      </c>
      <c r="O546" s="319">
        <f t="shared" ref="O546:W546" si="935">O287+O288</f>
        <v>0</v>
      </c>
      <c r="P546" s="319">
        <f t="shared" si="935"/>
        <v>0</v>
      </c>
      <c r="Q546" s="319">
        <f t="shared" si="935"/>
        <v>567501.39</v>
      </c>
      <c r="R546" s="319">
        <f t="shared" si="935"/>
        <v>0</v>
      </c>
      <c r="S546" s="319">
        <f t="shared" si="935"/>
        <v>0</v>
      </c>
      <c r="T546" s="319">
        <f t="shared" si="935"/>
        <v>567501.39</v>
      </c>
      <c r="U546" s="319">
        <f t="shared" si="935"/>
        <v>0</v>
      </c>
      <c r="V546" s="319">
        <f t="shared" si="935"/>
        <v>0</v>
      </c>
      <c r="W546" s="319">
        <f t="shared" si="935"/>
        <v>228222.4</v>
      </c>
      <c r="X546" s="310">
        <f t="shared" si="889"/>
        <v>0</v>
      </c>
      <c r="Y546" s="310">
        <f t="shared" si="890"/>
        <v>0</v>
      </c>
      <c r="Z546" s="310">
        <f t="shared" si="790"/>
        <v>0.71318891948674801</v>
      </c>
      <c r="AA546" s="319">
        <f t="shared" ref="AA546:BW546" si="936">AA287+AA288</f>
        <v>0</v>
      </c>
      <c r="AB546" s="319">
        <f t="shared" si="936"/>
        <v>0</v>
      </c>
      <c r="AC546" s="319">
        <f t="shared" si="936"/>
        <v>0</v>
      </c>
      <c r="AD546" s="319">
        <f t="shared" si="936"/>
        <v>0</v>
      </c>
      <c r="AE546" s="319">
        <f t="shared" si="936"/>
        <v>0</v>
      </c>
      <c r="AF546" s="319">
        <f t="shared" si="936"/>
        <v>0</v>
      </c>
      <c r="AG546" s="319">
        <f t="shared" si="936"/>
        <v>0</v>
      </c>
      <c r="AH546" s="319">
        <f t="shared" si="936"/>
        <v>0</v>
      </c>
      <c r="AI546" s="319">
        <f t="shared" si="936"/>
        <v>82107.06</v>
      </c>
      <c r="AJ546" s="319">
        <f t="shared" si="936"/>
        <v>0</v>
      </c>
      <c r="AK546" s="319">
        <f t="shared" si="936"/>
        <v>0</v>
      </c>
      <c r="AL546" s="319">
        <f t="shared" si="936"/>
        <v>82120.52</v>
      </c>
      <c r="AM546" s="319">
        <f t="shared" si="936"/>
        <v>0</v>
      </c>
      <c r="AN546" s="319">
        <f t="shared" si="936"/>
        <v>0</v>
      </c>
      <c r="AO546" s="319">
        <f t="shared" si="936"/>
        <v>82599.06</v>
      </c>
      <c r="AP546" s="319">
        <f t="shared" si="936"/>
        <v>0</v>
      </c>
      <c r="AQ546" s="319">
        <f t="shared" si="936"/>
        <v>0</v>
      </c>
      <c r="AR546" s="319">
        <f t="shared" si="936"/>
        <v>82803.58</v>
      </c>
      <c r="AS546" s="319">
        <f t="shared" si="936"/>
        <v>0</v>
      </c>
      <c r="AT546" s="319">
        <f t="shared" si="936"/>
        <v>0</v>
      </c>
      <c r="AU546" s="319">
        <f t="shared" si="936"/>
        <v>99090.59</v>
      </c>
      <c r="AV546" s="319">
        <f t="shared" si="936"/>
        <v>0</v>
      </c>
      <c r="AW546" s="319">
        <f t="shared" si="936"/>
        <v>0</v>
      </c>
      <c r="AX546" s="319">
        <f t="shared" si="936"/>
        <v>83002.98</v>
      </c>
      <c r="AY546" s="319">
        <f t="shared" si="936"/>
        <v>0</v>
      </c>
      <c r="AZ546" s="319">
        <f t="shared" si="936"/>
        <v>0</v>
      </c>
      <c r="BA546" s="319">
        <f t="shared" si="936"/>
        <v>55777.599999999999</v>
      </c>
      <c r="BB546" s="319">
        <f t="shared" si="936"/>
        <v>0</v>
      </c>
      <c r="BC546" s="319">
        <f t="shared" si="936"/>
        <v>0</v>
      </c>
      <c r="BD546" s="319">
        <f t="shared" si="936"/>
        <v>0</v>
      </c>
      <c r="BE546" s="319">
        <f t="shared" si="936"/>
        <v>0</v>
      </c>
      <c r="BF546" s="319">
        <f t="shared" si="936"/>
        <v>0</v>
      </c>
      <c r="BG546" s="319">
        <f t="shared" si="936"/>
        <v>0</v>
      </c>
      <c r="BH546" s="319">
        <f t="shared" si="936"/>
        <v>0</v>
      </c>
      <c r="BI546" s="319">
        <f t="shared" si="936"/>
        <v>0</v>
      </c>
      <c r="BJ546" s="319">
        <f t="shared" si="936"/>
        <v>0</v>
      </c>
      <c r="BK546" s="319">
        <f t="shared" si="936"/>
        <v>0</v>
      </c>
      <c r="BL546" s="319">
        <f t="shared" si="936"/>
        <v>0</v>
      </c>
      <c r="BM546" s="319">
        <f t="shared" si="936"/>
        <v>0</v>
      </c>
      <c r="BN546" s="319">
        <f t="shared" si="936"/>
        <v>0</v>
      </c>
      <c r="BO546" s="319">
        <f t="shared" si="936"/>
        <v>567501.39</v>
      </c>
      <c r="BP546" s="319">
        <f t="shared" si="936"/>
        <v>567501.39</v>
      </c>
      <c r="BQ546" s="319">
        <f t="shared" si="936"/>
        <v>0</v>
      </c>
      <c r="BR546" s="319">
        <f t="shared" si="936"/>
        <v>228222.4</v>
      </c>
      <c r="BS546" s="319">
        <f t="shared" si="936"/>
        <v>228222.4</v>
      </c>
      <c r="BT546" s="319">
        <f t="shared" si="936"/>
        <v>0</v>
      </c>
      <c r="BU546" s="319">
        <f t="shared" si="936"/>
        <v>567501.39</v>
      </c>
      <c r="BV546" s="319">
        <f t="shared" si="936"/>
        <v>228222.4</v>
      </c>
      <c r="BW546" s="319">
        <f t="shared" si="936"/>
        <v>567501.39</v>
      </c>
      <c r="BX546" s="1"/>
      <c r="BY546" s="1"/>
      <c r="BZ546" s="1"/>
      <c r="CA546" s="1"/>
      <c r="CB546" s="1"/>
      <c r="CC546" s="1"/>
      <c r="CD546" s="1"/>
      <c r="CE546" s="1"/>
      <c r="CF546" s="1"/>
      <c r="CG546" s="1"/>
    </row>
    <row r="547" spans="1:85" ht="15.75" customHeight="1">
      <c r="A547" s="313"/>
      <c r="B547" s="418"/>
      <c r="C547" s="416" t="s">
        <v>240</v>
      </c>
      <c r="D547" s="311" t="s">
        <v>401</v>
      </c>
      <c r="E547" s="319">
        <f t="shared" ref="E547:V547" si="937">E66+E67+E68+E147+E159+E224+E225+E391+E392</f>
        <v>50000</v>
      </c>
      <c r="F547" s="319">
        <f t="shared" si="937"/>
        <v>8907.0199999999968</v>
      </c>
      <c r="G547" s="319">
        <f t="shared" si="937"/>
        <v>41092.980000000003</v>
      </c>
      <c r="H547" s="319">
        <f t="shared" si="937"/>
        <v>250000</v>
      </c>
      <c r="I547" s="319">
        <f t="shared" si="937"/>
        <v>0</v>
      </c>
      <c r="J547" s="319">
        <f t="shared" si="937"/>
        <v>0</v>
      </c>
      <c r="K547" s="319">
        <f t="shared" si="937"/>
        <v>114280.77</v>
      </c>
      <c r="L547" s="319">
        <f t="shared" si="937"/>
        <v>152769.92000000001</v>
      </c>
      <c r="M547" s="319">
        <f t="shared" si="937"/>
        <v>0</v>
      </c>
      <c r="N547" s="319">
        <f t="shared" si="937"/>
        <v>0</v>
      </c>
      <c r="O547" s="319">
        <f t="shared" si="937"/>
        <v>3500</v>
      </c>
      <c r="P547" s="319">
        <f t="shared" si="937"/>
        <v>64450</v>
      </c>
      <c r="Q547" s="319">
        <f t="shared" si="937"/>
        <v>0</v>
      </c>
      <c r="R547" s="319">
        <f t="shared" si="937"/>
        <v>3500</v>
      </c>
      <c r="S547" s="319">
        <f t="shared" si="937"/>
        <v>64450</v>
      </c>
      <c r="T547" s="319">
        <f t="shared" si="937"/>
        <v>0</v>
      </c>
      <c r="U547" s="319">
        <f t="shared" si="937"/>
        <v>110780.77</v>
      </c>
      <c r="V547" s="319">
        <f t="shared" si="937"/>
        <v>88319.920000000013</v>
      </c>
      <c r="W547" s="319">
        <f t="shared" ref="W547" si="938">W66+W67+W68+W147+W159+W224+W225+W391+W392</f>
        <v>0</v>
      </c>
      <c r="X547" s="310">
        <f t="shared" si="889"/>
        <v>3.0626324971384074E-2</v>
      </c>
      <c r="Y547" s="310">
        <f t="shared" si="890"/>
        <v>0.4218762437003305</v>
      </c>
      <c r="Z547" s="310">
        <f t="shared" si="790"/>
        <v>0</v>
      </c>
      <c r="AA547" s="319">
        <f t="shared" ref="AA547:AU547" si="939">AA66+AA67+AA68+AA147+AA159+AA224+AA225+AA391+AA392</f>
        <v>0</v>
      </c>
      <c r="AB547" s="319">
        <f t="shared" si="939"/>
        <v>0</v>
      </c>
      <c r="AC547" s="319">
        <f t="shared" si="939"/>
        <v>0</v>
      </c>
      <c r="AD547" s="319">
        <f t="shared" si="939"/>
        <v>0</v>
      </c>
      <c r="AE547" s="319">
        <f t="shared" si="939"/>
        <v>0</v>
      </c>
      <c r="AF547" s="319">
        <f t="shared" si="939"/>
        <v>0</v>
      </c>
      <c r="AG547" s="319">
        <f t="shared" si="939"/>
        <v>0</v>
      </c>
      <c r="AH547" s="319">
        <f t="shared" si="939"/>
        <v>64450</v>
      </c>
      <c r="AI547" s="319">
        <f t="shared" si="939"/>
        <v>0</v>
      </c>
      <c r="AJ547" s="319">
        <f t="shared" si="939"/>
        <v>0</v>
      </c>
      <c r="AK547" s="319">
        <f t="shared" si="939"/>
        <v>0</v>
      </c>
      <c r="AL547" s="319">
        <f t="shared" si="939"/>
        <v>0</v>
      </c>
      <c r="AM547" s="319">
        <f t="shared" si="939"/>
        <v>0</v>
      </c>
      <c r="AN547" s="319">
        <f t="shared" si="939"/>
        <v>0</v>
      </c>
      <c r="AO547" s="319">
        <f t="shared" si="939"/>
        <v>0</v>
      </c>
      <c r="AP547" s="319">
        <f t="shared" si="939"/>
        <v>0</v>
      </c>
      <c r="AQ547" s="319">
        <f t="shared" si="939"/>
        <v>0</v>
      </c>
      <c r="AR547" s="319">
        <f t="shared" si="939"/>
        <v>0</v>
      </c>
      <c r="AS547" s="319">
        <f t="shared" si="939"/>
        <v>0</v>
      </c>
      <c r="AT547" s="319">
        <f t="shared" si="939"/>
        <v>0</v>
      </c>
      <c r="AU547" s="319">
        <f t="shared" si="939"/>
        <v>0</v>
      </c>
      <c r="AV547" s="319">
        <f>AV66+AV67+AV68+AV147+AV159+AV224+AV225+AV391+AV392</f>
        <v>3500</v>
      </c>
      <c r="AW547" s="319">
        <f t="shared" ref="AW547:BW547" si="940">AW66+AW67+AW68+AW147+AW159+AW224+AW225+AW391+AW392</f>
        <v>0</v>
      </c>
      <c r="AX547" s="319">
        <f t="shared" si="940"/>
        <v>0</v>
      </c>
      <c r="AY547" s="319">
        <f t="shared" si="940"/>
        <v>0</v>
      </c>
      <c r="AZ547" s="319">
        <f t="shared" si="940"/>
        <v>0</v>
      </c>
      <c r="BA547" s="319">
        <f t="shared" si="940"/>
        <v>0</v>
      </c>
      <c r="BB547" s="319">
        <f t="shared" si="940"/>
        <v>0</v>
      </c>
      <c r="BC547" s="319">
        <f t="shared" si="940"/>
        <v>0</v>
      </c>
      <c r="BD547" s="319">
        <f t="shared" si="940"/>
        <v>0</v>
      </c>
      <c r="BE547" s="319">
        <f t="shared" si="940"/>
        <v>0</v>
      </c>
      <c r="BF547" s="319">
        <f t="shared" si="940"/>
        <v>0</v>
      </c>
      <c r="BG547" s="319">
        <f t="shared" si="940"/>
        <v>0</v>
      </c>
      <c r="BH547" s="319">
        <f t="shared" si="940"/>
        <v>0</v>
      </c>
      <c r="BI547" s="319">
        <f t="shared" si="940"/>
        <v>0</v>
      </c>
      <c r="BJ547" s="319">
        <f t="shared" si="940"/>
        <v>0</v>
      </c>
      <c r="BK547" s="319">
        <f t="shared" si="940"/>
        <v>0</v>
      </c>
      <c r="BL547" s="319">
        <f t="shared" si="940"/>
        <v>0</v>
      </c>
      <c r="BM547" s="319">
        <f t="shared" si="940"/>
        <v>0</v>
      </c>
      <c r="BN547" s="319">
        <f t="shared" si="940"/>
        <v>3500</v>
      </c>
      <c r="BO547" s="319">
        <f t="shared" si="940"/>
        <v>0</v>
      </c>
      <c r="BP547" s="319">
        <f t="shared" si="940"/>
        <v>3500</v>
      </c>
      <c r="BQ547" s="319">
        <f t="shared" si="940"/>
        <v>110780.77</v>
      </c>
      <c r="BR547" s="319">
        <f t="shared" si="940"/>
        <v>0</v>
      </c>
      <c r="BS547" s="319">
        <f t="shared" si="940"/>
        <v>110780.77</v>
      </c>
      <c r="BT547" s="319">
        <f t="shared" si="940"/>
        <v>88319.920000000013</v>
      </c>
      <c r="BU547" s="319">
        <f t="shared" si="940"/>
        <v>3500</v>
      </c>
      <c r="BV547" s="319">
        <f t="shared" si="940"/>
        <v>110780.77</v>
      </c>
      <c r="BW547" s="319">
        <f t="shared" si="940"/>
        <v>91819.920000000013</v>
      </c>
      <c r="BX547" s="1"/>
      <c r="BY547" s="1"/>
      <c r="BZ547" s="1"/>
      <c r="CA547" s="1"/>
      <c r="CB547" s="1"/>
      <c r="CC547" s="1"/>
      <c r="CD547" s="1"/>
      <c r="CE547" s="1"/>
      <c r="CF547" s="1"/>
      <c r="CG547" s="1"/>
    </row>
    <row r="548" spans="1:85" ht="15.75" customHeight="1">
      <c r="A548" s="313"/>
      <c r="B548" s="418"/>
      <c r="C548" s="416" t="s">
        <v>246</v>
      </c>
      <c r="D548" s="311" t="s">
        <v>957</v>
      </c>
      <c r="E548" s="319">
        <f>E69+E70+E71+E74+E75+E289+E290+E291</f>
        <v>10000</v>
      </c>
      <c r="F548" s="319">
        <f>F69+F70+F71+F74+F75+F289+F290+F291</f>
        <v>0</v>
      </c>
      <c r="G548" s="319">
        <f>G69+G70+G71+G74+G75+G289+G290+G291</f>
        <v>10000</v>
      </c>
      <c r="H548" s="319">
        <f t="shared" ref="H548:K548" si="941">H69+H70+H71+H74+H75+H289+H290+H291</f>
        <v>580000</v>
      </c>
      <c r="I548" s="319">
        <f t="shared" si="941"/>
        <v>2.2070639999999999</v>
      </c>
      <c r="J548" s="319">
        <f t="shared" si="941"/>
        <v>1.242532</v>
      </c>
      <c r="K548" s="319">
        <f t="shared" si="941"/>
        <v>26745.699999999997</v>
      </c>
      <c r="L548" s="319">
        <f t="shared" ref="L548:W548" si="942">L69+L70+L71+L74+L75+L289+L290+L291</f>
        <v>657322.22000000009</v>
      </c>
      <c r="M548" s="319">
        <f t="shared" si="942"/>
        <v>32374.33</v>
      </c>
      <c r="N548" s="319">
        <f t="shared" si="942"/>
        <v>0</v>
      </c>
      <c r="O548" s="319">
        <f t="shared" si="942"/>
        <v>12425.32</v>
      </c>
      <c r="P548" s="319">
        <f t="shared" si="942"/>
        <v>404125.76999999996</v>
      </c>
      <c r="Q548" s="319">
        <f t="shared" si="942"/>
        <v>0</v>
      </c>
      <c r="R548" s="320">
        <f t="shared" si="942"/>
        <v>12425.32</v>
      </c>
      <c r="S548" s="320">
        <f t="shared" si="942"/>
        <v>404125.76999999996</v>
      </c>
      <c r="T548" s="320">
        <f t="shared" si="942"/>
        <v>0</v>
      </c>
      <c r="U548" s="386">
        <f>U69+U70+U71+U74+U75+U76+U289+U290+U291</f>
        <v>14320.379999999997</v>
      </c>
      <c r="V548" s="386">
        <f t="shared" si="942"/>
        <v>220822.12</v>
      </c>
      <c r="W548" s="386">
        <f t="shared" si="942"/>
        <v>0</v>
      </c>
      <c r="X548" s="310">
        <f t="shared" si="889"/>
        <v>0.46457262288891304</v>
      </c>
      <c r="Y548" s="310">
        <f t="shared" si="890"/>
        <v>0.61480619048599927</v>
      </c>
      <c r="Z548" s="310">
        <f t="shared" si="790"/>
        <v>0</v>
      </c>
      <c r="AA548" s="319">
        <f t="shared" ref="AA548:BW548" si="943">AA69+AA70+AA71+AA74+AA75+AA289+AA290+AA291</f>
        <v>0</v>
      </c>
      <c r="AB548" s="319">
        <f t="shared" si="943"/>
        <v>105337.66</v>
      </c>
      <c r="AC548" s="319">
        <f t="shared" si="943"/>
        <v>0</v>
      </c>
      <c r="AD548" s="319">
        <f t="shared" si="943"/>
        <v>0</v>
      </c>
      <c r="AE548" s="319">
        <f t="shared" si="943"/>
        <v>49384.799999999996</v>
      </c>
      <c r="AF548" s="319">
        <f t="shared" si="943"/>
        <v>0</v>
      </c>
      <c r="AG548" s="319">
        <f t="shared" si="943"/>
        <v>1390</v>
      </c>
      <c r="AH548" s="319">
        <f t="shared" si="943"/>
        <v>0</v>
      </c>
      <c r="AI548" s="319">
        <f t="shared" si="943"/>
        <v>0</v>
      </c>
      <c r="AJ548" s="319">
        <f t="shared" si="943"/>
        <v>1839.22</v>
      </c>
      <c r="AK548" s="319">
        <f t="shared" si="943"/>
        <v>61434.54</v>
      </c>
      <c r="AL548" s="319">
        <f t="shared" si="943"/>
        <v>0</v>
      </c>
      <c r="AM548" s="319">
        <f t="shared" si="943"/>
        <v>0</v>
      </c>
      <c r="AN548" s="319">
        <f t="shared" si="943"/>
        <v>73198.659999999989</v>
      </c>
      <c r="AO548" s="319">
        <f t="shared" si="943"/>
        <v>0</v>
      </c>
      <c r="AP548" s="319">
        <f t="shared" si="943"/>
        <v>3678.44</v>
      </c>
      <c r="AQ548" s="319">
        <f t="shared" si="943"/>
        <v>27283.809999999998</v>
      </c>
      <c r="AR548" s="319">
        <f t="shared" si="943"/>
        <v>0</v>
      </c>
      <c r="AS548" s="319">
        <f t="shared" si="943"/>
        <v>0</v>
      </c>
      <c r="AT548" s="319">
        <f t="shared" si="943"/>
        <v>0</v>
      </c>
      <c r="AU548" s="319">
        <f t="shared" si="943"/>
        <v>0</v>
      </c>
      <c r="AV548" s="319">
        <f t="shared" si="943"/>
        <v>1839.22</v>
      </c>
      <c r="AW548" s="319">
        <f t="shared" si="943"/>
        <v>0</v>
      </c>
      <c r="AX548" s="319">
        <f t="shared" si="943"/>
        <v>0</v>
      </c>
      <c r="AY548" s="319">
        <f t="shared" si="943"/>
        <v>3678.44</v>
      </c>
      <c r="AZ548" s="319">
        <f t="shared" si="943"/>
        <v>87486.299999999988</v>
      </c>
      <c r="BA548" s="319">
        <f t="shared" si="943"/>
        <v>0</v>
      </c>
      <c r="BB548" s="319">
        <f t="shared" si="943"/>
        <v>0</v>
      </c>
      <c r="BC548" s="319">
        <f t="shared" si="943"/>
        <v>0</v>
      </c>
      <c r="BD548" s="319">
        <f t="shared" si="943"/>
        <v>0</v>
      </c>
      <c r="BE548" s="319">
        <f t="shared" si="943"/>
        <v>0</v>
      </c>
      <c r="BF548" s="319">
        <f t="shared" si="943"/>
        <v>0</v>
      </c>
      <c r="BG548" s="319">
        <f t="shared" si="943"/>
        <v>0</v>
      </c>
      <c r="BH548" s="319">
        <f t="shared" si="943"/>
        <v>0</v>
      </c>
      <c r="BI548" s="319">
        <f t="shared" si="943"/>
        <v>0</v>
      </c>
      <c r="BJ548" s="319">
        <f t="shared" si="943"/>
        <v>0</v>
      </c>
      <c r="BK548" s="319">
        <f t="shared" si="943"/>
        <v>0</v>
      </c>
      <c r="BL548" s="319">
        <f t="shared" si="943"/>
        <v>0</v>
      </c>
      <c r="BM548" s="319">
        <f t="shared" si="943"/>
        <v>0</v>
      </c>
      <c r="BN548" s="319">
        <f t="shared" si="943"/>
        <v>12425.32</v>
      </c>
      <c r="BO548" s="319">
        <f t="shared" si="943"/>
        <v>0</v>
      </c>
      <c r="BP548" s="319">
        <f t="shared" si="943"/>
        <v>12425.32</v>
      </c>
      <c r="BQ548" s="319">
        <f t="shared" si="943"/>
        <v>14320.379999999997</v>
      </c>
      <c r="BR548" s="319">
        <f t="shared" si="943"/>
        <v>0</v>
      </c>
      <c r="BS548" s="319">
        <f t="shared" si="943"/>
        <v>14320.379999999997</v>
      </c>
      <c r="BT548" s="319">
        <f t="shared" si="943"/>
        <v>220822.12</v>
      </c>
      <c r="BU548" s="319">
        <f t="shared" si="943"/>
        <v>12425.32</v>
      </c>
      <c r="BV548" s="319">
        <f t="shared" si="943"/>
        <v>14320.379999999997</v>
      </c>
      <c r="BW548" s="319">
        <f t="shared" si="943"/>
        <v>233247.44</v>
      </c>
      <c r="BX548" s="1"/>
      <c r="BY548" s="1"/>
      <c r="BZ548" s="1"/>
      <c r="CA548" s="1"/>
      <c r="CB548" s="1"/>
      <c r="CC548" s="1"/>
      <c r="CD548" s="1"/>
      <c r="CE548" s="1"/>
      <c r="CF548" s="1"/>
      <c r="CG548" s="1"/>
    </row>
    <row r="549" spans="1:85" ht="15.75" customHeight="1">
      <c r="A549" s="313"/>
      <c r="B549" s="418"/>
      <c r="C549" s="417" t="s">
        <v>254</v>
      </c>
      <c r="D549" s="316" t="s">
        <v>958</v>
      </c>
      <c r="E549" s="319">
        <f>E72+E73+E77+E78+E79+E226+E461+E462+E463+E466</f>
        <v>142000</v>
      </c>
      <c r="F549" s="319">
        <f>F72+F73+F77+F78+F79+F226+F461+F462+F463+F466</f>
        <v>0</v>
      </c>
      <c r="G549" s="319">
        <f>G72+G73+G77+G78+G79+G226+G461+G462+G463+G466</f>
        <v>142000</v>
      </c>
      <c r="H549" s="319">
        <f t="shared" ref="H549:K549" si="944">H72+H73+H77+H78+H79+H226+H461+H462+H463+H466</f>
        <v>0</v>
      </c>
      <c r="I549" s="319">
        <f t="shared" si="944"/>
        <v>4.530300866666666</v>
      </c>
      <c r="J549" s="319">
        <f t="shared" si="944"/>
        <v>1.7080216666666665</v>
      </c>
      <c r="K549" s="319">
        <f t="shared" si="944"/>
        <v>134205.16</v>
      </c>
      <c r="L549" s="319">
        <f t="shared" ref="L549:W549" si="945">L72+L73+L77+L78+L79+L226+L461+L462+L463+L466</f>
        <v>84544.69</v>
      </c>
      <c r="M549" s="319">
        <f t="shared" si="945"/>
        <v>8.48</v>
      </c>
      <c r="N549" s="319">
        <f t="shared" si="945"/>
        <v>0</v>
      </c>
      <c r="O549" s="319">
        <f t="shared" si="945"/>
        <v>59793.03</v>
      </c>
      <c r="P549" s="319">
        <f t="shared" si="945"/>
        <v>80323.710000000006</v>
      </c>
      <c r="Q549" s="319">
        <f t="shared" si="945"/>
        <v>0</v>
      </c>
      <c r="R549" s="320">
        <f t="shared" si="945"/>
        <v>59793.03</v>
      </c>
      <c r="S549" s="320">
        <f t="shared" si="945"/>
        <v>80323.710000000006</v>
      </c>
      <c r="T549" s="320">
        <f t="shared" si="945"/>
        <v>0</v>
      </c>
      <c r="U549" s="386">
        <f>U72+U73+U77+U78+U79+U226+U461+U462+U463+U466</f>
        <v>74412.13</v>
      </c>
      <c r="V549" s="386">
        <f t="shared" si="945"/>
        <v>4212.4999999999964</v>
      </c>
      <c r="W549" s="386">
        <f t="shared" si="945"/>
        <v>0</v>
      </c>
      <c r="X549" s="310">
        <f t="shared" si="889"/>
        <v>0.44553450850921078</v>
      </c>
      <c r="Y549" s="310">
        <f t="shared" si="890"/>
        <v>0.95007397862597875</v>
      </c>
      <c r="Z549" s="310">
        <f t="shared" si="790"/>
        <v>0</v>
      </c>
      <c r="AA549" s="319">
        <f t="shared" ref="AA549:BW549" si="946">AA72+AA73+AA77+AA78+AA79+AA226+AA461+AA462+AA463+AA466</f>
        <v>0</v>
      </c>
      <c r="AB549" s="319">
        <f t="shared" si="946"/>
        <v>9350</v>
      </c>
      <c r="AC549" s="319">
        <f t="shared" si="946"/>
        <v>0</v>
      </c>
      <c r="AD549" s="319">
        <f t="shared" si="946"/>
        <v>10939.15</v>
      </c>
      <c r="AE549" s="319">
        <f t="shared" si="946"/>
        <v>32940.03</v>
      </c>
      <c r="AF549" s="319">
        <f t="shared" si="946"/>
        <v>0</v>
      </c>
      <c r="AG549" s="319">
        <f t="shared" si="946"/>
        <v>5245.2800000000007</v>
      </c>
      <c r="AH549" s="319">
        <f t="shared" si="946"/>
        <v>19187.39</v>
      </c>
      <c r="AI549" s="319">
        <f t="shared" si="946"/>
        <v>0</v>
      </c>
      <c r="AJ549" s="319">
        <f t="shared" si="946"/>
        <v>4508.09</v>
      </c>
      <c r="AK549" s="319">
        <f t="shared" si="946"/>
        <v>0</v>
      </c>
      <c r="AL549" s="319">
        <f t="shared" si="946"/>
        <v>0</v>
      </c>
      <c r="AM549" s="319">
        <f t="shared" si="946"/>
        <v>7134.13</v>
      </c>
      <c r="AN549" s="319">
        <f t="shared" si="946"/>
        <v>5992.79</v>
      </c>
      <c r="AO549" s="319">
        <f t="shared" si="946"/>
        <v>0</v>
      </c>
      <c r="AP549" s="319">
        <f t="shared" si="946"/>
        <v>27378.44</v>
      </c>
      <c r="AQ549" s="319">
        <f t="shared" si="946"/>
        <v>6500</v>
      </c>
      <c r="AR549" s="319">
        <f t="shared" si="946"/>
        <v>0</v>
      </c>
      <c r="AS549" s="319">
        <f t="shared" si="946"/>
        <v>2495.94</v>
      </c>
      <c r="AT549" s="319">
        <f t="shared" si="946"/>
        <v>0</v>
      </c>
      <c r="AU549" s="319">
        <f t="shared" si="946"/>
        <v>0</v>
      </c>
      <c r="AV549" s="319">
        <f t="shared" si="946"/>
        <v>992</v>
      </c>
      <c r="AW549" s="319">
        <f t="shared" si="946"/>
        <v>6353.5</v>
      </c>
      <c r="AX549" s="319">
        <f t="shared" si="946"/>
        <v>0</v>
      </c>
      <c r="AY549" s="319">
        <f t="shared" si="946"/>
        <v>1100</v>
      </c>
      <c r="AZ549" s="319">
        <f t="shared" si="946"/>
        <v>0</v>
      </c>
      <c r="BA549" s="319">
        <f t="shared" si="946"/>
        <v>0</v>
      </c>
      <c r="BB549" s="319">
        <f t="shared" si="946"/>
        <v>0</v>
      </c>
      <c r="BC549" s="319">
        <f t="shared" si="946"/>
        <v>0</v>
      </c>
      <c r="BD549" s="319">
        <f t="shared" si="946"/>
        <v>0</v>
      </c>
      <c r="BE549" s="319">
        <f t="shared" si="946"/>
        <v>0</v>
      </c>
      <c r="BF549" s="319">
        <f t="shared" si="946"/>
        <v>0</v>
      </c>
      <c r="BG549" s="319">
        <f t="shared" si="946"/>
        <v>0</v>
      </c>
      <c r="BH549" s="319">
        <f t="shared" si="946"/>
        <v>0</v>
      </c>
      <c r="BI549" s="319">
        <f t="shared" si="946"/>
        <v>0</v>
      </c>
      <c r="BJ549" s="319">
        <f t="shared" si="946"/>
        <v>0</v>
      </c>
      <c r="BK549" s="319">
        <f t="shared" si="946"/>
        <v>0</v>
      </c>
      <c r="BL549" s="319">
        <f t="shared" si="946"/>
        <v>0</v>
      </c>
      <c r="BM549" s="319">
        <f t="shared" si="946"/>
        <v>0</v>
      </c>
      <c r="BN549" s="319">
        <f t="shared" si="946"/>
        <v>59793.03</v>
      </c>
      <c r="BO549" s="319">
        <f t="shared" si="946"/>
        <v>0</v>
      </c>
      <c r="BP549" s="319">
        <f t="shared" si="946"/>
        <v>59793.03</v>
      </c>
      <c r="BQ549" s="319">
        <f t="shared" si="946"/>
        <v>74412.13</v>
      </c>
      <c r="BR549" s="319">
        <f t="shared" si="946"/>
        <v>0</v>
      </c>
      <c r="BS549" s="319">
        <f t="shared" si="946"/>
        <v>74412.13</v>
      </c>
      <c r="BT549" s="319">
        <f t="shared" si="946"/>
        <v>4212.5</v>
      </c>
      <c r="BU549" s="319">
        <f t="shared" si="946"/>
        <v>59793.03</v>
      </c>
      <c r="BV549" s="319">
        <f t="shared" si="946"/>
        <v>74412.13</v>
      </c>
      <c r="BW549" s="319">
        <f t="shared" si="946"/>
        <v>64005.53</v>
      </c>
      <c r="BX549" s="1"/>
      <c r="BY549" s="1"/>
      <c r="BZ549" s="1"/>
      <c r="CA549" s="1"/>
      <c r="CB549" s="1"/>
      <c r="CC549" s="1"/>
      <c r="CD549" s="1"/>
      <c r="CE549" s="1"/>
      <c r="CF549" s="1"/>
      <c r="CG549" s="1"/>
    </row>
    <row r="550" spans="1:85" ht="15.75" customHeight="1">
      <c r="A550" s="313"/>
      <c r="B550" s="418"/>
      <c r="C550" s="417" t="s">
        <v>272</v>
      </c>
      <c r="D550" s="315" t="s">
        <v>273</v>
      </c>
      <c r="E550" s="319">
        <f>E80+E249+E393+E464+E478</f>
        <v>178000</v>
      </c>
      <c r="F550" s="319">
        <f>F80+F249+F393+F464+F478</f>
        <v>100000</v>
      </c>
      <c r="G550" s="319">
        <f>G80+G249+G393+G464+G478</f>
        <v>78000</v>
      </c>
      <c r="H550" s="319">
        <f t="shared" ref="H550:J550" si="947">H80+H249+H393+H464+H478</f>
        <v>0</v>
      </c>
      <c r="I550" s="319">
        <f t="shared" si="947"/>
        <v>0</v>
      </c>
      <c r="J550" s="319">
        <f t="shared" si="947"/>
        <v>0</v>
      </c>
      <c r="K550" s="319">
        <f>K80+K249+K393+K464+K478</f>
        <v>631997.11</v>
      </c>
      <c r="L550" s="319">
        <f t="shared" ref="L550:W550" si="948">L80+L249+L393+L464+L478</f>
        <v>0</v>
      </c>
      <c r="M550" s="319">
        <f t="shared" si="948"/>
        <v>0</v>
      </c>
      <c r="N550" s="319">
        <f t="shared" si="948"/>
        <v>0</v>
      </c>
      <c r="O550" s="319">
        <f>O80+O249+O393+O464+O478</f>
        <v>263322.94</v>
      </c>
      <c r="P550" s="319">
        <f t="shared" si="948"/>
        <v>0</v>
      </c>
      <c r="Q550" s="319">
        <f t="shared" si="948"/>
        <v>0</v>
      </c>
      <c r="R550" s="320">
        <f t="shared" si="948"/>
        <v>263322.94</v>
      </c>
      <c r="S550" s="320">
        <f t="shared" si="948"/>
        <v>0</v>
      </c>
      <c r="T550" s="320">
        <f t="shared" si="948"/>
        <v>0</v>
      </c>
      <c r="U550" s="386">
        <f t="shared" si="948"/>
        <v>368674.17</v>
      </c>
      <c r="V550" s="386">
        <f t="shared" si="948"/>
        <v>0</v>
      </c>
      <c r="W550" s="386">
        <f t="shared" si="948"/>
        <v>0</v>
      </c>
      <c r="X550" s="310">
        <f t="shared" si="889"/>
        <v>0.41665212677950381</v>
      </c>
      <c r="Y550" s="310">
        <f t="shared" si="890"/>
        <v>0</v>
      </c>
      <c r="Z550" s="310">
        <f t="shared" si="790"/>
        <v>0</v>
      </c>
      <c r="AA550" s="319">
        <f t="shared" ref="AA550:BW550" si="949">AA80+AA249+AA393+AA464+AA478</f>
        <v>86412.86</v>
      </c>
      <c r="AB550" s="319">
        <f t="shared" si="949"/>
        <v>0</v>
      </c>
      <c r="AC550" s="319">
        <f t="shared" si="949"/>
        <v>0</v>
      </c>
      <c r="AD550" s="319">
        <f t="shared" si="949"/>
        <v>51741.35</v>
      </c>
      <c r="AE550" s="319">
        <f t="shared" si="949"/>
        <v>0</v>
      </c>
      <c r="AF550" s="319">
        <f t="shared" si="949"/>
        <v>0</v>
      </c>
      <c r="AG550" s="319">
        <f t="shared" si="949"/>
        <v>61024.23</v>
      </c>
      <c r="AH550" s="319">
        <f t="shared" si="949"/>
        <v>0</v>
      </c>
      <c r="AI550" s="319">
        <f t="shared" si="949"/>
        <v>0</v>
      </c>
      <c r="AJ550" s="319">
        <f t="shared" si="949"/>
        <v>28308</v>
      </c>
      <c r="AK550" s="319">
        <f t="shared" si="949"/>
        <v>0</v>
      </c>
      <c r="AL550" s="319">
        <f t="shared" si="949"/>
        <v>0</v>
      </c>
      <c r="AM550" s="319">
        <f t="shared" si="949"/>
        <v>35836.5</v>
      </c>
      <c r="AN550" s="319">
        <f t="shared" si="949"/>
        <v>0</v>
      </c>
      <c r="AO550" s="319">
        <f t="shared" si="949"/>
        <v>0</v>
      </c>
      <c r="AP550" s="319">
        <f t="shared" si="949"/>
        <v>0</v>
      </c>
      <c r="AQ550" s="319">
        <f t="shared" si="949"/>
        <v>0</v>
      </c>
      <c r="AR550" s="319">
        <f t="shared" si="949"/>
        <v>0</v>
      </c>
      <c r="AS550" s="319">
        <f t="shared" si="949"/>
        <v>0</v>
      </c>
      <c r="AT550" s="319">
        <f t="shared" si="949"/>
        <v>0</v>
      </c>
      <c r="AU550" s="319">
        <f t="shared" si="949"/>
        <v>0</v>
      </c>
      <c r="AV550" s="319">
        <f t="shared" si="949"/>
        <v>0</v>
      </c>
      <c r="AW550" s="319">
        <f t="shared" si="949"/>
        <v>0</v>
      </c>
      <c r="AX550" s="319">
        <f t="shared" si="949"/>
        <v>0</v>
      </c>
      <c r="AY550" s="319">
        <f t="shared" si="949"/>
        <v>0</v>
      </c>
      <c r="AZ550" s="319">
        <f t="shared" si="949"/>
        <v>0</v>
      </c>
      <c r="BA550" s="319">
        <f t="shared" si="949"/>
        <v>0</v>
      </c>
      <c r="BB550" s="319">
        <f t="shared" si="949"/>
        <v>0</v>
      </c>
      <c r="BC550" s="319">
        <f t="shared" si="949"/>
        <v>0</v>
      </c>
      <c r="BD550" s="319">
        <f t="shared" si="949"/>
        <v>0</v>
      </c>
      <c r="BE550" s="319">
        <f t="shared" si="949"/>
        <v>0</v>
      </c>
      <c r="BF550" s="319">
        <f t="shared" si="949"/>
        <v>0</v>
      </c>
      <c r="BG550" s="319">
        <f t="shared" si="949"/>
        <v>0</v>
      </c>
      <c r="BH550" s="319">
        <f t="shared" si="949"/>
        <v>0</v>
      </c>
      <c r="BI550" s="319">
        <f t="shared" si="949"/>
        <v>0</v>
      </c>
      <c r="BJ550" s="319">
        <f t="shared" si="949"/>
        <v>0</v>
      </c>
      <c r="BK550" s="319">
        <f t="shared" si="949"/>
        <v>0</v>
      </c>
      <c r="BL550" s="319">
        <f t="shared" si="949"/>
        <v>0</v>
      </c>
      <c r="BM550" s="319">
        <f t="shared" si="949"/>
        <v>0</v>
      </c>
      <c r="BN550" s="319">
        <f t="shared" si="949"/>
        <v>263322.94</v>
      </c>
      <c r="BO550" s="319">
        <f t="shared" si="949"/>
        <v>0</v>
      </c>
      <c r="BP550" s="319">
        <f t="shared" si="949"/>
        <v>263322.94</v>
      </c>
      <c r="BQ550" s="319">
        <f t="shared" si="949"/>
        <v>368674.17</v>
      </c>
      <c r="BR550" s="319">
        <f t="shared" si="949"/>
        <v>0</v>
      </c>
      <c r="BS550" s="319">
        <f t="shared" si="949"/>
        <v>368674.17</v>
      </c>
      <c r="BT550" s="319">
        <f t="shared" si="949"/>
        <v>0</v>
      </c>
      <c r="BU550" s="319">
        <f t="shared" si="949"/>
        <v>263322.94</v>
      </c>
      <c r="BV550" s="319">
        <f t="shared" si="949"/>
        <v>368674.17</v>
      </c>
      <c r="BW550" s="319">
        <f t="shared" si="949"/>
        <v>263322.94</v>
      </c>
      <c r="BX550" s="1"/>
      <c r="BY550" s="1"/>
      <c r="BZ550" s="1"/>
      <c r="CA550" s="1"/>
      <c r="CB550" s="1"/>
      <c r="CC550" s="1"/>
      <c r="CD550" s="1"/>
      <c r="CE550" s="1"/>
      <c r="CF550" s="1"/>
      <c r="CG550" s="1"/>
    </row>
    <row r="551" spans="1:85" ht="15.75" customHeight="1">
      <c r="A551" s="313"/>
      <c r="B551" s="418"/>
      <c r="C551" s="416" t="s">
        <v>565</v>
      </c>
      <c r="D551" s="311" t="s">
        <v>754</v>
      </c>
      <c r="E551" s="319">
        <f>E250+E394</f>
        <v>20000</v>
      </c>
      <c r="F551" s="319">
        <f>F250+F394</f>
        <v>0</v>
      </c>
      <c r="G551" s="319">
        <f>G250+G394</f>
        <v>20000</v>
      </c>
      <c r="H551" s="319">
        <f t="shared" ref="H551:K551" si="950">H250+H394</f>
        <v>10000</v>
      </c>
      <c r="I551" s="319">
        <f t="shared" si="950"/>
        <v>1.099</v>
      </c>
      <c r="J551" s="319">
        <f t="shared" si="950"/>
        <v>0.45350000000000001</v>
      </c>
      <c r="K551" s="319">
        <f t="shared" si="950"/>
        <v>10990</v>
      </c>
      <c r="L551" s="319">
        <f t="shared" ref="L551:W551" si="951">L250+L394</f>
        <v>0</v>
      </c>
      <c r="M551" s="319">
        <f t="shared" si="951"/>
        <v>0</v>
      </c>
      <c r="N551" s="319">
        <f t="shared" si="951"/>
        <v>0</v>
      </c>
      <c r="O551" s="319">
        <f t="shared" si="951"/>
        <v>4535</v>
      </c>
      <c r="P551" s="319">
        <f t="shared" si="951"/>
        <v>0</v>
      </c>
      <c r="Q551" s="319">
        <f t="shared" si="951"/>
        <v>0</v>
      </c>
      <c r="R551" s="320">
        <f t="shared" si="951"/>
        <v>4535</v>
      </c>
      <c r="S551" s="320">
        <f t="shared" si="951"/>
        <v>0</v>
      </c>
      <c r="T551" s="320">
        <f t="shared" si="951"/>
        <v>0</v>
      </c>
      <c r="U551" s="386">
        <f t="shared" si="951"/>
        <v>6455</v>
      </c>
      <c r="V551" s="386">
        <f t="shared" si="951"/>
        <v>0</v>
      </c>
      <c r="W551" s="386">
        <f t="shared" si="951"/>
        <v>0</v>
      </c>
      <c r="X551" s="310">
        <f t="shared" si="889"/>
        <v>0.41264786169244766</v>
      </c>
      <c r="Y551" s="310">
        <f t="shared" si="890"/>
        <v>0</v>
      </c>
      <c r="Z551" s="310">
        <f t="shared" si="790"/>
        <v>0</v>
      </c>
      <c r="AA551" s="319">
        <f t="shared" ref="AA551:BW551" si="952">AA250+AA394</f>
        <v>0</v>
      </c>
      <c r="AB551" s="319">
        <f t="shared" si="952"/>
        <v>0</v>
      </c>
      <c r="AC551" s="319">
        <f t="shared" si="952"/>
        <v>0</v>
      </c>
      <c r="AD551" s="319">
        <f t="shared" si="952"/>
        <v>0</v>
      </c>
      <c r="AE551" s="319">
        <f t="shared" si="952"/>
        <v>0</v>
      </c>
      <c r="AF551" s="319">
        <f t="shared" si="952"/>
        <v>0</v>
      </c>
      <c r="AG551" s="319">
        <f t="shared" si="952"/>
        <v>0</v>
      </c>
      <c r="AH551" s="319">
        <f t="shared" si="952"/>
        <v>0</v>
      </c>
      <c r="AI551" s="319">
        <f t="shared" si="952"/>
        <v>0</v>
      </c>
      <c r="AJ551" s="319">
        <f t="shared" si="952"/>
        <v>0</v>
      </c>
      <c r="AK551" s="319">
        <f t="shared" si="952"/>
        <v>0</v>
      </c>
      <c r="AL551" s="319">
        <f t="shared" si="952"/>
        <v>0</v>
      </c>
      <c r="AM551" s="319">
        <f t="shared" si="952"/>
        <v>0</v>
      </c>
      <c r="AN551" s="319">
        <f t="shared" si="952"/>
        <v>0</v>
      </c>
      <c r="AO551" s="319">
        <f t="shared" si="952"/>
        <v>0</v>
      </c>
      <c r="AP551" s="319">
        <f t="shared" si="952"/>
        <v>4535</v>
      </c>
      <c r="AQ551" s="319">
        <f t="shared" si="952"/>
        <v>0</v>
      </c>
      <c r="AR551" s="319">
        <f t="shared" si="952"/>
        <v>0</v>
      </c>
      <c r="AS551" s="319">
        <f t="shared" si="952"/>
        <v>0</v>
      </c>
      <c r="AT551" s="319">
        <f t="shared" si="952"/>
        <v>0</v>
      </c>
      <c r="AU551" s="319">
        <f t="shared" si="952"/>
        <v>0</v>
      </c>
      <c r="AV551" s="319">
        <f t="shared" si="952"/>
        <v>0</v>
      </c>
      <c r="AW551" s="319">
        <f t="shared" si="952"/>
        <v>0</v>
      </c>
      <c r="AX551" s="319">
        <f t="shared" si="952"/>
        <v>0</v>
      </c>
      <c r="AY551" s="319">
        <f t="shared" si="952"/>
        <v>0</v>
      </c>
      <c r="AZ551" s="319">
        <f t="shared" si="952"/>
        <v>0</v>
      </c>
      <c r="BA551" s="319">
        <f t="shared" si="952"/>
        <v>0</v>
      </c>
      <c r="BB551" s="319">
        <f t="shared" si="952"/>
        <v>0</v>
      </c>
      <c r="BC551" s="319">
        <f t="shared" si="952"/>
        <v>0</v>
      </c>
      <c r="BD551" s="319">
        <f t="shared" si="952"/>
        <v>0</v>
      </c>
      <c r="BE551" s="319">
        <f t="shared" si="952"/>
        <v>0</v>
      </c>
      <c r="BF551" s="319">
        <f t="shared" si="952"/>
        <v>0</v>
      </c>
      <c r="BG551" s="319">
        <f t="shared" si="952"/>
        <v>0</v>
      </c>
      <c r="BH551" s="319">
        <f t="shared" si="952"/>
        <v>0</v>
      </c>
      <c r="BI551" s="319">
        <f t="shared" si="952"/>
        <v>0</v>
      </c>
      <c r="BJ551" s="319">
        <f t="shared" si="952"/>
        <v>0</v>
      </c>
      <c r="BK551" s="319">
        <f t="shared" si="952"/>
        <v>0</v>
      </c>
      <c r="BL551" s="319">
        <f t="shared" si="952"/>
        <v>0</v>
      </c>
      <c r="BM551" s="319">
        <f t="shared" si="952"/>
        <v>0</v>
      </c>
      <c r="BN551" s="319">
        <f t="shared" si="952"/>
        <v>4535</v>
      </c>
      <c r="BO551" s="319">
        <f t="shared" si="952"/>
        <v>0</v>
      </c>
      <c r="BP551" s="319">
        <f t="shared" si="952"/>
        <v>4535</v>
      </c>
      <c r="BQ551" s="319">
        <f t="shared" si="952"/>
        <v>6455</v>
      </c>
      <c r="BR551" s="319">
        <f t="shared" si="952"/>
        <v>0</v>
      </c>
      <c r="BS551" s="319">
        <f t="shared" si="952"/>
        <v>6455</v>
      </c>
      <c r="BT551" s="319">
        <f t="shared" si="952"/>
        <v>0</v>
      </c>
      <c r="BU551" s="319">
        <f t="shared" si="952"/>
        <v>4535</v>
      </c>
      <c r="BV551" s="319">
        <f t="shared" si="952"/>
        <v>6455</v>
      </c>
      <c r="BW551" s="319">
        <f t="shared" si="952"/>
        <v>4535</v>
      </c>
      <c r="BX551" s="1"/>
      <c r="BY551" s="1"/>
      <c r="BZ551" s="1"/>
      <c r="CA551" s="1"/>
      <c r="CB551" s="1"/>
      <c r="CC551" s="1"/>
      <c r="CD551" s="1"/>
      <c r="CE551" s="1"/>
      <c r="CF551" s="1"/>
      <c r="CG551" s="1"/>
    </row>
    <row r="552" spans="1:85" ht="15.75" customHeight="1">
      <c r="A552" s="313"/>
      <c r="B552" s="418"/>
      <c r="C552" s="416" t="s">
        <v>276</v>
      </c>
      <c r="D552" s="317" t="s">
        <v>959</v>
      </c>
      <c r="E552" s="319">
        <f>E81+E82+E252+E292+E293</f>
        <v>290000</v>
      </c>
      <c r="F552" s="319">
        <f>F81+F82+F252+F292+F293</f>
        <v>0</v>
      </c>
      <c r="G552" s="319">
        <f>G81+G82+G252+G292+G293</f>
        <v>290000</v>
      </c>
      <c r="H552" s="319">
        <f t="shared" ref="H552:K552" si="953">H81+H82+H252+H292+H293</f>
        <v>110000</v>
      </c>
      <c r="I552" s="319">
        <f t="shared" si="953"/>
        <v>0.31441965517241377</v>
      </c>
      <c r="J552" s="319">
        <f t="shared" si="953"/>
        <v>0.30189334482758623</v>
      </c>
      <c r="K552" s="319">
        <f t="shared" si="953"/>
        <v>91181.7</v>
      </c>
      <c r="L552" s="319">
        <f t="shared" ref="L552:W552" si="954">L81+L82+L252+L292+L293</f>
        <v>235109.74</v>
      </c>
      <c r="M552" s="319">
        <f t="shared" si="954"/>
        <v>0</v>
      </c>
      <c r="N552" s="319">
        <f t="shared" si="954"/>
        <v>28455.78</v>
      </c>
      <c r="O552" s="319">
        <f t="shared" si="954"/>
        <v>87549.07</v>
      </c>
      <c r="P552" s="319">
        <f t="shared" si="954"/>
        <v>235109.74</v>
      </c>
      <c r="Q552" s="319">
        <f t="shared" si="954"/>
        <v>28455.78</v>
      </c>
      <c r="R552" s="320">
        <f t="shared" si="954"/>
        <v>87549.07</v>
      </c>
      <c r="S552" s="320">
        <f t="shared" si="954"/>
        <v>235109.74</v>
      </c>
      <c r="T552" s="320">
        <f t="shared" si="954"/>
        <v>28455.78</v>
      </c>
      <c r="U552" s="386">
        <f t="shared" si="954"/>
        <v>3632.6299999999901</v>
      </c>
      <c r="V552" s="386">
        <f t="shared" si="954"/>
        <v>0</v>
      </c>
      <c r="W552" s="386">
        <f t="shared" si="954"/>
        <v>0</v>
      </c>
      <c r="X552" s="310">
        <f t="shared" si="889"/>
        <v>0.96016053659890099</v>
      </c>
      <c r="Y552" s="310">
        <f t="shared" si="890"/>
        <v>1</v>
      </c>
      <c r="Z552" s="310">
        <f t="shared" si="790"/>
        <v>1</v>
      </c>
      <c r="AA552" s="319">
        <f t="shared" ref="AA552:BW552" si="955">AA81+AA82+AA252+AA292+AA293</f>
        <v>0</v>
      </c>
      <c r="AB552" s="319">
        <f t="shared" si="955"/>
        <v>31804.18</v>
      </c>
      <c r="AC552" s="319">
        <f t="shared" si="955"/>
        <v>0</v>
      </c>
      <c r="AD552" s="319">
        <f t="shared" si="955"/>
        <v>0</v>
      </c>
      <c r="AE552" s="319">
        <f t="shared" si="955"/>
        <v>31683.949999999997</v>
      </c>
      <c r="AF552" s="319">
        <f t="shared" si="955"/>
        <v>0</v>
      </c>
      <c r="AG552" s="319">
        <f t="shared" si="955"/>
        <v>0</v>
      </c>
      <c r="AH552" s="319">
        <f t="shared" si="955"/>
        <v>64242.91</v>
      </c>
      <c r="AI552" s="319">
        <f t="shared" si="955"/>
        <v>0</v>
      </c>
      <c r="AJ552" s="319">
        <f t="shared" si="955"/>
        <v>0</v>
      </c>
      <c r="AK552" s="319">
        <f t="shared" si="955"/>
        <v>68622.81</v>
      </c>
      <c r="AL552" s="319">
        <f t="shared" si="955"/>
        <v>0</v>
      </c>
      <c r="AM552" s="319">
        <f t="shared" si="955"/>
        <v>0</v>
      </c>
      <c r="AN552" s="319">
        <f t="shared" si="955"/>
        <v>0</v>
      </c>
      <c r="AO552" s="319">
        <f t="shared" si="955"/>
        <v>0</v>
      </c>
      <c r="AP552" s="319">
        <f t="shared" si="955"/>
        <v>51810.770000000004</v>
      </c>
      <c r="AQ552" s="319">
        <f t="shared" si="955"/>
        <v>38755.89</v>
      </c>
      <c r="AR552" s="319">
        <f t="shared" si="955"/>
        <v>0</v>
      </c>
      <c r="AS552" s="319">
        <f t="shared" si="955"/>
        <v>0</v>
      </c>
      <c r="AT552" s="319">
        <f t="shared" si="955"/>
        <v>0</v>
      </c>
      <c r="AU552" s="319">
        <f t="shared" si="955"/>
        <v>0</v>
      </c>
      <c r="AV552" s="319">
        <f t="shared" si="955"/>
        <v>32996.94</v>
      </c>
      <c r="AW552" s="319">
        <f t="shared" si="955"/>
        <v>0</v>
      </c>
      <c r="AX552" s="319">
        <f t="shared" si="955"/>
        <v>28455.78</v>
      </c>
      <c r="AY552" s="319">
        <f t="shared" si="955"/>
        <v>2741.36</v>
      </c>
      <c r="AZ552" s="319">
        <f t="shared" si="955"/>
        <v>0</v>
      </c>
      <c r="BA552" s="319">
        <f t="shared" si="955"/>
        <v>0</v>
      </c>
      <c r="BB552" s="319">
        <f t="shared" si="955"/>
        <v>0</v>
      </c>
      <c r="BC552" s="319">
        <f t="shared" si="955"/>
        <v>0</v>
      </c>
      <c r="BD552" s="319">
        <f t="shared" si="955"/>
        <v>0</v>
      </c>
      <c r="BE552" s="319">
        <f t="shared" si="955"/>
        <v>0</v>
      </c>
      <c r="BF552" s="319">
        <f t="shared" si="955"/>
        <v>0</v>
      </c>
      <c r="BG552" s="319">
        <f t="shared" si="955"/>
        <v>0</v>
      </c>
      <c r="BH552" s="319">
        <f t="shared" si="955"/>
        <v>0</v>
      </c>
      <c r="BI552" s="319">
        <f t="shared" si="955"/>
        <v>0</v>
      </c>
      <c r="BJ552" s="319">
        <f t="shared" si="955"/>
        <v>0</v>
      </c>
      <c r="BK552" s="319">
        <f t="shared" si="955"/>
        <v>0</v>
      </c>
      <c r="BL552" s="319">
        <f t="shared" si="955"/>
        <v>0</v>
      </c>
      <c r="BM552" s="319">
        <f t="shared" si="955"/>
        <v>0</v>
      </c>
      <c r="BN552" s="319">
        <f t="shared" si="955"/>
        <v>87549.07</v>
      </c>
      <c r="BO552" s="319">
        <f t="shared" si="955"/>
        <v>28455.78</v>
      </c>
      <c r="BP552" s="319">
        <f t="shared" si="955"/>
        <v>116004.85</v>
      </c>
      <c r="BQ552" s="319">
        <f t="shared" si="955"/>
        <v>3632.6299999999901</v>
      </c>
      <c r="BR552" s="319">
        <f t="shared" si="955"/>
        <v>0</v>
      </c>
      <c r="BS552" s="319">
        <f t="shared" si="955"/>
        <v>3632.6299999999901</v>
      </c>
      <c r="BT552" s="319">
        <f t="shared" si="955"/>
        <v>0</v>
      </c>
      <c r="BU552" s="319">
        <f t="shared" si="955"/>
        <v>116004.85</v>
      </c>
      <c r="BV552" s="319">
        <f t="shared" si="955"/>
        <v>3632.6299999999901</v>
      </c>
      <c r="BW552" s="319">
        <f t="shared" si="955"/>
        <v>116004.85</v>
      </c>
      <c r="BX552" s="1"/>
      <c r="BY552" s="1"/>
      <c r="BZ552" s="1"/>
      <c r="CA552" s="1"/>
      <c r="CB552" s="1"/>
      <c r="CC552" s="1"/>
      <c r="CD552" s="1"/>
      <c r="CE552" s="1"/>
      <c r="CF552" s="1"/>
      <c r="CG552" s="1"/>
    </row>
    <row r="553" spans="1:85" ht="15.75" customHeight="1">
      <c r="A553" s="313"/>
      <c r="B553" s="418"/>
      <c r="C553" s="416" t="s">
        <v>281</v>
      </c>
      <c r="D553" s="325" t="s">
        <v>960</v>
      </c>
      <c r="E553" s="319">
        <f t="shared" ref="E553:G554" si="956">E84</f>
        <v>7000</v>
      </c>
      <c r="F553" s="319">
        <f t="shared" si="956"/>
        <v>0</v>
      </c>
      <c r="G553" s="319">
        <f t="shared" si="956"/>
        <v>7000</v>
      </c>
      <c r="H553" s="319">
        <f t="shared" ref="H553:K553" si="957">H84</f>
        <v>0</v>
      </c>
      <c r="I553" s="319">
        <f t="shared" si="957"/>
        <v>0</v>
      </c>
      <c r="J553" s="319">
        <f t="shared" si="957"/>
        <v>0</v>
      </c>
      <c r="K553" s="319">
        <f t="shared" si="957"/>
        <v>0</v>
      </c>
      <c r="L553" s="319">
        <f t="shared" ref="L553:W553" si="958">L84</f>
        <v>4253.1899999999996</v>
      </c>
      <c r="M553" s="319">
        <f t="shared" si="958"/>
        <v>0</v>
      </c>
      <c r="N553" s="319">
        <f t="shared" si="958"/>
        <v>0</v>
      </c>
      <c r="O553" s="319">
        <f t="shared" si="958"/>
        <v>0</v>
      </c>
      <c r="P553" s="319">
        <f t="shared" si="958"/>
        <v>1037.8800000000001</v>
      </c>
      <c r="Q553" s="319">
        <f t="shared" si="958"/>
        <v>0</v>
      </c>
      <c r="R553" s="320">
        <f t="shared" si="958"/>
        <v>0</v>
      </c>
      <c r="S553" s="320">
        <f t="shared" si="958"/>
        <v>1037.8800000000001</v>
      </c>
      <c r="T553" s="320">
        <f t="shared" si="958"/>
        <v>0</v>
      </c>
      <c r="U553" s="386">
        <f t="shared" si="958"/>
        <v>0</v>
      </c>
      <c r="V553" s="386">
        <f t="shared" si="958"/>
        <v>3215.3099999999995</v>
      </c>
      <c r="W553" s="386">
        <f t="shared" si="958"/>
        <v>0</v>
      </c>
      <c r="X553" s="310">
        <f t="shared" si="889"/>
        <v>0</v>
      </c>
      <c r="Y553" s="310">
        <f t="shared" si="890"/>
        <v>0.24402389735704264</v>
      </c>
      <c r="Z553" s="310">
        <f t="shared" si="790"/>
        <v>0</v>
      </c>
      <c r="AA553" s="319">
        <f t="shared" ref="AA553:BW553" si="959">AA84</f>
        <v>0</v>
      </c>
      <c r="AB553" s="319">
        <f t="shared" si="959"/>
        <v>0</v>
      </c>
      <c r="AC553" s="319">
        <f t="shared" si="959"/>
        <v>0</v>
      </c>
      <c r="AD553" s="319">
        <f t="shared" si="959"/>
        <v>0</v>
      </c>
      <c r="AE553" s="319">
        <f t="shared" si="959"/>
        <v>214.82</v>
      </c>
      <c r="AF553" s="319">
        <f t="shared" si="959"/>
        <v>0</v>
      </c>
      <c r="AG553" s="319">
        <f t="shared" si="959"/>
        <v>0</v>
      </c>
      <c r="AH553" s="319">
        <f t="shared" si="959"/>
        <v>0</v>
      </c>
      <c r="AI553" s="319">
        <f t="shared" si="959"/>
        <v>0</v>
      </c>
      <c r="AJ553" s="319">
        <f t="shared" si="959"/>
        <v>0</v>
      </c>
      <c r="AK553" s="319">
        <f t="shared" si="959"/>
        <v>222.75000000000003</v>
      </c>
      <c r="AL553" s="319">
        <f t="shared" si="959"/>
        <v>0</v>
      </c>
      <c r="AM553" s="319">
        <f t="shared" si="959"/>
        <v>0</v>
      </c>
      <c r="AN553" s="319">
        <f t="shared" si="959"/>
        <v>110.12</v>
      </c>
      <c r="AO553" s="319">
        <f t="shared" si="959"/>
        <v>0</v>
      </c>
      <c r="AP553" s="319">
        <f t="shared" si="959"/>
        <v>0</v>
      </c>
      <c r="AQ553" s="319">
        <f t="shared" si="959"/>
        <v>0</v>
      </c>
      <c r="AR553" s="319">
        <f t="shared" si="959"/>
        <v>0</v>
      </c>
      <c r="AS553" s="319">
        <f t="shared" si="959"/>
        <v>0</v>
      </c>
      <c r="AT553" s="319">
        <f t="shared" si="959"/>
        <v>236.39</v>
      </c>
      <c r="AU553" s="319">
        <f t="shared" si="959"/>
        <v>0</v>
      </c>
      <c r="AV553" s="319">
        <f t="shared" si="959"/>
        <v>0</v>
      </c>
      <c r="AW553" s="319">
        <f t="shared" si="959"/>
        <v>126.9</v>
      </c>
      <c r="AX553" s="319">
        <f t="shared" si="959"/>
        <v>0</v>
      </c>
      <c r="AY553" s="319">
        <f t="shared" si="959"/>
        <v>0</v>
      </c>
      <c r="AZ553" s="319">
        <f t="shared" si="959"/>
        <v>126.9</v>
      </c>
      <c r="BA553" s="319">
        <f t="shared" si="959"/>
        <v>0</v>
      </c>
      <c r="BB553" s="319">
        <f t="shared" si="959"/>
        <v>0</v>
      </c>
      <c r="BC553" s="319">
        <f t="shared" si="959"/>
        <v>0</v>
      </c>
      <c r="BD553" s="319">
        <f t="shared" si="959"/>
        <v>0</v>
      </c>
      <c r="BE553" s="319">
        <f t="shared" si="959"/>
        <v>0</v>
      </c>
      <c r="BF553" s="319">
        <f t="shared" si="959"/>
        <v>0</v>
      </c>
      <c r="BG553" s="319">
        <f t="shared" si="959"/>
        <v>0</v>
      </c>
      <c r="BH553" s="319">
        <f t="shared" si="959"/>
        <v>0</v>
      </c>
      <c r="BI553" s="319">
        <f t="shared" si="959"/>
        <v>0</v>
      </c>
      <c r="BJ553" s="319">
        <f t="shared" si="959"/>
        <v>0</v>
      </c>
      <c r="BK553" s="319">
        <f t="shared" si="959"/>
        <v>0</v>
      </c>
      <c r="BL553" s="319">
        <f t="shared" si="959"/>
        <v>0</v>
      </c>
      <c r="BM553" s="319">
        <f t="shared" si="959"/>
        <v>0</v>
      </c>
      <c r="BN553" s="319">
        <f t="shared" si="959"/>
        <v>0</v>
      </c>
      <c r="BO553" s="319">
        <f t="shared" si="959"/>
        <v>0</v>
      </c>
      <c r="BP553" s="319">
        <f t="shared" si="959"/>
        <v>0</v>
      </c>
      <c r="BQ553" s="319">
        <f t="shared" si="959"/>
        <v>0</v>
      </c>
      <c r="BR553" s="319">
        <f t="shared" si="959"/>
        <v>0</v>
      </c>
      <c r="BS553" s="319">
        <f t="shared" si="959"/>
        <v>0</v>
      </c>
      <c r="BT553" s="319">
        <f t="shared" si="959"/>
        <v>3215.3099999999995</v>
      </c>
      <c r="BU553" s="319">
        <f t="shared" si="959"/>
        <v>0</v>
      </c>
      <c r="BV553" s="319">
        <f t="shared" si="959"/>
        <v>0</v>
      </c>
      <c r="BW553" s="319">
        <f t="shared" si="959"/>
        <v>3215.3099999999995</v>
      </c>
      <c r="BX553" s="1"/>
      <c r="BY553" s="1"/>
      <c r="BZ553" s="1"/>
      <c r="CA553" s="1"/>
      <c r="CB553" s="1"/>
      <c r="CC553" s="1"/>
      <c r="CD553" s="1"/>
      <c r="CE553" s="1"/>
      <c r="CF553" s="1"/>
      <c r="CG553" s="1"/>
    </row>
    <row r="554" spans="1:85" ht="15.75" customHeight="1">
      <c r="A554" s="313"/>
      <c r="B554" s="418"/>
      <c r="C554" s="417" t="s">
        <v>285</v>
      </c>
      <c r="D554" s="311" t="s">
        <v>961</v>
      </c>
      <c r="E554" s="319">
        <f t="shared" si="956"/>
        <v>8000</v>
      </c>
      <c r="F554" s="319">
        <f t="shared" si="956"/>
        <v>0</v>
      </c>
      <c r="G554" s="319">
        <f t="shared" si="956"/>
        <v>8000</v>
      </c>
      <c r="H554" s="319">
        <f t="shared" ref="H554:K554" si="960">H85</f>
        <v>0</v>
      </c>
      <c r="I554" s="319">
        <f t="shared" si="960"/>
        <v>0.16666250000000002</v>
      </c>
      <c r="J554" s="319">
        <f t="shared" si="960"/>
        <v>4.3355000000000005E-2</v>
      </c>
      <c r="K554" s="319">
        <f t="shared" si="960"/>
        <v>1333.3000000000002</v>
      </c>
      <c r="L554" s="319">
        <f t="shared" ref="L554:W554" si="961">L85</f>
        <v>185.91</v>
      </c>
      <c r="M554" s="319">
        <f t="shared" si="961"/>
        <v>0.63</v>
      </c>
      <c r="N554" s="319">
        <f t="shared" si="961"/>
        <v>0</v>
      </c>
      <c r="O554" s="319">
        <f t="shared" si="961"/>
        <v>346.84000000000003</v>
      </c>
      <c r="P554" s="319">
        <f t="shared" si="961"/>
        <v>185.28000000000003</v>
      </c>
      <c r="Q554" s="319">
        <f t="shared" si="961"/>
        <v>0</v>
      </c>
      <c r="R554" s="320">
        <f t="shared" si="961"/>
        <v>346.84000000000003</v>
      </c>
      <c r="S554" s="320">
        <f t="shared" si="961"/>
        <v>185.28000000000003</v>
      </c>
      <c r="T554" s="320">
        <f t="shared" si="961"/>
        <v>0</v>
      </c>
      <c r="U554" s="386">
        <f t="shared" si="961"/>
        <v>986.46000000000015</v>
      </c>
      <c r="V554" s="386">
        <f t="shared" si="961"/>
        <v>-3.2973623831367149E-14</v>
      </c>
      <c r="W554" s="386">
        <f t="shared" si="961"/>
        <v>0</v>
      </c>
      <c r="X554" s="310">
        <f t="shared" si="889"/>
        <v>0.26013650341258532</v>
      </c>
      <c r="Y554" s="310">
        <f t="shared" si="890"/>
        <v>0.99661126351460405</v>
      </c>
      <c r="Z554" s="310">
        <f t="shared" si="790"/>
        <v>0</v>
      </c>
      <c r="AA554" s="319">
        <f t="shared" ref="AA554:BW554" si="962">AA85</f>
        <v>0</v>
      </c>
      <c r="AB554" s="319">
        <f t="shared" si="962"/>
        <v>0</v>
      </c>
      <c r="AC554" s="319">
        <f t="shared" si="962"/>
        <v>0</v>
      </c>
      <c r="AD554" s="319">
        <f t="shared" si="962"/>
        <v>0</v>
      </c>
      <c r="AE554" s="319">
        <f t="shared" si="962"/>
        <v>92.93</v>
      </c>
      <c r="AF554" s="319">
        <f t="shared" si="962"/>
        <v>0</v>
      </c>
      <c r="AG554" s="319">
        <f t="shared" si="962"/>
        <v>0</v>
      </c>
      <c r="AH554" s="319">
        <f t="shared" si="962"/>
        <v>70.930000000000007</v>
      </c>
      <c r="AI554" s="319">
        <f t="shared" si="962"/>
        <v>0</v>
      </c>
      <c r="AJ554" s="319">
        <f t="shared" si="962"/>
        <v>2.23</v>
      </c>
      <c r="AK554" s="319">
        <f t="shared" si="962"/>
        <v>21.42</v>
      </c>
      <c r="AL554" s="319">
        <f t="shared" si="962"/>
        <v>0</v>
      </c>
      <c r="AM554" s="319">
        <f t="shared" si="962"/>
        <v>66.14</v>
      </c>
      <c r="AN554" s="319">
        <f t="shared" si="962"/>
        <v>0</v>
      </c>
      <c r="AO554" s="319">
        <f t="shared" si="962"/>
        <v>0</v>
      </c>
      <c r="AP554" s="319">
        <f t="shared" si="962"/>
        <v>278.47000000000003</v>
      </c>
      <c r="AQ554" s="319">
        <f t="shared" si="962"/>
        <v>0</v>
      </c>
      <c r="AR554" s="319">
        <f t="shared" si="962"/>
        <v>0</v>
      </c>
      <c r="AS554" s="319">
        <f t="shared" si="962"/>
        <v>0</v>
      </c>
      <c r="AT554" s="319">
        <f t="shared" si="962"/>
        <v>0</v>
      </c>
      <c r="AU554" s="319">
        <f t="shared" si="962"/>
        <v>0</v>
      </c>
      <c r="AV554" s="319">
        <f t="shared" si="962"/>
        <v>0</v>
      </c>
      <c r="AW554" s="319">
        <f t="shared" si="962"/>
        <v>0</v>
      </c>
      <c r="AX554" s="319">
        <f t="shared" si="962"/>
        <v>0</v>
      </c>
      <c r="AY554" s="319">
        <f t="shared" si="962"/>
        <v>0</v>
      </c>
      <c r="AZ554" s="319">
        <f t="shared" si="962"/>
        <v>0</v>
      </c>
      <c r="BA554" s="319">
        <f t="shared" si="962"/>
        <v>0</v>
      </c>
      <c r="BB554" s="319">
        <f t="shared" si="962"/>
        <v>0</v>
      </c>
      <c r="BC554" s="319">
        <f t="shared" si="962"/>
        <v>0</v>
      </c>
      <c r="BD554" s="319">
        <f t="shared" si="962"/>
        <v>0</v>
      </c>
      <c r="BE554" s="319">
        <f t="shared" si="962"/>
        <v>0</v>
      </c>
      <c r="BF554" s="319">
        <f t="shared" si="962"/>
        <v>0</v>
      </c>
      <c r="BG554" s="319">
        <f t="shared" si="962"/>
        <v>0</v>
      </c>
      <c r="BH554" s="319">
        <f t="shared" si="962"/>
        <v>0</v>
      </c>
      <c r="BI554" s="319">
        <f t="shared" si="962"/>
        <v>0</v>
      </c>
      <c r="BJ554" s="319">
        <f t="shared" si="962"/>
        <v>0</v>
      </c>
      <c r="BK554" s="319">
        <f t="shared" si="962"/>
        <v>0</v>
      </c>
      <c r="BL554" s="319">
        <f t="shared" si="962"/>
        <v>0</v>
      </c>
      <c r="BM554" s="319">
        <f t="shared" si="962"/>
        <v>0</v>
      </c>
      <c r="BN554" s="319">
        <f t="shared" si="962"/>
        <v>346.84000000000003</v>
      </c>
      <c r="BO554" s="319">
        <f t="shared" si="962"/>
        <v>0</v>
      </c>
      <c r="BP554" s="319">
        <f t="shared" si="962"/>
        <v>346.84000000000003</v>
      </c>
      <c r="BQ554" s="319">
        <f t="shared" si="962"/>
        <v>986.46000000000015</v>
      </c>
      <c r="BR554" s="319">
        <f t="shared" si="962"/>
        <v>0</v>
      </c>
      <c r="BS554" s="319">
        <f t="shared" si="962"/>
        <v>986.46000000000015</v>
      </c>
      <c r="BT554" s="319">
        <f t="shared" si="962"/>
        <v>0</v>
      </c>
      <c r="BU554" s="319">
        <f t="shared" si="962"/>
        <v>346.84000000000003</v>
      </c>
      <c r="BV554" s="319">
        <f t="shared" si="962"/>
        <v>986.46000000000015</v>
      </c>
      <c r="BW554" s="319">
        <f t="shared" si="962"/>
        <v>346.84000000000003</v>
      </c>
      <c r="BX554" s="1"/>
      <c r="BY554" s="1"/>
      <c r="BZ554" s="1"/>
      <c r="CA554" s="1"/>
      <c r="CB554" s="1"/>
      <c r="CC554" s="1"/>
      <c r="CD554" s="1"/>
      <c r="CE554" s="1"/>
      <c r="CF554" s="1"/>
      <c r="CG554" s="1"/>
    </row>
    <row r="555" spans="1:85" ht="15.75" customHeight="1">
      <c r="A555" s="313"/>
      <c r="B555" s="418"/>
      <c r="C555" s="416" t="s">
        <v>357</v>
      </c>
      <c r="D555" s="311" t="s">
        <v>962</v>
      </c>
      <c r="E555" s="319">
        <f>E120+E227+E240</f>
        <v>44600</v>
      </c>
      <c r="F555" s="319">
        <f>F120+F227+F240</f>
        <v>0</v>
      </c>
      <c r="G555" s="319">
        <f>G120+G227+G240</f>
        <v>44600</v>
      </c>
      <c r="H555" s="319">
        <f t="shared" ref="H555:K555" si="963">H120+H227+H240</f>
        <v>0</v>
      </c>
      <c r="I555" s="319">
        <f t="shared" si="963"/>
        <v>0</v>
      </c>
      <c r="J555" s="319">
        <f t="shared" si="963"/>
        <v>0</v>
      </c>
      <c r="K555" s="319">
        <f t="shared" si="963"/>
        <v>0</v>
      </c>
      <c r="L555" s="319">
        <f t="shared" ref="L555:W555" si="964">L120+L227+L240</f>
        <v>0</v>
      </c>
      <c r="M555" s="319">
        <f t="shared" si="964"/>
        <v>0</v>
      </c>
      <c r="N555" s="319">
        <f t="shared" si="964"/>
        <v>0</v>
      </c>
      <c r="O555" s="319">
        <f t="shared" si="964"/>
        <v>0</v>
      </c>
      <c r="P555" s="319">
        <f t="shared" si="964"/>
        <v>0</v>
      </c>
      <c r="Q555" s="319">
        <f t="shared" si="964"/>
        <v>0</v>
      </c>
      <c r="R555" s="320">
        <f t="shared" si="964"/>
        <v>0</v>
      </c>
      <c r="S555" s="320">
        <f t="shared" si="964"/>
        <v>0</v>
      </c>
      <c r="T555" s="320">
        <f t="shared" si="964"/>
        <v>0</v>
      </c>
      <c r="U555" s="386">
        <f t="shared" si="964"/>
        <v>0</v>
      </c>
      <c r="V555" s="386">
        <f t="shared" si="964"/>
        <v>0</v>
      </c>
      <c r="W555" s="386">
        <f t="shared" si="964"/>
        <v>0</v>
      </c>
      <c r="X555" s="310">
        <f t="shared" si="889"/>
        <v>0</v>
      </c>
      <c r="Y555" s="310">
        <f t="shared" si="890"/>
        <v>0</v>
      </c>
      <c r="Z555" s="310">
        <f t="shared" si="790"/>
        <v>0</v>
      </c>
      <c r="AA555" s="319">
        <f t="shared" ref="AA555:BW555" si="965">AA120+AA227+AA240</f>
        <v>0</v>
      </c>
      <c r="AB555" s="319">
        <f t="shared" si="965"/>
        <v>0</v>
      </c>
      <c r="AC555" s="319">
        <f t="shared" si="965"/>
        <v>0</v>
      </c>
      <c r="AD555" s="319">
        <f t="shared" si="965"/>
        <v>0</v>
      </c>
      <c r="AE555" s="319">
        <f t="shared" si="965"/>
        <v>0</v>
      </c>
      <c r="AF555" s="319">
        <f t="shared" si="965"/>
        <v>0</v>
      </c>
      <c r="AG555" s="319">
        <f t="shared" si="965"/>
        <v>0</v>
      </c>
      <c r="AH555" s="319">
        <f t="shared" si="965"/>
        <v>0</v>
      </c>
      <c r="AI555" s="319">
        <f t="shared" si="965"/>
        <v>0</v>
      </c>
      <c r="AJ555" s="319">
        <f t="shared" si="965"/>
        <v>0</v>
      </c>
      <c r="AK555" s="319">
        <f t="shared" si="965"/>
        <v>0</v>
      </c>
      <c r="AL555" s="319">
        <f t="shared" si="965"/>
        <v>0</v>
      </c>
      <c r="AM555" s="319">
        <f t="shared" si="965"/>
        <v>0</v>
      </c>
      <c r="AN555" s="319">
        <f t="shared" si="965"/>
        <v>0</v>
      </c>
      <c r="AO555" s="319">
        <f t="shared" si="965"/>
        <v>0</v>
      </c>
      <c r="AP555" s="319">
        <f t="shared" si="965"/>
        <v>0</v>
      </c>
      <c r="AQ555" s="319">
        <f t="shared" si="965"/>
        <v>0</v>
      </c>
      <c r="AR555" s="319">
        <f t="shared" si="965"/>
        <v>0</v>
      </c>
      <c r="AS555" s="319">
        <f t="shared" si="965"/>
        <v>0</v>
      </c>
      <c r="AT555" s="319">
        <f t="shared" si="965"/>
        <v>0</v>
      </c>
      <c r="AU555" s="319">
        <f t="shared" si="965"/>
        <v>0</v>
      </c>
      <c r="AV555" s="319">
        <f t="shared" si="965"/>
        <v>0</v>
      </c>
      <c r="AW555" s="319">
        <f t="shared" si="965"/>
        <v>0</v>
      </c>
      <c r="AX555" s="319">
        <f t="shared" si="965"/>
        <v>0</v>
      </c>
      <c r="AY555" s="319">
        <f t="shared" si="965"/>
        <v>0</v>
      </c>
      <c r="AZ555" s="319">
        <f t="shared" si="965"/>
        <v>0</v>
      </c>
      <c r="BA555" s="319">
        <f t="shared" si="965"/>
        <v>0</v>
      </c>
      <c r="BB555" s="319">
        <f t="shared" si="965"/>
        <v>0</v>
      </c>
      <c r="BC555" s="319">
        <f t="shared" si="965"/>
        <v>0</v>
      </c>
      <c r="BD555" s="319">
        <f t="shared" si="965"/>
        <v>0</v>
      </c>
      <c r="BE555" s="319">
        <f t="shared" si="965"/>
        <v>0</v>
      </c>
      <c r="BF555" s="319">
        <f t="shared" si="965"/>
        <v>0</v>
      </c>
      <c r="BG555" s="319">
        <f t="shared" si="965"/>
        <v>0</v>
      </c>
      <c r="BH555" s="319">
        <f t="shared" si="965"/>
        <v>0</v>
      </c>
      <c r="BI555" s="319">
        <f t="shared" si="965"/>
        <v>0</v>
      </c>
      <c r="BJ555" s="319">
        <f t="shared" si="965"/>
        <v>0</v>
      </c>
      <c r="BK555" s="319">
        <f t="shared" si="965"/>
        <v>0</v>
      </c>
      <c r="BL555" s="319">
        <f t="shared" si="965"/>
        <v>0</v>
      </c>
      <c r="BM555" s="319">
        <f t="shared" si="965"/>
        <v>0</v>
      </c>
      <c r="BN555" s="319">
        <f t="shared" si="965"/>
        <v>0</v>
      </c>
      <c r="BO555" s="319">
        <f t="shared" si="965"/>
        <v>0</v>
      </c>
      <c r="BP555" s="319">
        <f t="shared" si="965"/>
        <v>0</v>
      </c>
      <c r="BQ555" s="319">
        <f t="shared" si="965"/>
        <v>0</v>
      </c>
      <c r="BR555" s="319">
        <f t="shared" si="965"/>
        <v>0</v>
      </c>
      <c r="BS555" s="319">
        <f t="shared" si="965"/>
        <v>0</v>
      </c>
      <c r="BT555" s="319">
        <f t="shared" si="965"/>
        <v>0</v>
      </c>
      <c r="BU555" s="319">
        <f t="shared" si="965"/>
        <v>0</v>
      </c>
      <c r="BV555" s="319">
        <f t="shared" si="965"/>
        <v>0</v>
      </c>
      <c r="BW555" s="319">
        <f t="shared" si="965"/>
        <v>0</v>
      </c>
      <c r="BX555" s="1"/>
      <c r="BY555" s="1"/>
      <c r="BZ555" s="1"/>
      <c r="CA555" s="1"/>
      <c r="CB555" s="1"/>
      <c r="CC555" s="1"/>
      <c r="CD555" s="1"/>
      <c r="CE555" s="1"/>
      <c r="CF555" s="1"/>
      <c r="CG555" s="1"/>
    </row>
    <row r="556" spans="1:85" ht="15.75" customHeight="1">
      <c r="A556" s="313"/>
      <c r="B556" s="418"/>
      <c r="C556" s="416" t="s">
        <v>755</v>
      </c>
      <c r="D556" s="326" t="s">
        <v>756</v>
      </c>
      <c r="E556" s="319">
        <f>E395</f>
        <v>10000</v>
      </c>
      <c r="F556" s="319">
        <f>F395</f>
        <v>0</v>
      </c>
      <c r="G556" s="319">
        <f>G395</f>
        <v>10000</v>
      </c>
      <c r="H556" s="319">
        <f t="shared" ref="H556:K556" si="966">H395</f>
        <v>0</v>
      </c>
      <c r="I556" s="319">
        <f t="shared" si="966"/>
        <v>0</v>
      </c>
      <c r="J556" s="319">
        <f t="shared" si="966"/>
        <v>0</v>
      </c>
      <c r="K556" s="319">
        <f t="shared" si="966"/>
        <v>0</v>
      </c>
      <c r="L556" s="320">
        <f t="shared" ref="L556:W556" si="967">L395</f>
        <v>0</v>
      </c>
      <c r="M556" s="320">
        <f t="shared" si="967"/>
        <v>0</v>
      </c>
      <c r="N556" s="320">
        <f t="shared" si="967"/>
        <v>0</v>
      </c>
      <c r="O556" s="319">
        <f t="shared" si="967"/>
        <v>0</v>
      </c>
      <c r="P556" s="319">
        <f t="shared" si="967"/>
        <v>0</v>
      </c>
      <c r="Q556" s="319">
        <f t="shared" si="967"/>
        <v>0</v>
      </c>
      <c r="R556" s="320">
        <f t="shared" si="967"/>
        <v>0</v>
      </c>
      <c r="S556" s="320">
        <f t="shared" si="967"/>
        <v>0</v>
      </c>
      <c r="T556" s="320">
        <f t="shared" si="967"/>
        <v>0</v>
      </c>
      <c r="U556" s="386">
        <f t="shared" si="967"/>
        <v>0</v>
      </c>
      <c r="V556" s="386">
        <f t="shared" si="967"/>
        <v>0</v>
      </c>
      <c r="W556" s="386">
        <f t="shared" si="967"/>
        <v>0</v>
      </c>
      <c r="X556" s="310">
        <f t="shared" si="889"/>
        <v>0</v>
      </c>
      <c r="Y556" s="310">
        <f t="shared" si="890"/>
        <v>0</v>
      </c>
      <c r="Z556" s="310">
        <f t="shared" si="790"/>
        <v>0</v>
      </c>
      <c r="AA556" s="320">
        <f t="shared" ref="AA556:BW556" si="968">AA395</f>
        <v>0</v>
      </c>
      <c r="AB556" s="320">
        <f t="shared" si="968"/>
        <v>0</v>
      </c>
      <c r="AC556" s="320">
        <f t="shared" si="968"/>
        <v>0</v>
      </c>
      <c r="AD556" s="320">
        <f t="shared" si="968"/>
        <v>0</v>
      </c>
      <c r="AE556" s="320">
        <f t="shared" si="968"/>
        <v>0</v>
      </c>
      <c r="AF556" s="320">
        <f t="shared" si="968"/>
        <v>0</v>
      </c>
      <c r="AG556" s="320">
        <f t="shared" si="968"/>
        <v>0</v>
      </c>
      <c r="AH556" s="320">
        <f t="shared" si="968"/>
        <v>0</v>
      </c>
      <c r="AI556" s="320">
        <f t="shared" si="968"/>
        <v>0</v>
      </c>
      <c r="AJ556" s="320">
        <f t="shared" si="968"/>
        <v>0</v>
      </c>
      <c r="AK556" s="320">
        <f t="shared" si="968"/>
        <v>0</v>
      </c>
      <c r="AL556" s="320">
        <f t="shared" si="968"/>
        <v>0</v>
      </c>
      <c r="AM556" s="320">
        <f t="shared" si="968"/>
        <v>0</v>
      </c>
      <c r="AN556" s="320">
        <f t="shared" si="968"/>
        <v>0</v>
      </c>
      <c r="AO556" s="320">
        <f t="shared" si="968"/>
        <v>0</v>
      </c>
      <c r="AP556" s="320">
        <f t="shared" si="968"/>
        <v>0</v>
      </c>
      <c r="AQ556" s="320">
        <f t="shared" si="968"/>
        <v>0</v>
      </c>
      <c r="AR556" s="320">
        <f t="shared" si="968"/>
        <v>0</v>
      </c>
      <c r="AS556" s="320">
        <f t="shared" si="968"/>
        <v>0</v>
      </c>
      <c r="AT556" s="320">
        <f t="shared" si="968"/>
        <v>0</v>
      </c>
      <c r="AU556" s="320">
        <f t="shared" si="968"/>
        <v>0</v>
      </c>
      <c r="AV556" s="320">
        <f t="shared" si="968"/>
        <v>0</v>
      </c>
      <c r="AW556" s="320">
        <f t="shared" si="968"/>
        <v>0</v>
      </c>
      <c r="AX556" s="320">
        <f t="shared" si="968"/>
        <v>0</v>
      </c>
      <c r="AY556" s="320">
        <f t="shared" si="968"/>
        <v>0</v>
      </c>
      <c r="AZ556" s="320">
        <f t="shared" si="968"/>
        <v>0</v>
      </c>
      <c r="BA556" s="320">
        <f t="shared" si="968"/>
        <v>0</v>
      </c>
      <c r="BB556" s="320">
        <f t="shared" si="968"/>
        <v>0</v>
      </c>
      <c r="BC556" s="320">
        <f t="shared" si="968"/>
        <v>0</v>
      </c>
      <c r="BD556" s="320">
        <f t="shared" si="968"/>
        <v>0</v>
      </c>
      <c r="BE556" s="320">
        <f t="shared" si="968"/>
        <v>0</v>
      </c>
      <c r="BF556" s="320">
        <f t="shared" si="968"/>
        <v>0</v>
      </c>
      <c r="BG556" s="320">
        <f t="shared" si="968"/>
        <v>0</v>
      </c>
      <c r="BH556" s="320">
        <f t="shared" si="968"/>
        <v>0</v>
      </c>
      <c r="BI556" s="320">
        <f t="shared" si="968"/>
        <v>0</v>
      </c>
      <c r="BJ556" s="320">
        <f t="shared" si="968"/>
        <v>0</v>
      </c>
      <c r="BK556" s="320">
        <f t="shared" si="968"/>
        <v>0</v>
      </c>
      <c r="BL556" s="320">
        <f t="shared" si="968"/>
        <v>0</v>
      </c>
      <c r="BM556" s="320">
        <f t="shared" si="968"/>
        <v>0</v>
      </c>
      <c r="BN556" s="319">
        <f t="shared" si="968"/>
        <v>0</v>
      </c>
      <c r="BO556" s="319">
        <f t="shared" si="968"/>
        <v>0</v>
      </c>
      <c r="BP556" s="319">
        <f t="shared" si="968"/>
        <v>0</v>
      </c>
      <c r="BQ556" s="319">
        <f t="shared" si="968"/>
        <v>0</v>
      </c>
      <c r="BR556" s="319">
        <f t="shared" si="968"/>
        <v>0</v>
      </c>
      <c r="BS556" s="319">
        <f t="shared" si="968"/>
        <v>0</v>
      </c>
      <c r="BT556" s="319">
        <f t="shared" si="968"/>
        <v>0</v>
      </c>
      <c r="BU556" s="319">
        <f t="shared" si="968"/>
        <v>0</v>
      </c>
      <c r="BV556" s="319">
        <f t="shared" si="968"/>
        <v>0</v>
      </c>
      <c r="BW556" s="319">
        <f t="shared" si="968"/>
        <v>0</v>
      </c>
      <c r="BX556" s="1"/>
      <c r="BY556" s="1"/>
      <c r="BZ556" s="1"/>
      <c r="CA556" s="1"/>
      <c r="CB556" s="1"/>
      <c r="CC556" s="1"/>
      <c r="CD556" s="1"/>
      <c r="CE556" s="1"/>
      <c r="CF556" s="1"/>
      <c r="CG556" s="1"/>
    </row>
    <row r="557" spans="1:85" ht="15.75" customHeight="1">
      <c r="A557" s="313"/>
      <c r="B557" s="418"/>
      <c r="C557" s="417" t="s">
        <v>288</v>
      </c>
      <c r="D557" s="311" t="s">
        <v>963</v>
      </c>
      <c r="E557" s="319">
        <f>E86+E465</f>
        <v>40000</v>
      </c>
      <c r="F557" s="319">
        <f>F86+F465</f>
        <v>0</v>
      </c>
      <c r="G557" s="319">
        <f>G86+G465</f>
        <v>40000</v>
      </c>
      <c r="H557" s="319">
        <f t="shared" ref="H557:K557" si="969">H86+H465</f>
        <v>0</v>
      </c>
      <c r="I557" s="319">
        <f t="shared" si="969"/>
        <v>0</v>
      </c>
      <c r="J557" s="319">
        <f t="shared" si="969"/>
        <v>0</v>
      </c>
      <c r="K557" s="319">
        <f t="shared" si="969"/>
        <v>0</v>
      </c>
      <c r="L557" s="319">
        <f t="shared" ref="L557:W557" si="970">L86+L465</f>
        <v>48650</v>
      </c>
      <c r="M557" s="319">
        <f t="shared" si="970"/>
        <v>0</v>
      </c>
      <c r="N557" s="319">
        <f t="shared" si="970"/>
        <v>0</v>
      </c>
      <c r="O557" s="319">
        <f t="shared" si="970"/>
        <v>0</v>
      </c>
      <c r="P557" s="319">
        <f t="shared" si="970"/>
        <v>48650</v>
      </c>
      <c r="Q557" s="319">
        <f t="shared" si="970"/>
        <v>0</v>
      </c>
      <c r="R557" s="320">
        <f t="shared" si="970"/>
        <v>0</v>
      </c>
      <c r="S557" s="320">
        <f t="shared" si="970"/>
        <v>48650</v>
      </c>
      <c r="T557" s="320">
        <f t="shared" si="970"/>
        <v>0</v>
      </c>
      <c r="U557" s="386">
        <f t="shared" si="970"/>
        <v>0</v>
      </c>
      <c r="V557" s="386">
        <f t="shared" si="970"/>
        <v>0</v>
      </c>
      <c r="W557" s="386">
        <f t="shared" si="970"/>
        <v>0</v>
      </c>
      <c r="X557" s="310">
        <f t="shared" si="889"/>
        <v>0</v>
      </c>
      <c r="Y557" s="310">
        <f t="shared" si="890"/>
        <v>1</v>
      </c>
      <c r="Z557" s="310">
        <f t="shared" si="790"/>
        <v>0</v>
      </c>
      <c r="AA557" s="319">
        <f t="shared" ref="AA557:BW557" si="971">AA86+AA465</f>
        <v>0</v>
      </c>
      <c r="AB557" s="319">
        <f t="shared" si="971"/>
        <v>0</v>
      </c>
      <c r="AC557" s="319">
        <f t="shared" si="971"/>
        <v>0</v>
      </c>
      <c r="AD557" s="319">
        <f t="shared" si="971"/>
        <v>0</v>
      </c>
      <c r="AE557" s="319">
        <f t="shared" si="971"/>
        <v>0</v>
      </c>
      <c r="AF557" s="319">
        <f t="shared" si="971"/>
        <v>0</v>
      </c>
      <c r="AG557" s="319">
        <f t="shared" si="971"/>
        <v>0</v>
      </c>
      <c r="AH557" s="319">
        <f t="shared" si="971"/>
        <v>0</v>
      </c>
      <c r="AI557" s="319">
        <f t="shared" si="971"/>
        <v>0</v>
      </c>
      <c r="AJ557" s="319">
        <f t="shared" si="971"/>
        <v>0</v>
      </c>
      <c r="AK557" s="319">
        <f t="shared" si="971"/>
        <v>0</v>
      </c>
      <c r="AL557" s="319">
        <f t="shared" si="971"/>
        <v>0</v>
      </c>
      <c r="AM557" s="319">
        <f t="shared" si="971"/>
        <v>0</v>
      </c>
      <c r="AN557" s="319">
        <f t="shared" si="971"/>
        <v>0</v>
      </c>
      <c r="AO557" s="319">
        <f t="shared" si="971"/>
        <v>0</v>
      </c>
      <c r="AP557" s="319">
        <f t="shared" si="971"/>
        <v>0</v>
      </c>
      <c r="AQ557" s="319">
        <f t="shared" si="971"/>
        <v>28925</v>
      </c>
      <c r="AR557" s="319">
        <f t="shared" si="971"/>
        <v>0</v>
      </c>
      <c r="AS557" s="319">
        <f t="shared" si="971"/>
        <v>0</v>
      </c>
      <c r="AT557" s="319">
        <f t="shared" si="971"/>
        <v>14952.5</v>
      </c>
      <c r="AU557" s="319">
        <f t="shared" si="971"/>
        <v>0</v>
      </c>
      <c r="AV557" s="319">
        <f t="shared" si="971"/>
        <v>0</v>
      </c>
      <c r="AW557" s="319">
        <f t="shared" si="971"/>
        <v>4772.5</v>
      </c>
      <c r="AX557" s="319">
        <f t="shared" si="971"/>
        <v>0</v>
      </c>
      <c r="AY557" s="319">
        <f t="shared" si="971"/>
        <v>0</v>
      </c>
      <c r="AZ557" s="319">
        <f t="shared" si="971"/>
        <v>0</v>
      </c>
      <c r="BA557" s="319">
        <f t="shared" si="971"/>
        <v>0</v>
      </c>
      <c r="BB557" s="319">
        <f t="shared" si="971"/>
        <v>0</v>
      </c>
      <c r="BC557" s="319">
        <f t="shared" si="971"/>
        <v>0</v>
      </c>
      <c r="BD557" s="319">
        <f t="shared" si="971"/>
        <v>0</v>
      </c>
      <c r="BE557" s="319">
        <f t="shared" si="971"/>
        <v>0</v>
      </c>
      <c r="BF557" s="319">
        <f t="shared" si="971"/>
        <v>0</v>
      </c>
      <c r="BG557" s="319">
        <f t="shared" si="971"/>
        <v>0</v>
      </c>
      <c r="BH557" s="319">
        <f t="shared" si="971"/>
        <v>0</v>
      </c>
      <c r="BI557" s="319">
        <f t="shared" si="971"/>
        <v>0</v>
      </c>
      <c r="BJ557" s="319">
        <f t="shared" si="971"/>
        <v>0</v>
      </c>
      <c r="BK557" s="319">
        <f t="shared" si="971"/>
        <v>0</v>
      </c>
      <c r="BL557" s="319">
        <f t="shared" si="971"/>
        <v>0</v>
      </c>
      <c r="BM557" s="319">
        <f t="shared" si="971"/>
        <v>0</v>
      </c>
      <c r="BN557" s="319">
        <f t="shared" si="971"/>
        <v>0</v>
      </c>
      <c r="BO557" s="319">
        <f t="shared" si="971"/>
        <v>0</v>
      </c>
      <c r="BP557" s="319">
        <f t="shared" si="971"/>
        <v>0</v>
      </c>
      <c r="BQ557" s="319">
        <f t="shared" si="971"/>
        <v>0</v>
      </c>
      <c r="BR557" s="319">
        <f t="shared" si="971"/>
        <v>0</v>
      </c>
      <c r="BS557" s="319">
        <f t="shared" si="971"/>
        <v>0</v>
      </c>
      <c r="BT557" s="319">
        <f t="shared" si="971"/>
        <v>0</v>
      </c>
      <c r="BU557" s="319">
        <f t="shared" si="971"/>
        <v>0</v>
      </c>
      <c r="BV557" s="319">
        <f t="shared" si="971"/>
        <v>0</v>
      </c>
      <c r="BW557" s="319">
        <f t="shared" si="971"/>
        <v>0</v>
      </c>
      <c r="BX557" s="1"/>
      <c r="BY557" s="1"/>
      <c r="BZ557" s="1"/>
      <c r="CA557" s="1"/>
      <c r="CB557" s="1"/>
      <c r="CC557" s="1"/>
      <c r="CD557" s="1"/>
      <c r="CE557" s="1"/>
      <c r="CF557" s="1"/>
      <c r="CG557" s="1"/>
    </row>
    <row r="558" spans="1:85" ht="15.75" customHeight="1">
      <c r="A558" s="313"/>
      <c r="B558" s="418"/>
      <c r="C558" s="417" t="s">
        <v>290</v>
      </c>
      <c r="D558" s="314" t="s">
        <v>291</v>
      </c>
      <c r="E558" s="319">
        <f t="shared" ref="E558:J558" si="972">E87+E121+SUM(E162:E168)+E228+E294+E376+E377+E396</f>
        <v>32000</v>
      </c>
      <c r="F558" s="319">
        <f t="shared" si="972"/>
        <v>0</v>
      </c>
      <c r="G558" s="319">
        <f t="shared" si="972"/>
        <v>32000</v>
      </c>
      <c r="H558" s="319">
        <f t="shared" si="972"/>
        <v>0</v>
      </c>
      <c r="I558" s="319">
        <f t="shared" si="972"/>
        <v>0.4738</v>
      </c>
      <c r="J558" s="319">
        <f t="shared" si="972"/>
        <v>2.8799999999999999E-2</v>
      </c>
      <c r="K558" s="319">
        <f>K87+K121+SUM(K162:K168)+K228+K294+K376+K377+K396</f>
        <v>19670</v>
      </c>
      <c r="L558" s="319">
        <f t="shared" ref="L558:W558" si="973">L87+L121+SUM(L162:L168)+L228+L294+L376+L377+L396</f>
        <v>20329</v>
      </c>
      <c r="M558" s="319">
        <f t="shared" si="973"/>
        <v>1488</v>
      </c>
      <c r="N558" s="319">
        <f t="shared" si="973"/>
        <v>0</v>
      </c>
      <c r="O558" s="319">
        <f t="shared" si="973"/>
        <v>669</v>
      </c>
      <c r="P558" s="319">
        <f t="shared" si="973"/>
        <v>17566</v>
      </c>
      <c r="Q558" s="319">
        <f t="shared" si="973"/>
        <v>0</v>
      </c>
      <c r="R558" s="319">
        <f t="shared" si="973"/>
        <v>669</v>
      </c>
      <c r="S558" s="319">
        <f t="shared" si="973"/>
        <v>17566</v>
      </c>
      <c r="T558" s="319">
        <f t="shared" si="973"/>
        <v>0</v>
      </c>
      <c r="U558" s="319">
        <f t="shared" si="973"/>
        <v>19001</v>
      </c>
      <c r="V558" s="319">
        <f t="shared" si="973"/>
        <v>1275</v>
      </c>
      <c r="W558" s="319">
        <f t="shared" si="973"/>
        <v>0</v>
      </c>
      <c r="X558" s="310">
        <f t="shared" si="889"/>
        <v>3.4011184544992377E-2</v>
      </c>
      <c r="Y558" s="310">
        <f t="shared" si="890"/>
        <v>0.86408578877465692</v>
      </c>
      <c r="Z558" s="310">
        <f t="shared" si="790"/>
        <v>0</v>
      </c>
      <c r="AA558" s="319">
        <f t="shared" ref="AA558:BW558" si="974">AA87+AA121+SUM(AA162:AA168)+AA228+AA294+AA376+AA377+AA396</f>
        <v>0</v>
      </c>
      <c r="AB558" s="319">
        <f t="shared" si="974"/>
        <v>1750</v>
      </c>
      <c r="AC558" s="319">
        <f t="shared" si="974"/>
        <v>0</v>
      </c>
      <c r="AD558" s="319">
        <f t="shared" si="974"/>
        <v>0</v>
      </c>
      <c r="AE558" s="319">
        <f t="shared" si="974"/>
        <v>324</v>
      </c>
      <c r="AF558" s="319">
        <f t="shared" si="974"/>
        <v>0</v>
      </c>
      <c r="AG558" s="319">
        <f t="shared" si="974"/>
        <v>0</v>
      </c>
      <c r="AH558" s="319">
        <f t="shared" si="974"/>
        <v>0</v>
      </c>
      <c r="AI558" s="319">
        <f t="shared" si="974"/>
        <v>0</v>
      </c>
      <c r="AJ558" s="319">
        <f t="shared" si="974"/>
        <v>0</v>
      </c>
      <c r="AK558" s="319">
        <f t="shared" si="974"/>
        <v>0</v>
      </c>
      <c r="AL558" s="319">
        <f t="shared" si="974"/>
        <v>0</v>
      </c>
      <c r="AM558" s="319">
        <f t="shared" si="974"/>
        <v>0</v>
      </c>
      <c r="AN558" s="319">
        <f t="shared" si="974"/>
        <v>0</v>
      </c>
      <c r="AO558" s="319">
        <f t="shared" si="974"/>
        <v>0</v>
      </c>
      <c r="AP558" s="319">
        <f t="shared" si="974"/>
        <v>0</v>
      </c>
      <c r="AQ558" s="319">
        <f t="shared" si="974"/>
        <v>3392</v>
      </c>
      <c r="AR558" s="319">
        <f t="shared" si="974"/>
        <v>0</v>
      </c>
      <c r="AS558" s="319">
        <f t="shared" si="974"/>
        <v>0</v>
      </c>
      <c r="AT558" s="319">
        <f t="shared" si="974"/>
        <v>12100</v>
      </c>
      <c r="AU558" s="319">
        <f t="shared" si="974"/>
        <v>0</v>
      </c>
      <c r="AV558" s="319">
        <f t="shared" si="974"/>
        <v>525</v>
      </c>
      <c r="AW558" s="319">
        <f t="shared" si="974"/>
        <v>0</v>
      </c>
      <c r="AX558" s="319">
        <f t="shared" si="974"/>
        <v>0</v>
      </c>
      <c r="AY558" s="319">
        <f t="shared" si="974"/>
        <v>144</v>
      </c>
      <c r="AZ558" s="319">
        <f t="shared" si="974"/>
        <v>0</v>
      </c>
      <c r="BA558" s="319">
        <f t="shared" si="974"/>
        <v>0</v>
      </c>
      <c r="BB558" s="319">
        <f t="shared" si="974"/>
        <v>0</v>
      </c>
      <c r="BC558" s="319">
        <f t="shared" si="974"/>
        <v>0</v>
      </c>
      <c r="BD558" s="319">
        <f t="shared" si="974"/>
        <v>0</v>
      </c>
      <c r="BE558" s="319">
        <f t="shared" si="974"/>
        <v>0</v>
      </c>
      <c r="BF558" s="319">
        <f t="shared" si="974"/>
        <v>0</v>
      </c>
      <c r="BG558" s="319">
        <f t="shared" si="974"/>
        <v>0</v>
      </c>
      <c r="BH558" s="319">
        <f t="shared" si="974"/>
        <v>0</v>
      </c>
      <c r="BI558" s="319">
        <f t="shared" si="974"/>
        <v>0</v>
      </c>
      <c r="BJ558" s="319">
        <f t="shared" si="974"/>
        <v>0</v>
      </c>
      <c r="BK558" s="319">
        <f t="shared" si="974"/>
        <v>0</v>
      </c>
      <c r="BL558" s="319">
        <f t="shared" si="974"/>
        <v>0</v>
      </c>
      <c r="BM558" s="319">
        <f t="shared" si="974"/>
        <v>0</v>
      </c>
      <c r="BN558" s="319">
        <f t="shared" si="974"/>
        <v>669</v>
      </c>
      <c r="BO558" s="319">
        <f t="shared" si="974"/>
        <v>0</v>
      </c>
      <c r="BP558" s="319">
        <f t="shared" si="974"/>
        <v>669</v>
      </c>
      <c r="BQ558" s="319">
        <f t="shared" si="974"/>
        <v>19001</v>
      </c>
      <c r="BR558" s="319">
        <f t="shared" si="974"/>
        <v>0</v>
      </c>
      <c r="BS558" s="319">
        <f t="shared" si="974"/>
        <v>19001</v>
      </c>
      <c r="BT558" s="319">
        <f t="shared" si="974"/>
        <v>1275</v>
      </c>
      <c r="BU558" s="319">
        <f t="shared" si="974"/>
        <v>669</v>
      </c>
      <c r="BV558" s="319">
        <f t="shared" si="974"/>
        <v>19001</v>
      </c>
      <c r="BW558" s="319">
        <f t="shared" si="974"/>
        <v>1944</v>
      </c>
      <c r="BX558" s="1"/>
      <c r="BY558" s="1"/>
      <c r="BZ558" s="1"/>
      <c r="CA558" s="1"/>
      <c r="CB558" s="1"/>
      <c r="CC558" s="1"/>
      <c r="CD558" s="1"/>
      <c r="CE558" s="1"/>
      <c r="CF558" s="1"/>
      <c r="CG558" s="1"/>
    </row>
    <row r="559" spans="1:85" ht="15.75" customHeight="1">
      <c r="A559" s="313"/>
      <c r="B559" s="418"/>
      <c r="C559" s="417" t="s">
        <v>293</v>
      </c>
      <c r="D559" s="314" t="s">
        <v>567</v>
      </c>
      <c r="E559" s="319">
        <f>E88+E251</f>
        <v>60000</v>
      </c>
      <c r="F559" s="319">
        <f>F88+F251</f>
        <v>0</v>
      </c>
      <c r="G559" s="319">
        <f>G88+G251</f>
        <v>60000</v>
      </c>
      <c r="H559" s="319">
        <f t="shared" ref="H559:K559" si="975">H88+H251</f>
        <v>0</v>
      </c>
      <c r="I559" s="319">
        <f t="shared" si="975"/>
        <v>0.21515999999999999</v>
      </c>
      <c r="J559" s="319">
        <f t="shared" si="975"/>
        <v>0.21515999999999999</v>
      </c>
      <c r="K559" s="319">
        <f t="shared" si="975"/>
        <v>10758</v>
      </c>
      <c r="L559" s="319">
        <f t="shared" ref="L559:W559" si="976">L88+L251</f>
        <v>0</v>
      </c>
      <c r="M559" s="319">
        <f t="shared" si="976"/>
        <v>0</v>
      </c>
      <c r="N559" s="319">
        <f t="shared" si="976"/>
        <v>0</v>
      </c>
      <c r="O559" s="319">
        <f t="shared" si="976"/>
        <v>10758</v>
      </c>
      <c r="P559" s="319">
        <f t="shared" si="976"/>
        <v>0</v>
      </c>
      <c r="Q559" s="319">
        <f t="shared" si="976"/>
        <v>0</v>
      </c>
      <c r="R559" s="320">
        <f t="shared" si="976"/>
        <v>10758</v>
      </c>
      <c r="S559" s="320">
        <f t="shared" si="976"/>
        <v>0</v>
      </c>
      <c r="T559" s="320">
        <f t="shared" si="976"/>
        <v>0</v>
      </c>
      <c r="U559" s="386">
        <f t="shared" si="976"/>
        <v>0</v>
      </c>
      <c r="V559" s="386">
        <f t="shared" si="976"/>
        <v>0</v>
      </c>
      <c r="W559" s="386">
        <f t="shared" si="976"/>
        <v>0</v>
      </c>
      <c r="X559" s="310">
        <f t="shared" si="889"/>
        <v>1</v>
      </c>
      <c r="Y559" s="310">
        <f t="shared" si="890"/>
        <v>0</v>
      </c>
      <c r="Z559" s="310">
        <f t="shared" si="790"/>
        <v>0</v>
      </c>
      <c r="AA559" s="319">
        <f t="shared" ref="AA559:BW559" si="977">AA88+AA251</f>
        <v>0</v>
      </c>
      <c r="AB559" s="319">
        <f t="shared" si="977"/>
        <v>0</v>
      </c>
      <c r="AC559" s="319">
        <f t="shared" si="977"/>
        <v>0</v>
      </c>
      <c r="AD559" s="319">
        <f t="shared" si="977"/>
        <v>0</v>
      </c>
      <c r="AE559" s="319">
        <f t="shared" si="977"/>
        <v>0</v>
      </c>
      <c r="AF559" s="319">
        <f t="shared" si="977"/>
        <v>0</v>
      </c>
      <c r="AG559" s="319">
        <f t="shared" si="977"/>
        <v>0</v>
      </c>
      <c r="AH559" s="319">
        <f t="shared" si="977"/>
        <v>0</v>
      </c>
      <c r="AI559" s="319">
        <f t="shared" si="977"/>
        <v>0</v>
      </c>
      <c r="AJ559" s="319">
        <f t="shared" si="977"/>
        <v>0</v>
      </c>
      <c r="AK559" s="319">
        <f t="shared" si="977"/>
        <v>0</v>
      </c>
      <c r="AL559" s="319">
        <f t="shared" si="977"/>
        <v>0</v>
      </c>
      <c r="AM559" s="319">
        <f t="shared" si="977"/>
        <v>0</v>
      </c>
      <c r="AN559" s="319">
        <f t="shared" si="977"/>
        <v>0</v>
      </c>
      <c r="AO559" s="319">
        <f t="shared" si="977"/>
        <v>0</v>
      </c>
      <c r="AP559" s="319">
        <f t="shared" si="977"/>
        <v>0</v>
      </c>
      <c r="AQ559" s="319">
        <f t="shared" si="977"/>
        <v>0</v>
      </c>
      <c r="AR559" s="319">
        <f t="shared" si="977"/>
        <v>0</v>
      </c>
      <c r="AS559" s="319">
        <f t="shared" si="977"/>
        <v>0</v>
      </c>
      <c r="AT559" s="319">
        <f t="shared" si="977"/>
        <v>0</v>
      </c>
      <c r="AU559" s="319">
        <f t="shared" si="977"/>
        <v>0</v>
      </c>
      <c r="AV559" s="319">
        <f t="shared" si="977"/>
        <v>10758</v>
      </c>
      <c r="AW559" s="319">
        <f t="shared" si="977"/>
        <v>0</v>
      </c>
      <c r="AX559" s="319">
        <f t="shared" si="977"/>
        <v>0</v>
      </c>
      <c r="AY559" s="319">
        <f t="shared" si="977"/>
        <v>0</v>
      </c>
      <c r="AZ559" s="319">
        <f t="shared" si="977"/>
        <v>0</v>
      </c>
      <c r="BA559" s="319">
        <f t="shared" si="977"/>
        <v>0</v>
      </c>
      <c r="BB559" s="319">
        <f t="shared" si="977"/>
        <v>0</v>
      </c>
      <c r="BC559" s="319">
        <f t="shared" si="977"/>
        <v>0</v>
      </c>
      <c r="BD559" s="319">
        <f t="shared" si="977"/>
        <v>0</v>
      </c>
      <c r="BE559" s="319">
        <f t="shared" si="977"/>
        <v>0</v>
      </c>
      <c r="BF559" s="319">
        <f t="shared" si="977"/>
        <v>0</v>
      </c>
      <c r="BG559" s="319">
        <f t="shared" si="977"/>
        <v>0</v>
      </c>
      <c r="BH559" s="319">
        <f t="shared" si="977"/>
        <v>0</v>
      </c>
      <c r="BI559" s="319">
        <f t="shared" si="977"/>
        <v>0</v>
      </c>
      <c r="BJ559" s="319">
        <f t="shared" si="977"/>
        <v>0</v>
      </c>
      <c r="BK559" s="319">
        <f t="shared" si="977"/>
        <v>0</v>
      </c>
      <c r="BL559" s="319">
        <f t="shared" si="977"/>
        <v>0</v>
      </c>
      <c r="BM559" s="319">
        <f t="shared" si="977"/>
        <v>0</v>
      </c>
      <c r="BN559" s="319">
        <f t="shared" si="977"/>
        <v>10758</v>
      </c>
      <c r="BO559" s="319">
        <f t="shared" si="977"/>
        <v>0</v>
      </c>
      <c r="BP559" s="319">
        <f t="shared" si="977"/>
        <v>10758</v>
      </c>
      <c r="BQ559" s="319">
        <f t="shared" si="977"/>
        <v>0</v>
      </c>
      <c r="BR559" s="319">
        <f t="shared" si="977"/>
        <v>0</v>
      </c>
      <c r="BS559" s="319">
        <f t="shared" si="977"/>
        <v>0</v>
      </c>
      <c r="BT559" s="319">
        <f t="shared" si="977"/>
        <v>0</v>
      </c>
      <c r="BU559" s="319">
        <f t="shared" si="977"/>
        <v>10758</v>
      </c>
      <c r="BV559" s="319">
        <f t="shared" si="977"/>
        <v>0</v>
      </c>
      <c r="BW559" s="319">
        <f t="shared" si="977"/>
        <v>10758</v>
      </c>
      <c r="BX559" s="1"/>
      <c r="BY559" s="1"/>
      <c r="BZ559" s="1"/>
      <c r="CA559" s="1"/>
      <c r="CB559" s="1"/>
      <c r="CC559" s="1"/>
      <c r="CD559" s="1"/>
      <c r="CE559" s="1"/>
      <c r="CF559" s="1"/>
      <c r="CG559" s="1"/>
    </row>
    <row r="560" spans="1:85" ht="15.75" customHeight="1">
      <c r="A560" s="313"/>
      <c r="B560" s="418"/>
      <c r="C560" s="416" t="s">
        <v>533</v>
      </c>
      <c r="D560" s="314" t="s">
        <v>534</v>
      </c>
      <c r="E560" s="319">
        <f t="shared" ref="E560:G561" si="978">E229</f>
        <v>2000</v>
      </c>
      <c r="F560" s="319">
        <f t="shared" si="978"/>
        <v>0</v>
      </c>
      <c r="G560" s="319">
        <f t="shared" si="978"/>
        <v>2000</v>
      </c>
      <c r="H560" s="319">
        <f t="shared" ref="H560:K560" si="979">H229</f>
        <v>0</v>
      </c>
      <c r="I560" s="319">
        <f t="shared" si="979"/>
        <v>0</v>
      </c>
      <c r="J560" s="319">
        <f t="shared" si="979"/>
        <v>0</v>
      </c>
      <c r="K560" s="319">
        <f t="shared" si="979"/>
        <v>0</v>
      </c>
      <c r="L560" s="319">
        <f t="shared" ref="L560:W560" si="980">L229</f>
        <v>0</v>
      </c>
      <c r="M560" s="319">
        <f t="shared" si="980"/>
        <v>0</v>
      </c>
      <c r="N560" s="319">
        <f t="shared" si="980"/>
        <v>0</v>
      </c>
      <c r="O560" s="319">
        <f t="shared" si="980"/>
        <v>0</v>
      </c>
      <c r="P560" s="319">
        <f t="shared" si="980"/>
        <v>0</v>
      </c>
      <c r="Q560" s="319">
        <f t="shared" si="980"/>
        <v>0</v>
      </c>
      <c r="R560" s="320">
        <f t="shared" si="980"/>
        <v>0</v>
      </c>
      <c r="S560" s="320">
        <f t="shared" si="980"/>
        <v>0</v>
      </c>
      <c r="T560" s="320">
        <f t="shared" si="980"/>
        <v>0</v>
      </c>
      <c r="U560" s="386">
        <f t="shared" si="980"/>
        <v>0</v>
      </c>
      <c r="V560" s="386">
        <f t="shared" si="980"/>
        <v>0</v>
      </c>
      <c r="W560" s="386">
        <f t="shared" si="980"/>
        <v>0</v>
      </c>
      <c r="X560" s="310">
        <f t="shared" si="889"/>
        <v>0</v>
      </c>
      <c r="Y560" s="310">
        <f t="shared" si="890"/>
        <v>0</v>
      </c>
      <c r="Z560" s="310">
        <f t="shared" si="790"/>
        <v>0</v>
      </c>
      <c r="AA560" s="319">
        <f t="shared" ref="AA560:BW560" si="981">AA229</f>
        <v>0</v>
      </c>
      <c r="AB560" s="319">
        <f t="shared" si="981"/>
        <v>0</v>
      </c>
      <c r="AC560" s="319">
        <f t="shared" si="981"/>
        <v>0</v>
      </c>
      <c r="AD560" s="319">
        <f t="shared" si="981"/>
        <v>0</v>
      </c>
      <c r="AE560" s="319">
        <f t="shared" si="981"/>
        <v>0</v>
      </c>
      <c r="AF560" s="319">
        <f t="shared" si="981"/>
        <v>0</v>
      </c>
      <c r="AG560" s="319">
        <f t="shared" si="981"/>
        <v>0</v>
      </c>
      <c r="AH560" s="319">
        <f t="shared" si="981"/>
        <v>0</v>
      </c>
      <c r="AI560" s="319">
        <f t="shared" si="981"/>
        <v>0</v>
      </c>
      <c r="AJ560" s="319">
        <f t="shared" si="981"/>
        <v>0</v>
      </c>
      <c r="AK560" s="319">
        <f t="shared" si="981"/>
        <v>0</v>
      </c>
      <c r="AL560" s="319">
        <f t="shared" si="981"/>
        <v>0</v>
      </c>
      <c r="AM560" s="319">
        <f t="shared" si="981"/>
        <v>0</v>
      </c>
      <c r="AN560" s="319">
        <f t="shared" si="981"/>
        <v>0</v>
      </c>
      <c r="AO560" s="319">
        <f t="shared" si="981"/>
        <v>0</v>
      </c>
      <c r="AP560" s="319">
        <f t="shared" si="981"/>
        <v>0</v>
      </c>
      <c r="AQ560" s="319">
        <f t="shared" si="981"/>
        <v>0</v>
      </c>
      <c r="AR560" s="319">
        <f t="shared" si="981"/>
        <v>0</v>
      </c>
      <c r="AS560" s="319">
        <f t="shared" si="981"/>
        <v>0</v>
      </c>
      <c r="AT560" s="319">
        <f t="shared" si="981"/>
        <v>0</v>
      </c>
      <c r="AU560" s="319">
        <f t="shared" si="981"/>
        <v>0</v>
      </c>
      <c r="AV560" s="319">
        <f t="shared" si="981"/>
        <v>0</v>
      </c>
      <c r="AW560" s="319">
        <f t="shared" si="981"/>
        <v>0</v>
      </c>
      <c r="AX560" s="319">
        <f t="shared" si="981"/>
        <v>0</v>
      </c>
      <c r="AY560" s="319">
        <f t="shared" si="981"/>
        <v>0</v>
      </c>
      <c r="AZ560" s="319">
        <f t="shared" si="981"/>
        <v>0</v>
      </c>
      <c r="BA560" s="319">
        <f t="shared" si="981"/>
        <v>0</v>
      </c>
      <c r="BB560" s="319">
        <f t="shared" si="981"/>
        <v>0</v>
      </c>
      <c r="BC560" s="319">
        <f t="shared" si="981"/>
        <v>0</v>
      </c>
      <c r="BD560" s="319">
        <f t="shared" si="981"/>
        <v>0</v>
      </c>
      <c r="BE560" s="319">
        <f t="shared" si="981"/>
        <v>0</v>
      </c>
      <c r="BF560" s="319">
        <f t="shared" si="981"/>
        <v>0</v>
      </c>
      <c r="BG560" s="319">
        <f t="shared" si="981"/>
        <v>0</v>
      </c>
      <c r="BH560" s="319">
        <f t="shared" si="981"/>
        <v>0</v>
      </c>
      <c r="BI560" s="319">
        <f t="shared" si="981"/>
        <v>0</v>
      </c>
      <c r="BJ560" s="319">
        <f t="shared" si="981"/>
        <v>0</v>
      </c>
      <c r="BK560" s="319">
        <f t="shared" si="981"/>
        <v>0</v>
      </c>
      <c r="BL560" s="319">
        <f t="shared" si="981"/>
        <v>0</v>
      </c>
      <c r="BM560" s="319">
        <f t="shared" si="981"/>
        <v>0</v>
      </c>
      <c r="BN560" s="319">
        <f t="shared" si="981"/>
        <v>0</v>
      </c>
      <c r="BO560" s="319">
        <f t="shared" si="981"/>
        <v>0</v>
      </c>
      <c r="BP560" s="319">
        <f t="shared" si="981"/>
        <v>0</v>
      </c>
      <c r="BQ560" s="319">
        <f t="shared" si="981"/>
        <v>0</v>
      </c>
      <c r="BR560" s="319">
        <f t="shared" si="981"/>
        <v>0</v>
      </c>
      <c r="BS560" s="319">
        <f t="shared" si="981"/>
        <v>0</v>
      </c>
      <c r="BT560" s="319">
        <f t="shared" si="981"/>
        <v>0</v>
      </c>
      <c r="BU560" s="319">
        <f t="shared" si="981"/>
        <v>0</v>
      </c>
      <c r="BV560" s="319">
        <f t="shared" si="981"/>
        <v>0</v>
      </c>
      <c r="BW560" s="319">
        <f t="shared" si="981"/>
        <v>0</v>
      </c>
      <c r="BX560" s="1"/>
      <c r="BY560" s="1"/>
      <c r="BZ560" s="1"/>
      <c r="CA560" s="1"/>
      <c r="CB560" s="1"/>
      <c r="CC560" s="1"/>
      <c r="CD560" s="1"/>
      <c r="CE560" s="1"/>
      <c r="CF560" s="1"/>
      <c r="CG560" s="1"/>
    </row>
    <row r="561" spans="1:85" ht="15.75" customHeight="1">
      <c r="A561" s="313"/>
      <c r="B561" s="418"/>
      <c r="C561" s="416" t="s">
        <v>536</v>
      </c>
      <c r="D561" s="311" t="s">
        <v>964</v>
      </c>
      <c r="E561" s="319">
        <f t="shared" si="978"/>
        <v>40000</v>
      </c>
      <c r="F561" s="319">
        <f t="shared" si="978"/>
        <v>0</v>
      </c>
      <c r="G561" s="319">
        <f t="shared" si="978"/>
        <v>40000</v>
      </c>
      <c r="H561" s="319">
        <f t="shared" ref="H561:K561" si="982">H230</f>
        <v>0</v>
      </c>
      <c r="I561" s="319">
        <f t="shared" si="982"/>
        <v>1.76145</v>
      </c>
      <c r="J561" s="319">
        <f t="shared" si="982"/>
        <v>1.0661399999999999</v>
      </c>
      <c r="K561" s="319">
        <f t="shared" si="982"/>
        <v>70458</v>
      </c>
      <c r="L561" s="319">
        <f t="shared" ref="L561:W561" si="983">L230</f>
        <v>0</v>
      </c>
      <c r="M561" s="319">
        <f t="shared" si="983"/>
        <v>0</v>
      </c>
      <c r="N561" s="319">
        <f t="shared" si="983"/>
        <v>0</v>
      </c>
      <c r="O561" s="319">
        <f t="shared" si="983"/>
        <v>42645.599999999999</v>
      </c>
      <c r="P561" s="319">
        <f t="shared" si="983"/>
        <v>0</v>
      </c>
      <c r="Q561" s="319">
        <f t="shared" si="983"/>
        <v>0</v>
      </c>
      <c r="R561" s="320">
        <f t="shared" si="983"/>
        <v>42645.599999999999</v>
      </c>
      <c r="S561" s="320">
        <f t="shared" si="983"/>
        <v>0</v>
      </c>
      <c r="T561" s="320">
        <f t="shared" si="983"/>
        <v>0</v>
      </c>
      <c r="U561" s="386">
        <f t="shared" si="983"/>
        <v>27812.400000000001</v>
      </c>
      <c r="V561" s="386">
        <f t="shared" si="983"/>
        <v>0</v>
      </c>
      <c r="W561" s="386">
        <f t="shared" si="983"/>
        <v>0</v>
      </c>
      <c r="X561" s="310">
        <f t="shared" si="889"/>
        <v>0.60526270969939533</v>
      </c>
      <c r="Y561" s="310">
        <f t="shared" si="890"/>
        <v>0</v>
      </c>
      <c r="Z561" s="310">
        <f t="shared" si="790"/>
        <v>0</v>
      </c>
      <c r="AA561" s="319">
        <f t="shared" ref="AA561:BW561" si="984">AA230</f>
        <v>0</v>
      </c>
      <c r="AB561" s="319">
        <f t="shared" si="984"/>
        <v>0</v>
      </c>
      <c r="AC561" s="319">
        <f t="shared" si="984"/>
        <v>0</v>
      </c>
      <c r="AD561" s="319">
        <f t="shared" si="984"/>
        <v>0</v>
      </c>
      <c r="AE561" s="319">
        <f t="shared" si="984"/>
        <v>0</v>
      </c>
      <c r="AF561" s="319">
        <f t="shared" si="984"/>
        <v>0</v>
      </c>
      <c r="AG561" s="319">
        <f t="shared" si="984"/>
        <v>0</v>
      </c>
      <c r="AH561" s="319">
        <f t="shared" si="984"/>
        <v>0</v>
      </c>
      <c r="AI561" s="319">
        <f t="shared" si="984"/>
        <v>0</v>
      </c>
      <c r="AJ561" s="319">
        <f t="shared" si="984"/>
        <v>0</v>
      </c>
      <c r="AK561" s="319">
        <f t="shared" si="984"/>
        <v>0</v>
      </c>
      <c r="AL561" s="319">
        <f t="shared" si="984"/>
        <v>0</v>
      </c>
      <c r="AM561" s="319">
        <f t="shared" si="984"/>
        <v>0</v>
      </c>
      <c r="AN561" s="319">
        <f t="shared" si="984"/>
        <v>0</v>
      </c>
      <c r="AO561" s="319">
        <f t="shared" si="984"/>
        <v>0</v>
      </c>
      <c r="AP561" s="319">
        <f t="shared" si="984"/>
        <v>15982.6</v>
      </c>
      <c r="AQ561" s="319">
        <f t="shared" si="984"/>
        <v>0</v>
      </c>
      <c r="AR561" s="319">
        <f t="shared" si="984"/>
        <v>0</v>
      </c>
      <c r="AS561" s="319">
        <f t="shared" si="984"/>
        <v>4357.3999999999996</v>
      </c>
      <c r="AT561" s="319">
        <f t="shared" si="984"/>
        <v>0</v>
      </c>
      <c r="AU561" s="319">
        <f t="shared" si="984"/>
        <v>0</v>
      </c>
      <c r="AV561" s="319">
        <f t="shared" si="984"/>
        <v>10518</v>
      </c>
      <c r="AW561" s="319">
        <f t="shared" si="984"/>
        <v>0</v>
      </c>
      <c r="AX561" s="319">
        <f t="shared" si="984"/>
        <v>0</v>
      </c>
      <c r="AY561" s="319">
        <f t="shared" si="984"/>
        <v>11787.6</v>
      </c>
      <c r="AZ561" s="319">
        <f t="shared" si="984"/>
        <v>0</v>
      </c>
      <c r="BA561" s="319">
        <f t="shared" si="984"/>
        <v>0</v>
      </c>
      <c r="BB561" s="319">
        <f t="shared" si="984"/>
        <v>0</v>
      </c>
      <c r="BC561" s="319">
        <f t="shared" si="984"/>
        <v>0</v>
      </c>
      <c r="BD561" s="319">
        <f t="shared" si="984"/>
        <v>0</v>
      </c>
      <c r="BE561" s="319">
        <f t="shared" si="984"/>
        <v>0</v>
      </c>
      <c r="BF561" s="319">
        <f t="shared" si="984"/>
        <v>0</v>
      </c>
      <c r="BG561" s="319">
        <f t="shared" si="984"/>
        <v>0</v>
      </c>
      <c r="BH561" s="319">
        <f t="shared" si="984"/>
        <v>0</v>
      </c>
      <c r="BI561" s="319">
        <f t="shared" si="984"/>
        <v>0</v>
      </c>
      <c r="BJ561" s="319">
        <f t="shared" si="984"/>
        <v>0</v>
      </c>
      <c r="BK561" s="319">
        <f t="shared" si="984"/>
        <v>0</v>
      </c>
      <c r="BL561" s="319">
        <f t="shared" si="984"/>
        <v>0</v>
      </c>
      <c r="BM561" s="319">
        <f t="shared" si="984"/>
        <v>0</v>
      </c>
      <c r="BN561" s="319">
        <f t="shared" si="984"/>
        <v>42645.599999999999</v>
      </c>
      <c r="BO561" s="319">
        <f t="shared" si="984"/>
        <v>0</v>
      </c>
      <c r="BP561" s="319">
        <f t="shared" si="984"/>
        <v>42645.599999999999</v>
      </c>
      <c r="BQ561" s="319">
        <f t="shared" si="984"/>
        <v>27812.400000000001</v>
      </c>
      <c r="BR561" s="319">
        <f t="shared" si="984"/>
        <v>0</v>
      </c>
      <c r="BS561" s="319">
        <f t="shared" si="984"/>
        <v>27812.400000000001</v>
      </c>
      <c r="BT561" s="319">
        <f t="shared" si="984"/>
        <v>0</v>
      </c>
      <c r="BU561" s="319">
        <f t="shared" si="984"/>
        <v>42645.599999999999</v>
      </c>
      <c r="BV561" s="319">
        <f t="shared" si="984"/>
        <v>27812.400000000001</v>
      </c>
      <c r="BW561" s="319">
        <f t="shared" si="984"/>
        <v>42645.599999999999</v>
      </c>
      <c r="BX561" s="1"/>
      <c r="BY561" s="1"/>
      <c r="BZ561" s="1"/>
      <c r="CA561" s="1"/>
      <c r="CB561" s="1"/>
      <c r="CC561" s="1"/>
      <c r="CD561" s="1"/>
      <c r="CE561" s="1"/>
      <c r="CF561" s="1"/>
      <c r="CG561" s="1"/>
    </row>
    <row r="562" spans="1:85" ht="15.75" customHeight="1">
      <c r="A562" s="313"/>
      <c r="B562" s="418"/>
      <c r="C562" s="416" t="s">
        <v>297</v>
      </c>
      <c r="D562" s="311" t="s">
        <v>953</v>
      </c>
      <c r="E562" s="319">
        <f>E89+E90</f>
        <v>15000</v>
      </c>
      <c r="F562" s="319">
        <f>F89+F90</f>
        <v>0</v>
      </c>
      <c r="G562" s="319">
        <f>G89+G90</f>
        <v>15000</v>
      </c>
      <c r="H562" s="319">
        <f t="shared" ref="H562:K562" si="985">H89+H90</f>
        <v>0</v>
      </c>
      <c r="I562" s="319">
        <f t="shared" si="985"/>
        <v>0.69224733333333333</v>
      </c>
      <c r="J562" s="319">
        <f t="shared" si="985"/>
        <v>7.6285999999999993E-2</v>
      </c>
      <c r="K562" s="319">
        <f t="shared" si="985"/>
        <v>15453.71</v>
      </c>
      <c r="L562" s="319">
        <f t="shared" ref="L562:W562" si="986">L89+L90</f>
        <v>4129.49</v>
      </c>
      <c r="M562" s="319">
        <f t="shared" si="986"/>
        <v>0</v>
      </c>
      <c r="N562" s="319">
        <f t="shared" si="986"/>
        <v>0</v>
      </c>
      <c r="O562" s="319">
        <f t="shared" si="986"/>
        <v>6214.29</v>
      </c>
      <c r="P562" s="319">
        <f t="shared" si="986"/>
        <v>4129.49</v>
      </c>
      <c r="Q562" s="319">
        <f t="shared" si="986"/>
        <v>0</v>
      </c>
      <c r="R562" s="320">
        <f t="shared" si="986"/>
        <v>6214.29</v>
      </c>
      <c r="S562" s="320">
        <f t="shared" si="986"/>
        <v>4129.49</v>
      </c>
      <c r="T562" s="320">
        <f t="shared" si="986"/>
        <v>0</v>
      </c>
      <c r="U562" s="386">
        <f t="shared" si="986"/>
        <v>9239.4199999999983</v>
      </c>
      <c r="V562" s="386">
        <f t="shared" si="986"/>
        <v>0</v>
      </c>
      <c r="W562" s="386">
        <f t="shared" si="986"/>
        <v>0</v>
      </c>
      <c r="X562" s="310">
        <f t="shared" si="889"/>
        <v>0.40212285593556502</v>
      </c>
      <c r="Y562" s="310">
        <f t="shared" si="890"/>
        <v>1</v>
      </c>
      <c r="Z562" s="310">
        <f t="shared" si="790"/>
        <v>0</v>
      </c>
      <c r="AA562" s="319">
        <f t="shared" ref="AA562:BW562" si="987">AA89+AA90</f>
        <v>0</v>
      </c>
      <c r="AB562" s="319">
        <f t="shared" si="987"/>
        <v>3609.88</v>
      </c>
      <c r="AC562" s="319">
        <f t="shared" si="987"/>
        <v>0</v>
      </c>
      <c r="AD562" s="319">
        <f t="shared" si="987"/>
        <v>0</v>
      </c>
      <c r="AE562" s="319">
        <f t="shared" si="987"/>
        <v>0</v>
      </c>
      <c r="AF562" s="319">
        <f t="shared" si="987"/>
        <v>0</v>
      </c>
      <c r="AG562" s="319">
        <f t="shared" si="987"/>
        <v>0</v>
      </c>
      <c r="AH562" s="319">
        <f t="shared" si="987"/>
        <v>0</v>
      </c>
      <c r="AI562" s="319">
        <f t="shared" si="987"/>
        <v>0</v>
      </c>
      <c r="AJ562" s="319">
        <f t="shared" si="987"/>
        <v>0</v>
      </c>
      <c r="AK562" s="319">
        <f t="shared" si="987"/>
        <v>0</v>
      </c>
      <c r="AL562" s="319">
        <f t="shared" si="987"/>
        <v>0</v>
      </c>
      <c r="AM562" s="319">
        <f t="shared" si="987"/>
        <v>5070</v>
      </c>
      <c r="AN562" s="319">
        <f t="shared" si="987"/>
        <v>0</v>
      </c>
      <c r="AO562" s="319">
        <f t="shared" si="987"/>
        <v>0</v>
      </c>
      <c r="AP562" s="319">
        <f t="shared" si="987"/>
        <v>0</v>
      </c>
      <c r="AQ562" s="319">
        <f t="shared" si="987"/>
        <v>0</v>
      </c>
      <c r="AR562" s="319">
        <f t="shared" si="987"/>
        <v>0</v>
      </c>
      <c r="AS562" s="319">
        <f t="shared" si="987"/>
        <v>0</v>
      </c>
      <c r="AT562" s="319">
        <f t="shared" si="987"/>
        <v>0</v>
      </c>
      <c r="AU562" s="319">
        <f t="shared" si="987"/>
        <v>0</v>
      </c>
      <c r="AV562" s="319">
        <f t="shared" si="987"/>
        <v>1144.29</v>
      </c>
      <c r="AW562" s="319">
        <f t="shared" si="987"/>
        <v>519.61</v>
      </c>
      <c r="AX562" s="319">
        <f t="shared" si="987"/>
        <v>0</v>
      </c>
      <c r="AY562" s="319">
        <f t="shared" si="987"/>
        <v>0</v>
      </c>
      <c r="AZ562" s="319">
        <f t="shared" si="987"/>
        <v>0</v>
      </c>
      <c r="BA562" s="319">
        <f t="shared" si="987"/>
        <v>0</v>
      </c>
      <c r="BB562" s="319">
        <f t="shared" si="987"/>
        <v>0</v>
      </c>
      <c r="BC562" s="319">
        <f t="shared" si="987"/>
        <v>0</v>
      </c>
      <c r="BD562" s="319">
        <f t="shared" si="987"/>
        <v>0</v>
      </c>
      <c r="BE562" s="319">
        <f t="shared" si="987"/>
        <v>0</v>
      </c>
      <c r="BF562" s="319">
        <f t="shared" si="987"/>
        <v>0</v>
      </c>
      <c r="BG562" s="319">
        <f t="shared" si="987"/>
        <v>0</v>
      </c>
      <c r="BH562" s="319">
        <f t="shared" si="987"/>
        <v>0</v>
      </c>
      <c r="BI562" s="319">
        <f t="shared" si="987"/>
        <v>0</v>
      </c>
      <c r="BJ562" s="319">
        <f t="shared" si="987"/>
        <v>0</v>
      </c>
      <c r="BK562" s="319">
        <f t="shared" si="987"/>
        <v>0</v>
      </c>
      <c r="BL562" s="319">
        <f t="shared" si="987"/>
        <v>0</v>
      </c>
      <c r="BM562" s="319">
        <f t="shared" si="987"/>
        <v>0</v>
      </c>
      <c r="BN562" s="319">
        <f t="shared" si="987"/>
        <v>6214.29</v>
      </c>
      <c r="BO562" s="319">
        <f t="shared" si="987"/>
        <v>0</v>
      </c>
      <c r="BP562" s="319">
        <f t="shared" si="987"/>
        <v>6214.29</v>
      </c>
      <c r="BQ562" s="319">
        <f t="shared" si="987"/>
        <v>9239.4199999999983</v>
      </c>
      <c r="BR562" s="319">
        <f t="shared" si="987"/>
        <v>0</v>
      </c>
      <c r="BS562" s="319">
        <f t="shared" si="987"/>
        <v>9239.4199999999983</v>
      </c>
      <c r="BT562" s="319">
        <f t="shared" si="987"/>
        <v>0</v>
      </c>
      <c r="BU562" s="319">
        <f t="shared" si="987"/>
        <v>6214.29</v>
      </c>
      <c r="BV562" s="319">
        <f t="shared" si="987"/>
        <v>9239.4199999999983</v>
      </c>
      <c r="BW562" s="319">
        <f t="shared" si="987"/>
        <v>6214.29</v>
      </c>
      <c r="BX562" s="1"/>
      <c r="BY562" s="1"/>
      <c r="BZ562" s="1"/>
      <c r="CA562" s="1"/>
      <c r="CB562" s="1"/>
      <c r="CC562" s="1"/>
      <c r="CD562" s="1"/>
      <c r="CE562" s="1"/>
      <c r="CF562" s="1"/>
      <c r="CG562" s="1"/>
    </row>
    <row r="563" spans="1:85" ht="15.75" customHeight="1">
      <c r="A563" s="313"/>
      <c r="B563" s="418"/>
      <c r="C563" s="416" t="s">
        <v>640</v>
      </c>
      <c r="D563" s="311" t="s">
        <v>965</v>
      </c>
      <c r="E563" s="319">
        <f>E295</f>
        <v>0</v>
      </c>
      <c r="F563" s="319">
        <f>F295</f>
        <v>0</v>
      </c>
      <c r="G563" s="319">
        <f>G295</f>
        <v>0</v>
      </c>
      <c r="H563" s="319">
        <f t="shared" ref="H563:J563" si="988">H295</f>
        <v>155000</v>
      </c>
      <c r="I563" s="319">
        <f t="shared" si="988"/>
        <v>0</v>
      </c>
      <c r="J563" s="319">
        <f t="shared" si="988"/>
        <v>0</v>
      </c>
      <c r="K563" s="319">
        <f>K295</f>
        <v>0</v>
      </c>
      <c r="L563" s="319">
        <f t="shared" ref="L563:W563" si="989">L295</f>
        <v>15996.51</v>
      </c>
      <c r="M563" s="319">
        <f t="shared" si="989"/>
        <v>0</v>
      </c>
      <c r="N563" s="319">
        <f t="shared" si="989"/>
        <v>0</v>
      </c>
      <c r="O563" s="319">
        <f t="shared" si="989"/>
        <v>0</v>
      </c>
      <c r="P563" s="319">
        <f t="shared" si="989"/>
        <v>15996.51</v>
      </c>
      <c r="Q563" s="319">
        <f t="shared" si="989"/>
        <v>0</v>
      </c>
      <c r="R563" s="320">
        <f t="shared" si="989"/>
        <v>0</v>
      </c>
      <c r="S563" s="320">
        <f t="shared" si="989"/>
        <v>15996.51</v>
      </c>
      <c r="T563" s="320">
        <f t="shared" si="989"/>
        <v>0</v>
      </c>
      <c r="U563" s="386">
        <f t="shared" si="989"/>
        <v>0</v>
      </c>
      <c r="V563" s="386">
        <f t="shared" si="989"/>
        <v>0</v>
      </c>
      <c r="W563" s="386">
        <f t="shared" si="989"/>
        <v>0</v>
      </c>
      <c r="X563" s="310">
        <f t="shared" ref="X563:X593" si="990">IF(O563&gt;0,O563/K563,0)</f>
        <v>0</v>
      </c>
      <c r="Y563" s="310">
        <f t="shared" ref="Y563:Y593" si="991">IF(P563&gt;0,P563/L563,0)</f>
        <v>1</v>
      </c>
      <c r="Z563" s="310">
        <f t="shared" si="790"/>
        <v>0</v>
      </c>
      <c r="AA563" s="319">
        <f t="shared" ref="AA563:BW563" si="992">AA295</f>
        <v>0</v>
      </c>
      <c r="AB563" s="319">
        <f t="shared" si="992"/>
        <v>5931.75</v>
      </c>
      <c r="AC563" s="319">
        <f t="shared" si="992"/>
        <v>0</v>
      </c>
      <c r="AD563" s="319">
        <f t="shared" si="992"/>
        <v>0</v>
      </c>
      <c r="AE563" s="319">
        <f t="shared" si="992"/>
        <v>0</v>
      </c>
      <c r="AF563" s="319">
        <f t="shared" si="992"/>
        <v>0</v>
      </c>
      <c r="AG563" s="319">
        <f t="shared" si="992"/>
        <v>0</v>
      </c>
      <c r="AH563" s="319">
        <f t="shared" si="992"/>
        <v>10064.76</v>
      </c>
      <c r="AI563" s="319">
        <f t="shared" si="992"/>
        <v>0</v>
      </c>
      <c r="AJ563" s="319">
        <f t="shared" si="992"/>
        <v>0</v>
      </c>
      <c r="AK563" s="319">
        <f t="shared" si="992"/>
        <v>0</v>
      </c>
      <c r="AL563" s="319">
        <f t="shared" si="992"/>
        <v>0</v>
      </c>
      <c r="AM563" s="319">
        <f t="shared" si="992"/>
        <v>0</v>
      </c>
      <c r="AN563" s="319">
        <f t="shared" si="992"/>
        <v>0</v>
      </c>
      <c r="AO563" s="319">
        <f t="shared" si="992"/>
        <v>0</v>
      </c>
      <c r="AP563" s="319">
        <f t="shared" si="992"/>
        <v>0</v>
      </c>
      <c r="AQ563" s="319">
        <f t="shared" si="992"/>
        <v>0</v>
      </c>
      <c r="AR563" s="319">
        <f t="shared" si="992"/>
        <v>0</v>
      </c>
      <c r="AS563" s="319">
        <f t="shared" si="992"/>
        <v>0</v>
      </c>
      <c r="AT563" s="319">
        <f t="shared" si="992"/>
        <v>0</v>
      </c>
      <c r="AU563" s="319">
        <f t="shared" si="992"/>
        <v>0</v>
      </c>
      <c r="AV563" s="319">
        <f t="shared" si="992"/>
        <v>0</v>
      </c>
      <c r="AW563" s="319">
        <f t="shared" si="992"/>
        <v>0</v>
      </c>
      <c r="AX563" s="319">
        <f t="shared" si="992"/>
        <v>0</v>
      </c>
      <c r="AY563" s="319">
        <f t="shared" si="992"/>
        <v>0</v>
      </c>
      <c r="AZ563" s="319">
        <f t="shared" si="992"/>
        <v>0</v>
      </c>
      <c r="BA563" s="319">
        <f t="shared" si="992"/>
        <v>0</v>
      </c>
      <c r="BB563" s="319">
        <f t="shared" si="992"/>
        <v>0</v>
      </c>
      <c r="BC563" s="319">
        <f t="shared" si="992"/>
        <v>0</v>
      </c>
      <c r="BD563" s="319">
        <f t="shared" si="992"/>
        <v>0</v>
      </c>
      <c r="BE563" s="319">
        <f t="shared" si="992"/>
        <v>0</v>
      </c>
      <c r="BF563" s="319">
        <f t="shared" si="992"/>
        <v>0</v>
      </c>
      <c r="BG563" s="319">
        <f t="shared" si="992"/>
        <v>0</v>
      </c>
      <c r="BH563" s="319">
        <f t="shared" si="992"/>
        <v>0</v>
      </c>
      <c r="BI563" s="319">
        <f t="shared" si="992"/>
        <v>0</v>
      </c>
      <c r="BJ563" s="319">
        <f t="shared" si="992"/>
        <v>0</v>
      </c>
      <c r="BK563" s="319">
        <f t="shared" si="992"/>
        <v>0</v>
      </c>
      <c r="BL563" s="319">
        <f t="shared" si="992"/>
        <v>0</v>
      </c>
      <c r="BM563" s="319">
        <f t="shared" si="992"/>
        <v>0</v>
      </c>
      <c r="BN563" s="319">
        <f t="shared" si="992"/>
        <v>0</v>
      </c>
      <c r="BO563" s="319">
        <f t="shared" si="992"/>
        <v>0</v>
      </c>
      <c r="BP563" s="319">
        <f t="shared" si="992"/>
        <v>0</v>
      </c>
      <c r="BQ563" s="319">
        <f t="shared" si="992"/>
        <v>0</v>
      </c>
      <c r="BR563" s="319">
        <f t="shared" si="992"/>
        <v>0</v>
      </c>
      <c r="BS563" s="319">
        <f t="shared" si="992"/>
        <v>0</v>
      </c>
      <c r="BT563" s="319">
        <f t="shared" si="992"/>
        <v>0</v>
      </c>
      <c r="BU563" s="319">
        <f t="shared" si="992"/>
        <v>0</v>
      </c>
      <c r="BV563" s="319">
        <f t="shared" si="992"/>
        <v>0</v>
      </c>
      <c r="BW563" s="319">
        <f t="shared" si="992"/>
        <v>0</v>
      </c>
      <c r="BX563" s="1"/>
      <c r="BY563" s="1"/>
      <c r="BZ563" s="1"/>
      <c r="CA563" s="1"/>
      <c r="CB563" s="1"/>
      <c r="CC563" s="1"/>
      <c r="CD563" s="1"/>
      <c r="CE563" s="1"/>
      <c r="CF563" s="1"/>
      <c r="CG563" s="1"/>
    </row>
    <row r="564" spans="1:85" ht="15.75" customHeight="1">
      <c r="A564" s="313"/>
      <c r="B564" s="418"/>
      <c r="C564" s="416" t="s">
        <v>315</v>
      </c>
      <c r="D564" s="326" t="s">
        <v>966</v>
      </c>
      <c r="E564" s="319">
        <f>E95</f>
        <v>0</v>
      </c>
      <c r="F564" s="319">
        <f>F95</f>
        <v>0</v>
      </c>
      <c r="G564" s="319">
        <f>G95</f>
        <v>0</v>
      </c>
      <c r="H564" s="319">
        <f>H95</f>
        <v>0</v>
      </c>
      <c r="I564" s="319">
        <f t="shared" ref="I564:K564" si="993">I95</f>
        <v>0</v>
      </c>
      <c r="J564" s="319">
        <f t="shared" si="993"/>
        <v>0</v>
      </c>
      <c r="K564" s="319">
        <f t="shared" si="993"/>
        <v>2643.9</v>
      </c>
      <c r="L564" s="319">
        <f t="shared" ref="L564:W564" si="994">L95</f>
        <v>0</v>
      </c>
      <c r="M564" s="319">
        <f t="shared" si="994"/>
        <v>0</v>
      </c>
      <c r="N564" s="319">
        <f t="shared" si="994"/>
        <v>0</v>
      </c>
      <c r="O564" s="319">
        <f t="shared" si="994"/>
        <v>2643.9</v>
      </c>
      <c r="P564" s="319">
        <f t="shared" si="994"/>
        <v>0</v>
      </c>
      <c r="Q564" s="319">
        <f t="shared" si="994"/>
        <v>0</v>
      </c>
      <c r="R564" s="320">
        <f t="shared" si="994"/>
        <v>2643.9</v>
      </c>
      <c r="S564" s="320">
        <f t="shared" si="994"/>
        <v>0</v>
      </c>
      <c r="T564" s="320">
        <f t="shared" si="994"/>
        <v>0</v>
      </c>
      <c r="U564" s="386">
        <f t="shared" si="994"/>
        <v>0</v>
      </c>
      <c r="V564" s="386">
        <f t="shared" si="994"/>
        <v>0</v>
      </c>
      <c r="W564" s="386">
        <f t="shared" si="994"/>
        <v>0</v>
      </c>
      <c r="X564" s="310">
        <f t="shared" si="990"/>
        <v>1</v>
      </c>
      <c r="Y564" s="310">
        <f t="shared" si="991"/>
        <v>0</v>
      </c>
      <c r="Z564" s="310">
        <f t="shared" si="790"/>
        <v>0</v>
      </c>
      <c r="AA564" s="319">
        <f t="shared" ref="AA564:BW564" si="995">AA95</f>
        <v>0</v>
      </c>
      <c r="AB564" s="319">
        <f t="shared" si="995"/>
        <v>0</v>
      </c>
      <c r="AC564" s="319">
        <f t="shared" si="995"/>
        <v>0</v>
      </c>
      <c r="AD564" s="319">
        <f t="shared" si="995"/>
        <v>0</v>
      </c>
      <c r="AE564" s="319">
        <f t="shared" si="995"/>
        <v>0</v>
      </c>
      <c r="AF564" s="319">
        <f t="shared" si="995"/>
        <v>0</v>
      </c>
      <c r="AG564" s="319">
        <f t="shared" si="995"/>
        <v>0</v>
      </c>
      <c r="AH564" s="319">
        <f t="shared" si="995"/>
        <v>0</v>
      </c>
      <c r="AI564" s="319">
        <f t="shared" si="995"/>
        <v>0</v>
      </c>
      <c r="AJ564" s="319">
        <f t="shared" si="995"/>
        <v>2643.9</v>
      </c>
      <c r="AK564" s="319">
        <f t="shared" si="995"/>
        <v>0</v>
      </c>
      <c r="AL564" s="319">
        <f t="shared" si="995"/>
        <v>0</v>
      </c>
      <c r="AM564" s="319">
        <f t="shared" si="995"/>
        <v>0</v>
      </c>
      <c r="AN564" s="319">
        <f t="shared" si="995"/>
        <v>0</v>
      </c>
      <c r="AO564" s="319">
        <f t="shared" si="995"/>
        <v>0</v>
      </c>
      <c r="AP564" s="319">
        <f t="shared" si="995"/>
        <v>0</v>
      </c>
      <c r="AQ564" s="319">
        <f t="shared" si="995"/>
        <v>0</v>
      </c>
      <c r="AR564" s="319">
        <f t="shared" si="995"/>
        <v>0</v>
      </c>
      <c r="AS564" s="319">
        <f t="shared" si="995"/>
        <v>0</v>
      </c>
      <c r="AT564" s="319">
        <f t="shared" si="995"/>
        <v>0</v>
      </c>
      <c r="AU564" s="319">
        <f t="shared" si="995"/>
        <v>0</v>
      </c>
      <c r="AV564" s="319">
        <f t="shared" si="995"/>
        <v>0</v>
      </c>
      <c r="AW564" s="319">
        <f t="shared" si="995"/>
        <v>0</v>
      </c>
      <c r="AX564" s="319">
        <f t="shared" si="995"/>
        <v>0</v>
      </c>
      <c r="AY564" s="319">
        <f t="shared" si="995"/>
        <v>0</v>
      </c>
      <c r="AZ564" s="319">
        <f t="shared" si="995"/>
        <v>0</v>
      </c>
      <c r="BA564" s="319">
        <f t="shared" si="995"/>
        <v>0</v>
      </c>
      <c r="BB564" s="319">
        <f t="shared" si="995"/>
        <v>0</v>
      </c>
      <c r="BC564" s="319">
        <f t="shared" si="995"/>
        <v>0</v>
      </c>
      <c r="BD564" s="319">
        <f t="shared" si="995"/>
        <v>0</v>
      </c>
      <c r="BE564" s="319">
        <f t="shared" si="995"/>
        <v>0</v>
      </c>
      <c r="BF564" s="319">
        <f t="shared" si="995"/>
        <v>0</v>
      </c>
      <c r="BG564" s="319">
        <f t="shared" si="995"/>
        <v>0</v>
      </c>
      <c r="BH564" s="319">
        <f t="shared" si="995"/>
        <v>0</v>
      </c>
      <c r="BI564" s="319">
        <f t="shared" si="995"/>
        <v>0</v>
      </c>
      <c r="BJ564" s="319">
        <f t="shared" si="995"/>
        <v>0</v>
      </c>
      <c r="BK564" s="319">
        <f t="shared" si="995"/>
        <v>0</v>
      </c>
      <c r="BL564" s="319">
        <f t="shared" si="995"/>
        <v>0</v>
      </c>
      <c r="BM564" s="319">
        <f t="shared" si="995"/>
        <v>0</v>
      </c>
      <c r="BN564" s="319">
        <f t="shared" si="995"/>
        <v>2643.9</v>
      </c>
      <c r="BO564" s="319">
        <f t="shared" si="995"/>
        <v>0</v>
      </c>
      <c r="BP564" s="319">
        <f t="shared" si="995"/>
        <v>2643.9</v>
      </c>
      <c r="BQ564" s="319">
        <f t="shared" si="995"/>
        <v>0</v>
      </c>
      <c r="BR564" s="319">
        <f t="shared" si="995"/>
        <v>0</v>
      </c>
      <c r="BS564" s="319">
        <f t="shared" si="995"/>
        <v>0</v>
      </c>
      <c r="BT564" s="319">
        <f t="shared" si="995"/>
        <v>0</v>
      </c>
      <c r="BU564" s="319">
        <f t="shared" si="995"/>
        <v>2643.9</v>
      </c>
      <c r="BV564" s="319">
        <f t="shared" si="995"/>
        <v>0</v>
      </c>
      <c r="BW564" s="319">
        <f t="shared" si="995"/>
        <v>2643.9</v>
      </c>
      <c r="BX564" s="1"/>
      <c r="BY564" s="1"/>
      <c r="BZ564" s="1"/>
      <c r="CA564" s="1"/>
      <c r="CB564" s="1"/>
      <c r="CC564" s="1"/>
      <c r="CD564" s="1"/>
      <c r="CE564" s="1"/>
      <c r="CF564" s="1"/>
      <c r="CG564" s="1"/>
    </row>
    <row r="565" spans="1:85" ht="15.75" customHeight="1">
      <c r="A565" s="313"/>
      <c r="B565" s="418"/>
      <c r="C565" s="416" t="s">
        <v>302</v>
      </c>
      <c r="D565" s="311" t="s">
        <v>967</v>
      </c>
      <c r="E565" s="319">
        <f>E91</f>
        <v>10000</v>
      </c>
      <c r="F565" s="319">
        <f>F91</f>
        <v>0</v>
      </c>
      <c r="G565" s="319">
        <f>G91</f>
        <v>10000</v>
      </c>
      <c r="H565" s="319">
        <f>H91</f>
        <v>0</v>
      </c>
      <c r="I565" s="319">
        <f t="shared" ref="I565:K565" si="996">I91</f>
        <v>0</v>
      </c>
      <c r="J565" s="319">
        <f t="shared" si="996"/>
        <v>0</v>
      </c>
      <c r="K565" s="319">
        <f t="shared" si="996"/>
        <v>0</v>
      </c>
      <c r="L565" s="319">
        <f t="shared" ref="L565:W565" si="997">L91</f>
        <v>3700.55</v>
      </c>
      <c r="M565" s="319">
        <f t="shared" si="997"/>
        <v>0</v>
      </c>
      <c r="N565" s="319">
        <f t="shared" si="997"/>
        <v>0</v>
      </c>
      <c r="O565" s="319">
        <f t="shared" si="997"/>
        <v>0</v>
      </c>
      <c r="P565" s="319">
        <f t="shared" si="997"/>
        <v>1157.2</v>
      </c>
      <c r="Q565" s="319">
        <f t="shared" si="997"/>
        <v>0</v>
      </c>
      <c r="R565" s="320">
        <f t="shared" si="997"/>
        <v>0</v>
      </c>
      <c r="S565" s="320">
        <f t="shared" si="997"/>
        <v>1157.2</v>
      </c>
      <c r="T565" s="320">
        <f t="shared" si="997"/>
        <v>0</v>
      </c>
      <c r="U565" s="386">
        <f t="shared" si="997"/>
        <v>0</v>
      </c>
      <c r="V565" s="386">
        <f t="shared" si="997"/>
        <v>2543.3500000000004</v>
      </c>
      <c r="W565" s="386">
        <f t="shared" si="997"/>
        <v>0</v>
      </c>
      <c r="X565" s="310">
        <f t="shared" si="990"/>
        <v>0</v>
      </c>
      <c r="Y565" s="310">
        <f t="shared" si="991"/>
        <v>0.31271027279728686</v>
      </c>
      <c r="Z565" s="310">
        <f t="shared" si="790"/>
        <v>0</v>
      </c>
      <c r="AA565" s="319">
        <f t="shared" ref="AA565:BW565" si="998">AA91</f>
        <v>0</v>
      </c>
      <c r="AB565" s="319">
        <f t="shared" si="998"/>
        <v>263</v>
      </c>
      <c r="AC565" s="319">
        <f t="shared" si="998"/>
        <v>0</v>
      </c>
      <c r="AD565" s="319">
        <f t="shared" si="998"/>
        <v>0</v>
      </c>
      <c r="AE565" s="319">
        <f t="shared" si="998"/>
        <v>0</v>
      </c>
      <c r="AF565" s="319">
        <f t="shared" si="998"/>
        <v>0</v>
      </c>
      <c r="AG565" s="319">
        <f t="shared" si="998"/>
        <v>0</v>
      </c>
      <c r="AH565" s="319">
        <f t="shared" si="998"/>
        <v>420.8</v>
      </c>
      <c r="AI565" s="319">
        <f t="shared" si="998"/>
        <v>0</v>
      </c>
      <c r="AJ565" s="319">
        <f t="shared" si="998"/>
        <v>0</v>
      </c>
      <c r="AK565" s="319">
        <f t="shared" si="998"/>
        <v>131.5</v>
      </c>
      <c r="AL565" s="319">
        <f t="shared" si="998"/>
        <v>0</v>
      </c>
      <c r="AM565" s="319">
        <f t="shared" si="998"/>
        <v>0</v>
      </c>
      <c r="AN565" s="319">
        <f t="shared" si="998"/>
        <v>0</v>
      </c>
      <c r="AO565" s="319">
        <f t="shared" si="998"/>
        <v>0</v>
      </c>
      <c r="AP565" s="319">
        <f t="shared" si="998"/>
        <v>0</v>
      </c>
      <c r="AQ565" s="319">
        <f t="shared" si="998"/>
        <v>236.7</v>
      </c>
      <c r="AR565" s="319">
        <f t="shared" si="998"/>
        <v>0</v>
      </c>
      <c r="AS565" s="319">
        <f t="shared" si="998"/>
        <v>0</v>
      </c>
      <c r="AT565" s="319">
        <f t="shared" si="998"/>
        <v>0</v>
      </c>
      <c r="AU565" s="319">
        <f t="shared" si="998"/>
        <v>0</v>
      </c>
      <c r="AV565" s="319">
        <f t="shared" si="998"/>
        <v>0</v>
      </c>
      <c r="AW565" s="319">
        <f t="shared" si="998"/>
        <v>0</v>
      </c>
      <c r="AX565" s="319">
        <f t="shared" si="998"/>
        <v>0</v>
      </c>
      <c r="AY565" s="319">
        <f t="shared" si="998"/>
        <v>0</v>
      </c>
      <c r="AZ565" s="319">
        <f t="shared" si="998"/>
        <v>105.2</v>
      </c>
      <c r="BA565" s="319">
        <f t="shared" si="998"/>
        <v>0</v>
      </c>
      <c r="BB565" s="319">
        <f t="shared" si="998"/>
        <v>0</v>
      </c>
      <c r="BC565" s="319">
        <f t="shared" si="998"/>
        <v>0</v>
      </c>
      <c r="BD565" s="319">
        <f t="shared" si="998"/>
        <v>0</v>
      </c>
      <c r="BE565" s="319">
        <f t="shared" si="998"/>
        <v>0</v>
      </c>
      <c r="BF565" s="319">
        <f t="shared" si="998"/>
        <v>0</v>
      </c>
      <c r="BG565" s="319">
        <f t="shared" si="998"/>
        <v>0</v>
      </c>
      <c r="BH565" s="319">
        <f t="shared" si="998"/>
        <v>0</v>
      </c>
      <c r="BI565" s="319">
        <f t="shared" si="998"/>
        <v>0</v>
      </c>
      <c r="BJ565" s="319">
        <f t="shared" si="998"/>
        <v>0</v>
      </c>
      <c r="BK565" s="319">
        <f t="shared" si="998"/>
        <v>0</v>
      </c>
      <c r="BL565" s="319">
        <f t="shared" si="998"/>
        <v>0</v>
      </c>
      <c r="BM565" s="319">
        <f t="shared" si="998"/>
        <v>0</v>
      </c>
      <c r="BN565" s="319">
        <f t="shared" si="998"/>
        <v>0</v>
      </c>
      <c r="BO565" s="319">
        <f t="shared" si="998"/>
        <v>0</v>
      </c>
      <c r="BP565" s="319">
        <f t="shared" si="998"/>
        <v>0</v>
      </c>
      <c r="BQ565" s="319">
        <f t="shared" si="998"/>
        <v>0</v>
      </c>
      <c r="BR565" s="319">
        <f t="shared" si="998"/>
        <v>0</v>
      </c>
      <c r="BS565" s="319">
        <f t="shared" si="998"/>
        <v>0</v>
      </c>
      <c r="BT565" s="319">
        <f t="shared" si="998"/>
        <v>2543.3500000000004</v>
      </c>
      <c r="BU565" s="319">
        <f t="shared" si="998"/>
        <v>0</v>
      </c>
      <c r="BV565" s="319">
        <f t="shared" si="998"/>
        <v>0</v>
      </c>
      <c r="BW565" s="319">
        <f t="shared" si="998"/>
        <v>2543.3500000000004</v>
      </c>
      <c r="BX565" s="1"/>
      <c r="BY565" s="1"/>
      <c r="BZ565" s="1"/>
      <c r="CA565" s="1"/>
      <c r="CB565" s="1"/>
      <c r="CC565" s="1"/>
      <c r="CD565" s="1"/>
      <c r="CE565" s="1"/>
      <c r="CF565" s="1"/>
      <c r="CG565" s="1"/>
    </row>
    <row r="566" spans="1:85" ht="15.75" customHeight="1">
      <c r="A566" s="313"/>
      <c r="B566" s="418"/>
      <c r="C566" s="416" t="s">
        <v>694</v>
      </c>
      <c r="D566" s="314" t="s">
        <v>695</v>
      </c>
      <c r="E566" s="319">
        <f>E342</f>
        <v>0</v>
      </c>
      <c r="F566" s="319">
        <f>F342</f>
        <v>0</v>
      </c>
      <c r="G566" s="319">
        <f>G342</f>
        <v>0</v>
      </c>
      <c r="H566" s="319">
        <f>H342</f>
        <v>0</v>
      </c>
      <c r="I566" s="319">
        <f t="shared" ref="I566:K566" si="999">I342</f>
        <v>0</v>
      </c>
      <c r="J566" s="319">
        <f t="shared" si="999"/>
        <v>0</v>
      </c>
      <c r="K566" s="319">
        <f t="shared" si="999"/>
        <v>0</v>
      </c>
      <c r="L566" s="319">
        <f t="shared" ref="L566:W566" si="1000">L342</f>
        <v>0</v>
      </c>
      <c r="M566" s="319">
        <f t="shared" si="1000"/>
        <v>0</v>
      </c>
      <c r="N566" s="319">
        <f t="shared" si="1000"/>
        <v>0</v>
      </c>
      <c r="O566" s="319">
        <f t="shared" si="1000"/>
        <v>0</v>
      </c>
      <c r="P566" s="319">
        <f t="shared" si="1000"/>
        <v>0</v>
      </c>
      <c r="Q566" s="319">
        <f t="shared" si="1000"/>
        <v>0</v>
      </c>
      <c r="R566" s="320">
        <f t="shared" si="1000"/>
        <v>0</v>
      </c>
      <c r="S566" s="320">
        <f t="shared" si="1000"/>
        <v>0</v>
      </c>
      <c r="T566" s="320">
        <f t="shared" si="1000"/>
        <v>0</v>
      </c>
      <c r="U566" s="386">
        <f t="shared" si="1000"/>
        <v>0</v>
      </c>
      <c r="V566" s="386">
        <f t="shared" si="1000"/>
        <v>0</v>
      </c>
      <c r="W566" s="386">
        <f t="shared" si="1000"/>
        <v>0</v>
      </c>
      <c r="X566" s="310">
        <f t="shared" si="990"/>
        <v>0</v>
      </c>
      <c r="Y566" s="310">
        <f t="shared" si="991"/>
        <v>0</v>
      </c>
      <c r="Z566" s="310">
        <f t="shared" si="790"/>
        <v>0</v>
      </c>
      <c r="AA566" s="319">
        <f t="shared" ref="AA566:BW566" si="1001">AA342</f>
        <v>0</v>
      </c>
      <c r="AB566" s="319">
        <f t="shared" si="1001"/>
        <v>0</v>
      </c>
      <c r="AC566" s="319">
        <f t="shared" si="1001"/>
        <v>0</v>
      </c>
      <c r="AD566" s="319">
        <f t="shared" si="1001"/>
        <v>0</v>
      </c>
      <c r="AE566" s="319">
        <f t="shared" si="1001"/>
        <v>0</v>
      </c>
      <c r="AF566" s="319">
        <f t="shared" si="1001"/>
        <v>0</v>
      </c>
      <c r="AG566" s="319">
        <f t="shared" si="1001"/>
        <v>0</v>
      </c>
      <c r="AH566" s="319">
        <f t="shared" si="1001"/>
        <v>0</v>
      </c>
      <c r="AI566" s="319">
        <f t="shared" si="1001"/>
        <v>0</v>
      </c>
      <c r="AJ566" s="319">
        <f t="shared" si="1001"/>
        <v>0</v>
      </c>
      <c r="AK566" s="319">
        <f t="shared" si="1001"/>
        <v>0</v>
      </c>
      <c r="AL566" s="319">
        <f t="shared" si="1001"/>
        <v>0</v>
      </c>
      <c r="AM566" s="319">
        <f t="shared" si="1001"/>
        <v>0</v>
      </c>
      <c r="AN566" s="319">
        <f t="shared" si="1001"/>
        <v>0</v>
      </c>
      <c r="AO566" s="319">
        <f t="shared" si="1001"/>
        <v>0</v>
      </c>
      <c r="AP566" s="319">
        <f t="shared" si="1001"/>
        <v>0</v>
      </c>
      <c r="AQ566" s="319">
        <f t="shared" si="1001"/>
        <v>0</v>
      </c>
      <c r="AR566" s="319">
        <f t="shared" si="1001"/>
        <v>0</v>
      </c>
      <c r="AS566" s="319">
        <f t="shared" si="1001"/>
        <v>0</v>
      </c>
      <c r="AT566" s="319">
        <f t="shared" si="1001"/>
        <v>0</v>
      </c>
      <c r="AU566" s="319">
        <f t="shared" si="1001"/>
        <v>0</v>
      </c>
      <c r="AV566" s="319">
        <f t="shared" si="1001"/>
        <v>0</v>
      </c>
      <c r="AW566" s="319">
        <f t="shared" si="1001"/>
        <v>0</v>
      </c>
      <c r="AX566" s="319">
        <f t="shared" si="1001"/>
        <v>0</v>
      </c>
      <c r="AY566" s="319">
        <f t="shared" si="1001"/>
        <v>0</v>
      </c>
      <c r="AZ566" s="319">
        <f t="shared" si="1001"/>
        <v>0</v>
      </c>
      <c r="BA566" s="319">
        <f t="shared" si="1001"/>
        <v>0</v>
      </c>
      <c r="BB566" s="319">
        <f t="shared" si="1001"/>
        <v>0</v>
      </c>
      <c r="BC566" s="319">
        <f t="shared" si="1001"/>
        <v>0</v>
      </c>
      <c r="BD566" s="319">
        <f t="shared" si="1001"/>
        <v>0</v>
      </c>
      <c r="BE566" s="319">
        <f t="shared" si="1001"/>
        <v>0</v>
      </c>
      <c r="BF566" s="319">
        <f t="shared" si="1001"/>
        <v>0</v>
      </c>
      <c r="BG566" s="319">
        <f t="shared" si="1001"/>
        <v>0</v>
      </c>
      <c r="BH566" s="319">
        <f t="shared" si="1001"/>
        <v>0</v>
      </c>
      <c r="BI566" s="319">
        <f t="shared" si="1001"/>
        <v>0</v>
      </c>
      <c r="BJ566" s="319">
        <f t="shared" si="1001"/>
        <v>0</v>
      </c>
      <c r="BK566" s="319">
        <f t="shared" si="1001"/>
        <v>0</v>
      </c>
      <c r="BL566" s="319">
        <f t="shared" si="1001"/>
        <v>0</v>
      </c>
      <c r="BM566" s="319">
        <f t="shared" si="1001"/>
        <v>0</v>
      </c>
      <c r="BN566" s="319">
        <f t="shared" si="1001"/>
        <v>0</v>
      </c>
      <c r="BO566" s="319">
        <f t="shared" si="1001"/>
        <v>0</v>
      </c>
      <c r="BP566" s="319">
        <f t="shared" si="1001"/>
        <v>0</v>
      </c>
      <c r="BQ566" s="319">
        <f t="shared" si="1001"/>
        <v>0</v>
      </c>
      <c r="BR566" s="319">
        <f t="shared" si="1001"/>
        <v>0</v>
      </c>
      <c r="BS566" s="319">
        <f t="shared" si="1001"/>
        <v>0</v>
      </c>
      <c r="BT566" s="319">
        <f t="shared" si="1001"/>
        <v>0</v>
      </c>
      <c r="BU566" s="319">
        <f t="shared" si="1001"/>
        <v>0</v>
      </c>
      <c r="BV566" s="319">
        <f t="shared" si="1001"/>
        <v>0</v>
      </c>
      <c r="BW566" s="319">
        <f t="shared" si="1001"/>
        <v>0</v>
      </c>
      <c r="BX566" s="1"/>
      <c r="BY566" s="1"/>
      <c r="BZ566" s="1"/>
      <c r="CA566" s="1"/>
      <c r="CB566" s="1"/>
      <c r="CC566" s="1"/>
      <c r="CD566" s="1"/>
      <c r="CE566" s="1"/>
      <c r="CF566" s="1"/>
      <c r="CG566" s="1"/>
    </row>
    <row r="567" spans="1:85" ht="15.75" customHeight="1">
      <c r="A567" s="313"/>
      <c r="B567" s="418"/>
      <c r="C567" s="416" t="s">
        <v>402</v>
      </c>
      <c r="D567" s="327" t="s">
        <v>968</v>
      </c>
      <c r="E567" s="319">
        <f>E148+E231</f>
        <v>3000</v>
      </c>
      <c r="F567" s="319">
        <f>F148+F231</f>
        <v>3000</v>
      </c>
      <c r="G567" s="319">
        <f>G148+G231</f>
        <v>0</v>
      </c>
      <c r="H567" s="319">
        <f>H148+H231</f>
        <v>0</v>
      </c>
      <c r="I567" s="319">
        <f t="shared" ref="I567:K567" si="1002">I148+I231</f>
        <v>0</v>
      </c>
      <c r="J567" s="319">
        <f t="shared" si="1002"/>
        <v>0</v>
      </c>
      <c r="K567" s="319">
        <f t="shared" si="1002"/>
        <v>0</v>
      </c>
      <c r="L567" s="319">
        <f t="shared" ref="L567:W567" si="1003">L148+L231</f>
        <v>0</v>
      </c>
      <c r="M567" s="319">
        <f t="shared" si="1003"/>
        <v>0</v>
      </c>
      <c r="N567" s="319">
        <f t="shared" si="1003"/>
        <v>0</v>
      </c>
      <c r="O567" s="320">
        <f t="shared" si="1003"/>
        <v>0</v>
      </c>
      <c r="P567" s="320">
        <f t="shared" si="1003"/>
        <v>0</v>
      </c>
      <c r="Q567" s="320">
        <f t="shared" si="1003"/>
        <v>0</v>
      </c>
      <c r="R567" s="320">
        <f t="shared" si="1003"/>
        <v>0</v>
      </c>
      <c r="S567" s="320">
        <f t="shared" si="1003"/>
        <v>0</v>
      </c>
      <c r="T567" s="320">
        <f t="shared" si="1003"/>
        <v>0</v>
      </c>
      <c r="U567" s="387">
        <f>U148+U231</f>
        <v>0</v>
      </c>
      <c r="V567" s="386">
        <f t="shared" si="1003"/>
        <v>0</v>
      </c>
      <c r="W567" s="387">
        <f t="shared" si="1003"/>
        <v>0</v>
      </c>
      <c r="X567" s="310">
        <f t="shared" si="990"/>
        <v>0</v>
      </c>
      <c r="Y567" s="310">
        <f t="shared" si="991"/>
        <v>0</v>
      </c>
      <c r="Z567" s="310">
        <f t="shared" si="790"/>
        <v>0</v>
      </c>
      <c r="AA567" s="319">
        <f t="shared" ref="AA567:BW567" si="1004">AA148+AA231</f>
        <v>0</v>
      </c>
      <c r="AB567" s="319">
        <f t="shared" si="1004"/>
        <v>0</v>
      </c>
      <c r="AC567" s="319">
        <f t="shared" si="1004"/>
        <v>0</v>
      </c>
      <c r="AD567" s="319">
        <f t="shared" si="1004"/>
        <v>0</v>
      </c>
      <c r="AE567" s="319">
        <f t="shared" si="1004"/>
        <v>0</v>
      </c>
      <c r="AF567" s="319">
        <f t="shared" si="1004"/>
        <v>0</v>
      </c>
      <c r="AG567" s="319">
        <f t="shared" si="1004"/>
        <v>0</v>
      </c>
      <c r="AH567" s="319">
        <f t="shared" si="1004"/>
        <v>0</v>
      </c>
      <c r="AI567" s="319">
        <f t="shared" si="1004"/>
        <v>0</v>
      </c>
      <c r="AJ567" s="319">
        <f t="shared" si="1004"/>
        <v>0</v>
      </c>
      <c r="AK567" s="319">
        <f t="shared" si="1004"/>
        <v>0</v>
      </c>
      <c r="AL567" s="319">
        <f t="shared" si="1004"/>
        <v>0</v>
      </c>
      <c r="AM567" s="319">
        <f t="shared" si="1004"/>
        <v>0</v>
      </c>
      <c r="AN567" s="319">
        <f t="shared" si="1004"/>
        <v>0</v>
      </c>
      <c r="AO567" s="319">
        <f t="shared" si="1004"/>
        <v>0</v>
      </c>
      <c r="AP567" s="319">
        <f t="shared" si="1004"/>
        <v>0</v>
      </c>
      <c r="AQ567" s="319">
        <f t="shared" si="1004"/>
        <v>0</v>
      </c>
      <c r="AR567" s="319">
        <f t="shared" si="1004"/>
        <v>0</v>
      </c>
      <c r="AS567" s="319">
        <f t="shared" si="1004"/>
        <v>0</v>
      </c>
      <c r="AT567" s="319">
        <f t="shared" si="1004"/>
        <v>0</v>
      </c>
      <c r="AU567" s="319">
        <f t="shared" si="1004"/>
        <v>0</v>
      </c>
      <c r="AV567" s="319">
        <f t="shared" si="1004"/>
        <v>0</v>
      </c>
      <c r="AW567" s="319">
        <f t="shared" si="1004"/>
        <v>0</v>
      </c>
      <c r="AX567" s="319">
        <f t="shared" si="1004"/>
        <v>0</v>
      </c>
      <c r="AY567" s="319">
        <f t="shared" si="1004"/>
        <v>0</v>
      </c>
      <c r="AZ567" s="319">
        <f t="shared" si="1004"/>
        <v>0</v>
      </c>
      <c r="BA567" s="319">
        <f t="shared" si="1004"/>
        <v>0</v>
      </c>
      <c r="BB567" s="319">
        <f t="shared" si="1004"/>
        <v>0</v>
      </c>
      <c r="BC567" s="319">
        <f t="shared" si="1004"/>
        <v>0</v>
      </c>
      <c r="BD567" s="319">
        <f t="shared" si="1004"/>
        <v>0</v>
      </c>
      <c r="BE567" s="319">
        <f t="shared" si="1004"/>
        <v>0</v>
      </c>
      <c r="BF567" s="319">
        <f t="shared" si="1004"/>
        <v>0</v>
      </c>
      <c r="BG567" s="319">
        <f t="shared" si="1004"/>
        <v>0</v>
      </c>
      <c r="BH567" s="319">
        <f t="shared" si="1004"/>
        <v>0</v>
      </c>
      <c r="BI567" s="319">
        <f t="shared" si="1004"/>
        <v>0</v>
      </c>
      <c r="BJ567" s="319">
        <f t="shared" si="1004"/>
        <v>0</v>
      </c>
      <c r="BK567" s="319">
        <f t="shared" si="1004"/>
        <v>0</v>
      </c>
      <c r="BL567" s="319">
        <f t="shared" si="1004"/>
        <v>0</v>
      </c>
      <c r="BM567" s="319">
        <f t="shared" si="1004"/>
        <v>0</v>
      </c>
      <c r="BN567" s="319">
        <f t="shared" si="1004"/>
        <v>0</v>
      </c>
      <c r="BO567" s="319">
        <f t="shared" si="1004"/>
        <v>0</v>
      </c>
      <c r="BP567" s="319">
        <f t="shared" si="1004"/>
        <v>0</v>
      </c>
      <c r="BQ567" s="319">
        <f t="shared" si="1004"/>
        <v>0</v>
      </c>
      <c r="BR567" s="319">
        <f t="shared" si="1004"/>
        <v>0</v>
      </c>
      <c r="BS567" s="319">
        <f t="shared" si="1004"/>
        <v>0</v>
      </c>
      <c r="BT567" s="319">
        <f t="shared" si="1004"/>
        <v>0</v>
      </c>
      <c r="BU567" s="319">
        <f t="shared" si="1004"/>
        <v>0</v>
      </c>
      <c r="BV567" s="319">
        <f t="shared" si="1004"/>
        <v>0</v>
      </c>
      <c r="BW567" s="319">
        <f t="shared" si="1004"/>
        <v>0</v>
      </c>
      <c r="BX567" s="1"/>
      <c r="BY567" s="1"/>
      <c r="BZ567" s="1"/>
      <c r="CA567" s="1"/>
      <c r="CB567" s="1"/>
      <c r="CC567" s="1"/>
      <c r="CD567" s="1"/>
      <c r="CE567" s="1"/>
      <c r="CF567" s="1"/>
      <c r="CG567" s="1"/>
    </row>
    <row r="568" spans="1:85" ht="15.75" customHeight="1">
      <c r="A568" s="313"/>
      <c r="B568" s="418"/>
      <c r="C568" s="416" t="s">
        <v>404</v>
      </c>
      <c r="D568" s="327" t="s">
        <v>969</v>
      </c>
      <c r="E568" s="319">
        <f>E149</f>
        <v>17000</v>
      </c>
      <c r="F568" s="319">
        <f>F149</f>
        <v>17000</v>
      </c>
      <c r="G568" s="319">
        <f>G149</f>
        <v>0</v>
      </c>
      <c r="H568" s="319">
        <f>H149+H188</f>
        <v>0</v>
      </c>
      <c r="I568" s="319">
        <f t="shared" ref="I568:K568" si="1005">I149+I188</f>
        <v>0</v>
      </c>
      <c r="J568" s="319">
        <f t="shared" si="1005"/>
        <v>0</v>
      </c>
      <c r="K568" s="319">
        <f t="shared" si="1005"/>
        <v>10000</v>
      </c>
      <c r="L568" s="319">
        <f t="shared" ref="L568:W568" si="1006">L149+L188</f>
        <v>2231</v>
      </c>
      <c r="M568" s="319">
        <f t="shared" si="1006"/>
        <v>0</v>
      </c>
      <c r="N568" s="319">
        <f t="shared" si="1006"/>
        <v>0</v>
      </c>
      <c r="O568" s="320">
        <f t="shared" si="1006"/>
        <v>3804</v>
      </c>
      <c r="P568" s="320">
        <f t="shared" si="1006"/>
        <v>2231</v>
      </c>
      <c r="Q568" s="320">
        <f t="shared" si="1006"/>
        <v>0</v>
      </c>
      <c r="R568" s="320">
        <f t="shared" si="1006"/>
        <v>3804</v>
      </c>
      <c r="S568" s="320">
        <f t="shared" si="1006"/>
        <v>2231</v>
      </c>
      <c r="T568" s="320">
        <f t="shared" si="1006"/>
        <v>0</v>
      </c>
      <c r="U568" s="387">
        <f>U149+U188</f>
        <v>6196</v>
      </c>
      <c r="V568" s="386">
        <f t="shared" si="1006"/>
        <v>0</v>
      </c>
      <c r="W568" s="387">
        <f t="shared" si="1006"/>
        <v>0</v>
      </c>
      <c r="X568" s="310">
        <f t="shared" si="990"/>
        <v>0.38040000000000002</v>
      </c>
      <c r="Y568" s="310">
        <f t="shared" si="991"/>
        <v>1</v>
      </c>
      <c r="Z568" s="310">
        <f t="shared" si="790"/>
        <v>0</v>
      </c>
      <c r="AA568" s="319">
        <f t="shared" ref="AA568:BW568" si="1007">AA149+AA188</f>
        <v>0</v>
      </c>
      <c r="AB568" s="319">
        <f t="shared" si="1007"/>
        <v>0</v>
      </c>
      <c r="AC568" s="319">
        <f t="shared" si="1007"/>
        <v>0</v>
      </c>
      <c r="AD568" s="319">
        <f t="shared" si="1007"/>
        <v>0</v>
      </c>
      <c r="AE568" s="319">
        <f t="shared" si="1007"/>
        <v>582</v>
      </c>
      <c r="AF568" s="319">
        <f t="shared" si="1007"/>
        <v>0</v>
      </c>
      <c r="AG568" s="319">
        <f t="shared" si="1007"/>
        <v>0</v>
      </c>
      <c r="AH568" s="319">
        <f t="shared" si="1007"/>
        <v>0</v>
      </c>
      <c r="AI568" s="319">
        <f t="shared" si="1007"/>
        <v>0</v>
      </c>
      <c r="AJ568" s="319">
        <f t="shared" si="1007"/>
        <v>0</v>
      </c>
      <c r="AK568" s="319">
        <f t="shared" si="1007"/>
        <v>83</v>
      </c>
      <c r="AL568" s="319">
        <f t="shared" si="1007"/>
        <v>0</v>
      </c>
      <c r="AM568" s="319">
        <f t="shared" si="1007"/>
        <v>0</v>
      </c>
      <c r="AN568" s="319">
        <f t="shared" si="1007"/>
        <v>581</v>
      </c>
      <c r="AO568" s="319">
        <f t="shared" si="1007"/>
        <v>0</v>
      </c>
      <c r="AP568" s="319">
        <f t="shared" si="1007"/>
        <v>0</v>
      </c>
      <c r="AQ568" s="319">
        <f t="shared" si="1007"/>
        <v>0</v>
      </c>
      <c r="AR568" s="319">
        <f t="shared" si="1007"/>
        <v>0</v>
      </c>
      <c r="AS568" s="319">
        <f t="shared" si="1007"/>
        <v>0</v>
      </c>
      <c r="AT568" s="319">
        <f t="shared" si="1007"/>
        <v>0</v>
      </c>
      <c r="AU568" s="319">
        <f t="shared" si="1007"/>
        <v>0</v>
      </c>
      <c r="AV568" s="319">
        <f t="shared" si="1007"/>
        <v>974</v>
      </c>
      <c r="AW568" s="319">
        <f t="shared" si="1007"/>
        <v>985</v>
      </c>
      <c r="AX568" s="319">
        <f t="shared" si="1007"/>
        <v>0</v>
      </c>
      <c r="AY568" s="319">
        <f t="shared" si="1007"/>
        <v>2830</v>
      </c>
      <c r="AZ568" s="319">
        <f t="shared" si="1007"/>
        <v>0</v>
      </c>
      <c r="BA568" s="319">
        <f t="shared" si="1007"/>
        <v>0</v>
      </c>
      <c r="BB568" s="319">
        <f t="shared" si="1007"/>
        <v>0</v>
      </c>
      <c r="BC568" s="319">
        <f t="shared" si="1007"/>
        <v>0</v>
      </c>
      <c r="BD568" s="319">
        <f t="shared" si="1007"/>
        <v>0</v>
      </c>
      <c r="BE568" s="319">
        <f t="shared" si="1007"/>
        <v>0</v>
      </c>
      <c r="BF568" s="319">
        <f t="shared" si="1007"/>
        <v>0</v>
      </c>
      <c r="BG568" s="319">
        <f t="shared" si="1007"/>
        <v>0</v>
      </c>
      <c r="BH568" s="319">
        <f t="shared" si="1007"/>
        <v>0</v>
      </c>
      <c r="BI568" s="319">
        <f t="shared" si="1007"/>
        <v>0</v>
      </c>
      <c r="BJ568" s="319">
        <f t="shared" si="1007"/>
        <v>0</v>
      </c>
      <c r="BK568" s="319">
        <f t="shared" si="1007"/>
        <v>0</v>
      </c>
      <c r="BL568" s="319">
        <f t="shared" si="1007"/>
        <v>0</v>
      </c>
      <c r="BM568" s="319">
        <f t="shared" si="1007"/>
        <v>0</v>
      </c>
      <c r="BN568" s="319">
        <f t="shared" si="1007"/>
        <v>3804</v>
      </c>
      <c r="BO568" s="319">
        <f t="shared" si="1007"/>
        <v>0</v>
      </c>
      <c r="BP568" s="319">
        <f t="shared" si="1007"/>
        <v>3804</v>
      </c>
      <c r="BQ568" s="319">
        <f t="shared" si="1007"/>
        <v>6196</v>
      </c>
      <c r="BR568" s="319">
        <f t="shared" si="1007"/>
        <v>0</v>
      </c>
      <c r="BS568" s="319">
        <f t="shared" si="1007"/>
        <v>6196</v>
      </c>
      <c r="BT568" s="319">
        <f t="shared" si="1007"/>
        <v>0</v>
      </c>
      <c r="BU568" s="319">
        <f t="shared" si="1007"/>
        <v>3804</v>
      </c>
      <c r="BV568" s="319">
        <f t="shared" si="1007"/>
        <v>6196</v>
      </c>
      <c r="BW568" s="319">
        <f t="shared" si="1007"/>
        <v>3804</v>
      </c>
      <c r="BX568" s="1"/>
      <c r="BY568" s="1"/>
      <c r="BZ568" s="1"/>
      <c r="CA568" s="1"/>
      <c r="CB568" s="1"/>
      <c r="CC568" s="1"/>
      <c r="CD568" s="1"/>
      <c r="CE568" s="1"/>
      <c r="CF568" s="1"/>
      <c r="CG568" s="1"/>
    </row>
    <row r="569" spans="1:85" ht="15.75" customHeight="1">
      <c r="A569" s="313"/>
      <c r="B569" s="418"/>
      <c r="C569" s="416" t="s">
        <v>466</v>
      </c>
      <c r="D569" s="311" t="s">
        <v>397</v>
      </c>
      <c r="E569" s="319">
        <f>E189+E479</f>
        <v>0</v>
      </c>
      <c r="F569" s="319">
        <f>F189+F479</f>
        <v>0</v>
      </c>
      <c r="G569" s="319">
        <f>G189+G479</f>
        <v>0</v>
      </c>
      <c r="H569" s="319">
        <f>H189+H479</f>
        <v>0</v>
      </c>
      <c r="I569" s="319">
        <f t="shared" ref="I569:K569" si="1008">I189+I479</f>
        <v>0</v>
      </c>
      <c r="J569" s="319">
        <f t="shared" si="1008"/>
        <v>0</v>
      </c>
      <c r="K569" s="319">
        <f t="shared" si="1008"/>
        <v>62519</v>
      </c>
      <c r="L569" s="319">
        <f t="shared" ref="L569:W569" si="1009">L189+L479</f>
        <v>0</v>
      </c>
      <c r="M569" s="319">
        <f t="shared" si="1009"/>
        <v>0</v>
      </c>
      <c r="N569" s="319">
        <f t="shared" si="1009"/>
        <v>0</v>
      </c>
      <c r="O569" s="320">
        <f t="shared" si="1009"/>
        <v>62519</v>
      </c>
      <c r="P569" s="320">
        <f t="shared" si="1009"/>
        <v>0</v>
      </c>
      <c r="Q569" s="320">
        <f t="shared" si="1009"/>
        <v>0</v>
      </c>
      <c r="R569" s="320">
        <f t="shared" si="1009"/>
        <v>62519</v>
      </c>
      <c r="S569" s="320">
        <f t="shared" si="1009"/>
        <v>0</v>
      </c>
      <c r="T569" s="320">
        <f t="shared" si="1009"/>
        <v>0</v>
      </c>
      <c r="U569" s="387">
        <f t="shared" si="1009"/>
        <v>0</v>
      </c>
      <c r="V569" s="386">
        <f t="shared" si="1009"/>
        <v>0</v>
      </c>
      <c r="W569" s="387">
        <f t="shared" si="1009"/>
        <v>0</v>
      </c>
      <c r="X569" s="310">
        <f t="shared" si="990"/>
        <v>1</v>
      </c>
      <c r="Y569" s="310">
        <f t="shared" si="991"/>
        <v>0</v>
      </c>
      <c r="Z569" s="310">
        <f t="shared" si="790"/>
        <v>0</v>
      </c>
      <c r="AA569" s="319">
        <f t="shared" ref="AA569:BW569" si="1010">AA189+AA479</f>
        <v>0</v>
      </c>
      <c r="AB569" s="319">
        <f t="shared" si="1010"/>
        <v>0</v>
      </c>
      <c r="AC569" s="319">
        <f t="shared" si="1010"/>
        <v>0</v>
      </c>
      <c r="AD569" s="319">
        <f t="shared" si="1010"/>
        <v>0</v>
      </c>
      <c r="AE569" s="319">
        <f t="shared" si="1010"/>
        <v>0</v>
      </c>
      <c r="AF569" s="319">
        <f t="shared" si="1010"/>
        <v>0</v>
      </c>
      <c r="AG569" s="319">
        <f t="shared" si="1010"/>
        <v>0</v>
      </c>
      <c r="AH569" s="319">
        <f t="shared" si="1010"/>
        <v>0</v>
      </c>
      <c r="AI569" s="319">
        <f t="shared" si="1010"/>
        <v>0</v>
      </c>
      <c r="AJ569" s="319">
        <f t="shared" si="1010"/>
        <v>46289</v>
      </c>
      <c r="AK569" s="319">
        <f t="shared" si="1010"/>
        <v>0</v>
      </c>
      <c r="AL569" s="319">
        <f t="shared" si="1010"/>
        <v>0</v>
      </c>
      <c r="AM569" s="319">
        <f t="shared" si="1010"/>
        <v>0</v>
      </c>
      <c r="AN569" s="319">
        <f t="shared" si="1010"/>
        <v>0</v>
      </c>
      <c r="AO569" s="319">
        <f t="shared" si="1010"/>
        <v>0</v>
      </c>
      <c r="AP569" s="319">
        <f t="shared" si="1010"/>
        <v>16230</v>
      </c>
      <c r="AQ569" s="319">
        <f t="shared" si="1010"/>
        <v>0</v>
      </c>
      <c r="AR569" s="319">
        <f t="shared" si="1010"/>
        <v>0</v>
      </c>
      <c r="AS569" s="319">
        <f t="shared" si="1010"/>
        <v>0</v>
      </c>
      <c r="AT569" s="319">
        <f t="shared" si="1010"/>
        <v>0</v>
      </c>
      <c r="AU569" s="319">
        <f t="shared" si="1010"/>
        <v>0</v>
      </c>
      <c r="AV569" s="319">
        <f t="shared" si="1010"/>
        <v>0</v>
      </c>
      <c r="AW569" s="319">
        <f t="shared" si="1010"/>
        <v>0</v>
      </c>
      <c r="AX569" s="319">
        <f t="shared" si="1010"/>
        <v>0</v>
      </c>
      <c r="AY569" s="319">
        <f t="shared" si="1010"/>
        <v>0</v>
      </c>
      <c r="AZ569" s="319">
        <f t="shared" si="1010"/>
        <v>0</v>
      </c>
      <c r="BA569" s="319">
        <f t="shared" si="1010"/>
        <v>0</v>
      </c>
      <c r="BB569" s="319">
        <f t="shared" si="1010"/>
        <v>0</v>
      </c>
      <c r="BC569" s="319">
        <f t="shared" si="1010"/>
        <v>0</v>
      </c>
      <c r="BD569" s="319">
        <f t="shared" si="1010"/>
        <v>0</v>
      </c>
      <c r="BE569" s="319">
        <f t="shared" si="1010"/>
        <v>0</v>
      </c>
      <c r="BF569" s="319">
        <f t="shared" si="1010"/>
        <v>0</v>
      </c>
      <c r="BG569" s="319">
        <f t="shared" si="1010"/>
        <v>0</v>
      </c>
      <c r="BH569" s="319">
        <f t="shared" si="1010"/>
        <v>0</v>
      </c>
      <c r="BI569" s="319">
        <f t="shared" si="1010"/>
        <v>0</v>
      </c>
      <c r="BJ569" s="319">
        <f t="shared" si="1010"/>
        <v>0</v>
      </c>
      <c r="BK569" s="319">
        <f t="shared" si="1010"/>
        <v>0</v>
      </c>
      <c r="BL569" s="319">
        <f t="shared" si="1010"/>
        <v>0</v>
      </c>
      <c r="BM569" s="319">
        <f t="shared" si="1010"/>
        <v>0</v>
      </c>
      <c r="BN569" s="319">
        <f t="shared" si="1010"/>
        <v>62519</v>
      </c>
      <c r="BO569" s="319">
        <f t="shared" si="1010"/>
        <v>0</v>
      </c>
      <c r="BP569" s="319">
        <f t="shared" si="1010"/>
        <v>62519</v>
      </c>
      <c r="BQ569" s="319">
        <f t="shared" si="1010"/>
        <v>0</v>
      </c>
      <c r="BR569" s="319">
        <f t="shared" si="1010"/>
        <v>0</v>
      </c>
      <c r="BS569" s="319">
        <f t="shared" si="1010"/>
        <v>0</v>
      </c>
      <c r="BT569" s="319">
        <f t="shared" si="1010"/>
        <v>0</v>
      </c>
      <c r="BU569" s="319">
        <f t="shared" si="1010"/>
        <v>62519</v>
      </c>
      <c r="BV569" s="319">
        <f t="shared" si="1010"/>
        <v>0</v>
      </c>
      <c r="BW569" s="319">
        <f t="shared" si="1010"/>
        <v>62519</v>
      </c>
      <c r="BX569" s="1"/>
      <c r="BY569" s="1"/>
      <c r="BZ569" s="1"/>
      <c r="CA569" s="1"/>
      <c r="CB569" s="1"/>
      <c r="CC569" s="1"/>
      <c r="CD569" s="1"/>
      <c r="CE569" s="1"/>
      <c r="CF569" s="1"/>
      <c r="CG569" s="1"/>
    </row>
    <row r="570" spans="1:85" ht="15.75" customHeight="1">
      <c r="A570" s="313"/>
      <c r="B570" s="418"/>
      <c r="C570" s="416" t="s">
        <v>406</v>
      </c>
      <c r="D570" s="327" t="s">
        <v>970</v>
      </c>
      <c r="E570" s="319">
        <f t="shared" ref="E570:W570" si="1011">E150+E190+E191+E192</f>
        <v>40721.629999999997</v>
      </c>
      <c r="F570" s="319">
        <f t="shared" si="1011"/>
        <v>40721.629999999997</v>
      </c>
      <c r="G570" s="319">
        <f t="shared" si="1011"/>
        <v>0</v>
      </c>
      <c r="H570" s="319">
        <f t="shared" si="1011"/>
        <v>0</v>
      </c>
      <c r="I570" s="319">
        <f t="shared" si="1011"/>
        <v>0</v>
      </c>
      <c r="J570" s="319">
        <f t="shared" si="1011"/>
        <v>0</v>
      </c>
      <c r="K570" s="319">
        <f>K150+K190+K191+K192</f>
        <v>7730</v>
      </c>
      <c r="L570" s="319">
        <f t="shared" si="1011"/>
        <v>8574.91</v>
      </c>
      <c r="M570" s="319">
        <f t="shared" si="1011"/>
        <v>0</v>
      </c>
      <c r="N570" s="319">
        <f t="shared" si="1011"/>
        <v>0</v>
      </c>
      <c r="O570" s="319">
        <f t="shared" si="1011"/>
        <v>2253</v>
      </c>
      <c r="P570" s="319">
        <f t="shared" si="1011"/>
        <v>8020.3899999999994</v>
      </c>
      <c r="Q570" s="319">
        <f t="shared" si="1011"/>
        <v>0</v>
      </c>
      <c r="R570" s="319">
        <f t="shared" si="1011"/>
        <v>2253</v>
      </c>
      <c r="S570" s="319">
        <f t="shared" si="1011"/>
        <v>8020.3899999999994</v>
      </c>
      <c r="T570" s="319">
        <f t="shared" si="1011"/>
        <v>0</v>
      </c>
      <c r="U570" s="319">
        <f t="shared" si="1011"/>
        <v>5477</v>
      </c>
      <c r="V570" s="319">
        <f t="shared" si="1011"/>
        <v>554.52000000000044</v>
      </c>
      <c r="W570" s="319">
        <f t="shared" si="1011"/>
        <v>0</v>
      </c>
      <c r="X570" s="310">
        <f t="shared" si="990"/>
        <v>0.29146183699870631</v>
      </c>
      <c r="Y570" s="310">
        <f t="shared" si="991"/>
        <v>0.93533226587800922</v>
      </c>
      <c r="Z570" s="310">
        <f t="shared" si="790"/>
        <v>0</v>
      </c>
      <c r="AA570" s="319">
        <f t="shared" ref="AA570:BW570" si="1012">AA150+AA190+AA191+AA192</f>
        <v>0</v>
      </c>
      <c r="AB570" s="319">
        <f t="shared" si="1012"/>
        <v>0</v>
      </c>
      <c r="AC570" s="319">
        <f t="shared" si="1012"/>
        <v>0</v>
      </c>
      <c r="AD570" s="319">
        <f t="shared" si="1012"/>
        <v>0</v>
      </c>
      <c r="AE570" s="319">
        <f t="shared" si="1012"/>
        <v>1230.1100000000001</v>
      </c>
      <c r="AF570" s="319">
        <f t="shared" si="1012"/>
        <v>0</v>
      </c>
      <c r="AG570" s="319">
        <f t="shared" si="1012"/>
        <v>0</v>
      </c>
      <c r="AH570" s="319">
        <f t="shared" si="1012"/>
        <v>792.16</v>
      </c>
      <c r="AI570" s="319">
        <f t="shared" si="1012"/>
        <v>0</v>
      </c>
      <c r="AJ570" s="319">
        <f t="shared" si="1012"/>
        <v>0</v>
      </c>
      <c r="AK570" s="319">
        <f t="shared" si="1012"/>
        <v>2109.52</v>
      </c>
      <c r="AL570" s="319">
        <f t="shared" si="1012"/>
        <v>0</v>
      </c>
      <c r="AM570" s="319">
        <f t="shared" si="1012"/>
        <v>0</v>
      </c>
      <c r="AN570" s="319">
        <f t="shared" si="1012"/>
        <v>554.52</v>
      </c>
      <c r="AO570" s="319">
        <f t="shared" si="1012"/>
        <v>0</v>
      </c>
      <c r="AP570" s="319">
        <f t="shared" si="1012"/>
        <v>0</v>
      </c>
      <c r="AQ570" s="319">
        <f t="shared" si="1012"/>
        <v>554.52</v>
      </c>
      <c r="AR570" s="319">
        <f t="shared" si="1012"/>
        <v>0</v>
      </c>
      <c r="AS570" s="319">
        <f t="shared" si="1012"/>
        <v>0</v>
      </c>
      <c r="AT570" s="319">
        <f t="shared" si="1012"/>
        <v>554.52</v>
      </c>
      <c r="AU570" s="319">
        <f t="shared" si="1012"/>
        <v>0</v>
      </c>
      <c r="AV570" s="319">
        <f t="shared" si="1012"/>
        <v>2253</v>
      </c>
      <c r="AW570" s="319">
        <f t="shared" si="1012"/>
        <v>1670.52</v>
      </c>
      <c r="AX570" s="319">
        <f t="shared" si="1012"/>
        <v>0</v>
      </c>
      <c r="AY570" s="319">
        <f t="shared" si="1012"/>
        <v>0</v>
      </c>
      <c r="AZ570" s="319">
        <f t="shared" si="1012"/>
        <v>554.52</v>
      </c>
      <c r="BA570" s="319">
        <f t="shared" si="1012"/>
        <v>0</v>
      </c>
      <c r="BB570" s="319">
        <f t="shared" si="1012"/>
        <v>0</v>
      </c>
      <c r="BC570" s="319">
        <f t="shared" si="1012"/>
        <v>0</v>
      </c>
      <c r="BD570" s="319">
        <f t="shared" si="1012"/>
        <v>0</v>
      </c>
      <c r="BE570" s="319">
        <f t="shared" si="1012"/>
        <v>0</v>
      </c>
      <c r="BF570" s="319">
        <f t="shared" si="1012"/>
        <v>0</v>
      </c>
      <c r="BG570" s="319">
        <f t="shared" si="1012"/>
        <v>0</v>
      </c>
      <c r="BH570" s="319">
        <f t="shared" si="1012"/>
        <v>0</v>
      </c>
      <c r="BI570" s="319">
        <f t="shared" si="1012"/>
        <v>0</v>
      </c>
      <c r="BJ570" s="319">
        <f t="shared" si="1012"/>
        <v>0</v>
      </c>
      <c r="BK570" s="319">
        <f t="shared" si="1012"/>
        <v>0</v>
      </c>
      <c r="BL570" s="319">
        <f t="shared" si="1012"/>
        <v>0</v>
      </c>
      <c r="BM570" s="319">
        <f t="shared" si="1012"/>
        <v>0</v>
      </c>
      <c r="BN570" s="319">
        <f t="shared" si="1012"/>
        <v>2253</v>
      </c>
      <c r="BO570" s="319">
        <f t="shared" si="1012"/>
        <v>0</v>
      </c>
      <c r="BP570" s="319">
        <f t="shared" si="1012"/>
        <v>2253</v>
      </c>
      <c r="BQ570" s="319">
        <f t="shared" si="1012"/>
        <v>5477</v>
      </c>
      <c r="BR570" s="319">
        <f t="shared" si="1012"/>
        <v>0</v>
      </c>
      <c r="BS570" s="319">
        <f t="shared" si="1012"/>
        <v>5477</v>
      </c>
      <c r="BT570" s="319">
        <f t="shared" si="1012"/>
        <v>554.52000000000044</v>
      </c>
      <c r="BU570" s="319">
        <f t="shared" si="1012"/>
        <v>2253</v>
      </c>
      <c r="BV570" s="319">
        <f t="shared" si="1012"/>
        <v>5477</v>
      </c>
      <c r="BW570" s="319">
        <f t="shared" si="1012"/>
        <v>2807.5200000000004</v>
      </c>
      <c r="BX570" s="1"/>
      <c r="BY570" s="1"/>
      <c r="BZ570" s="1"/>
      <c r="CA570" s="1"/>
      <c r="CB570" s="1"/>
      <c r="CC570" s="1"/>
      <c r="CD570" s="1"/>
      <c r="CE570" s="1"/>
      <c r="CF570" s="1"/>
      <c r="CG570" s="1"/>
    </row>
    <row r="571" spans="1:85" ht="15.75" customHeight="1">
      <c r="A571" s="313"/>
      <c r="B571" s="418"/>
      <c r="C571" s="416" t="s">
        <v>479</v>
      </c>
      <c r="D571" s="311" t="s">
        <v>971</v>
      </c>
      <c r="E571" s="319">
        <f>E194</f>
        <v>0</v>
      </c>
      <c r="F571" s="319">
        <f>F194</f>
        <v>0</v>
      </c>
      <c r="G571" s="319">
        <f>G194</f>
        <v>0</v>
      </c>
      <c r="H571" s="319">
        <f>H194</f>
        <v>0</v>
      </c>
      <c r="I571" s="319">
        <f t="shared" ref="I571:J571" si="1013">I194</f>
        <v>0</v>
      </c>
      <c r="J571" s="319">
        <f t="shared" si="1013"/>
        <v>0</v>
      </c>
      <c r="K571" s="319">
        <f>K194</f>
        <v>40752</v>
      </c>
      <c r="L571" s="320">
        <f t="shared" ref="L571:W571" si="1014">L194</f>
        <v>0</v>
      </c>
      <c r="M571" s="320">
        <f t="shared" si="1014"/>
        <v>0</v>
      </c>
      <c r="N571" s="320">
        <f t="shared" si="1014"/>
        <v>0</v>
      </c>
      <c r="O571" s="319">
        <f t="shared" si="1014"/>
        <v>18904.400000000001</v>
      </c>
      <c r="P571" s="319">
        <f t="shared" si="1014"/>
        <v>0</v>
      </c>
      <c r="Q571" s="319">
        <f t="shared" si="1014"/>
        <v>0</v>
      </c>
      <c r="R571" s="320">
        <f t="shared" si="1014"/>
        <v>18904.400000000001</v>
      </c>
      <c r="S571" s="320">
        <f t="shared" si="1014"/>
        <v>0</v>
      </c>
      <c r="T571" s="320">
        <f t="shared" si="1014"/>
        <v>0</v>
      </c>
      <c r="U571" s="386">
        <f t="shared" si="1014"/>
        <v>21847.599999999999</v>
      </c>
      <c r="V571" s="386">
        <f t="shared" si="1014"/>
        <v>0</v>
      </c>
      <c r="W571" s="386">
        <f t="shared" si="1014"/>
        <v>0</v>
      </c>
      <c r="X571" s="310">
        <f t="shared" si="990"/>
        <v>0.46388888888888891</v>
      </c>
      <c r="Y571" s="310">
        <f t="shared" si="991"/>
        <v>0</v>
      </c>
      <c r="Z571" s="310">
        <f t="shared" si="790"/>
        <v>0</v>
      </c>
      <c r="AA571" s="320">
        <f t="shared" ref="AA571:BW571" si="1015">AA194</f>
        <v>0</v>
      </c>
      <c r="AB571" s="320">
        <f t="shared" si="1015"/>
        <v>0</v>
      </c>
      <c r="AC571" s="320">
        <f t="shared" si="1015"/>
        <v>0</v>
      </c>
      <c r="AD571" s="320">
        <f t="shared" si="1015"/>
        <v>0</v>
      </c>
      <c r="AE571" s="320">
        <f t="shared" si="1015"/>
        <v>0</v>
      </c>
      <c r="AF571" s="320">
        <f t="shared" si="1015"/>
        <v>0</v>
      </c>
      <c r="AG571" s="320">
        <f t="shared" si="1015"/>
        <v>0</v>
      </c>
      <c r="AH571" s="320">
        <f t="shared" si="1015"/>
        <v>0</v>
      </c>
      <c r="AI571" s="320">
        <f t="shared" si="1015"/>
        <v>0</v>
      </c>
      <c r="AJ571" s="320">
        <f t="shared" si="1015"/>
        <v>1924.4</v>
      </c>
      <c r="AK571" s="320">
        <f t="shared" si="1015"/>
        <v>0</v>
      </c>
      <c r="AL571" s="320">
        <f t="shared" si="1015"/>
        <v>0</v>
      </c>
      <c r="AM571" s="320">
        <f t="shared" si="1015"/>
        <v>3396</v>
      </c>
      <c r="AN571" s="320">
        <f t="shared" si="1015"/>
        <v>0</v>
      </c>
      <c r="AO571" s="320">
        <f t="shared" si="1015"/>
        <v>0</v>
      </c>
      <c r="AP571" s="320">
        <f t="shared" si="1015"/>
        <v>3396</v>
      </c>
      <c r="AQ571" s="320">
        <f t="shared" si="1015"/>
        <v>0</v>
      </c>
      <c r="AR571" s="320">
        <f t="shared" si="1015"/>
        <v>0</v>
      </c>
      <c r="AS571" s="320">
        <f t="shared" si="1015"/>
        <v>3396</v>
      </c>
      <c r="AT571" s="320">
        <f t="shared" si="1015"/>
        <v>0</v>
      </c>
      <c r="AU571" s="320">
        <f t="shared" si="1015"/>
        <v>0</v>
      </c>
      <c r="AV571" s="320">
        <f t="shared" si="1015"/>
        <v>3396</v>
      </c>
      <c r="AW571" s="320">
        <f t="shared" si="1015"/>
        <v>0</v>
      </c>
      <c r="AX571" s="320">
        <f t="shared" si="1015"/>
        <v>0</v>
      </c>
      <c r="AY571" s="320">
        <f t="shared" si="1015"/>
        <v>3396</v>
      </c>
      <c r="AZ571" s="320">
        <f t="shared" si="1015"/>
        <v>0</v>
      </c>
      <c r="BA571" s="320">
        <f t="shared" si="1015"/>
        <v>0</v>
      </c>
      <c r="BB571" s="320">
        <f t="shared" si="1015"/>
        <v>0</v>
      </c>
      <c r="BC571" s="320">
        <f t="shared" si="1015"/>
        <v>0</v>
      </c>
      <c r="BD571" s="320">
        <f t="shared" si="1015"/>
        <v>0</v>
      </c>
      <c r="BE571" s="320">
        <f t="shared" si="1015"/>
        <v>0</v>
      </c>
      <c r="BF571" s="320">
        <f t="shared" si="1015"/>
        <v>0</v>
      </c>
      <c r="BG571" s="320">
        <f t="shared" si="1015"/>
        <v>0</v>
      </c>
      <c r="BH571" s="320">
        <f t="shared" si="1015"/>
        <v>0</v>
      </c>
      <c r="BI571" s="320">
        <f t="shared" si="1015"/>
        <v>0</v>
      </c>
      <c r="BJ571" s="320">
        <f t="shared" si="1015"/>
        <v>0</v>
      </c>
      <c r="BK571" s="320">
        <f t="shared" si="1015"/>
        <v>0</v>
      </c>
      <c r="BL571" s="320">
        <f t="shared" si="1015"/>
        <v>0</v>
      </c>
      <c r="BM571" s="320">
        <f t="shared" si="1015"/>
        <v>0</v>
      </c>
      <c r="BN571" s="319">
        <f t="shared" si="1015"/>
        <v>18904.400000000001</v>
      </c>
      <c r="BO571" s="319">
        <f t="shared" si="1015"/>
        <v>0</v>
      </c>
      <c r="BP571" s="319">
        <f t="shared" si="1015"/>
        <v>18904.400000000001</v>
      </c>
      <c r="BQ571" s="319">
        <f t="shared" si="1015"/>
        <v>21847.599999999999</v>
      </c>
      <c r="BR571" s="319">
        <f t="shared" si="1015"/>
        <v>0</v>
      </c>
      <c r="BS571" s="319">
        <f t="shared" si="1015"/>
        <v>21847.599999999999</v>
      </c>
      <c r="BT571" s="319">
        <f t="shared" si="1015"/>
        <v>0</v>
      </c>
      <c r="BU571" s="319">
        <f t="shared" si="1015"/>
        <v>18904.400000000001</v>
      </c>
      <c r="BV571" s="319">
        <f t="shared" si="1015"/>
        <v>21847.599999999999</v>
      </c>
      <c r="BW571" s="319">
        <f t="shared" si="1015"/>
        <v>18904.400000000001</v>
      </c>
      <c r="BX571" s="1"/>
      <c r="BY571" s="1"/>
      <c r="BZ571" s="1"/>
      <c r="CA571" s="1"/>
      <c r="CB571" s="1"/>
      <c r="CC571" s="1"/>
      <c r="CD571" s="1"/>
      <c r="CE571" s="1"/>
      <c r="CF571" s="1"/>
      <c r="CG571" s="1"/>
    </row>
    <row r="572" spans="1:85" ht="15.75" customHeight="1">
      <c r="A572" s="313"/>
      <c r="B572" s="418"/>
      <c r="C572" s="416" t="s">
        <v>306</v>
      </c>
      <c r="D572" s="311" t="s">
        <v>481</v>
      </c>
      <c r="E572" s="386">
        <f t="shared" ref="E572:T572" si="1016">E92+E93+E193+E195</f>
        <v>100000</v>
      </c>
      <c r="F572" s="386">
        <f t="shared" si="1016"/>
        <v>0</v>
      </c>
      <c r="G572" s="386">
        <f t="shared" si="1016"/>
        <v>100000</v>
      </c>
      <c r="H572" s="386">
        <f t="shared" si="1016"/>
        <v>0</v>
      </c>
      <c r="I572" s="386">
        <f t="shared" si="1016"/>
        <v>3.4063750000000004E-2</v>
      </c>
      <c r="J572" s="386">
        <f t="shared" si="1016"/>
        <v>3.4063750000000004E-2</v>
      </c>
      <c r="K572" s="386">
        <f t="shared" si="1016"/>
        <v>24874.52</v>
      </c>
      <c r="L572" s="386">
        <f t="shared" si="1016"/>
        <v>22519</v>
      </c>
      <c r="M572" s="386">
        <f t="shared" si="1016"/>
        <v>0</v>
      </c>
      <c r="N572" s="386">
        <f t="shared" si="1016"/>
        <v>0</v>
      </c>
      <c r="O572" s="386">
        <f t="shared" si="1016"/>
        <v>8086.52</v>
      </c>
      <c r="P572" s="386">
        <f t="shared" si="1016"/>
        <v>22519</v>
      </c>
      <c r="Q572" s="386">
        <f t="shared" si="1016"/>
        <v>0</v>
      </c>
      <c r="R572" s="386">
        <f t="shared" si="1016"/>
        <v>8086.52</v>
      </c>
      <c r="S572" s="386">
        <f t="shared" si="1016"/>
        <v>22519</v>
      </c>
      <c r="T572" s="386">
        <f t="shared" si="1016"/>
        <v>0</v>
      </c>
      <c r="U572" s="386">
        <f>U92+U93+U193+U195</f>
        <v>16788</v>
      </c>
      <c r="V572" s="386">
        <f t="shared" ref="V572:W572" si="1017">V92+V93+V193+V195</f>
        <v>0</v>
      </c>
      <c r="W572" s="386">
        <f t="shared" si="1017"/>
        <v>0</v>
      </c>
      <c r="X572" s="310">
        <f t="shared" si="990"/>
        <v>0.32509250429757036</v>
      </c>
      <c r="Y572" s="310">
        <f t="shared" si="991"/>
        <v>1</v>
      </c>
      <c r="Z572" s="310">
        <f t="shared" si="790"/>
        <v>0</v>
      </c>
      <c r="AA572" s="386">
        <f t="shared" ref="AA572:BW572" si="1018">AA92+AA93+AA193+AA195</f>
        <v>0</v>
      </c>
      <c r="AB572" s="386">
        <f t="shared" si="1018"/>
        <v>2185.42</v>
      </c>
      <c r="AC572" s="386">
        <f t="shared" si="1018"/>
        <v>0</v>
      </c>
      <c r="AD572" s="386">
        <f t="shared" si="1018"/>
        <v>0</v>
      </c>
      <c r="AE572" s="386">
        <f t="shared" si="1018"/>
        <v>13356.18</v>
      </c>
      <c r="AF572" s="386">
        <f t="shared" si="1018"/>
        <v>0</v>
      </c>
      <c r="AG572" s="386">
        <f t="shared" si="1018"/>
        <v>0</v>
      </c>
      <c r="AH572" s="386">
        <f t="shared" si="1018"/>
        <v>404.63999999999942</v>
      </c>
      <c r="AI572" s="386">
        <f t="shared" si="1018"/>
        <v>0</v>
      </c>
      <c r="AJ572" s="386">
        <f t="shared" si="1018"/>
        <v>2452.59</v>
      </c>
      <c r="AK572" s="386">
        <f t="shared" si="1018"/>
        <v>5783.72</v>
      </c>
      <c r="AL572" s="386">
        <f t="shared" si="1018"/>
        <v>0</v>
      </c>
      <c r="AM572" s="386">
        <f t="shared" si="1018"/>
        <v>2505.87</v>
      </c>
      <c r="AN572" s="386">
        <f t="shared" si="1018"/>
        <v>789.04</v>
      </c>
      <c r="AO572" s="386">
        <f t="shared" si="1018"/>
        <v>0</v>
      </c>
      <c r="AP572" s="386">
        <f t="shared" si="1018"/>
        <v>0</v>
      </c>
      <c r="AQ572" s="386">
        <f t="shared" si="1018"/>
        <v>0</v>
      </c>
      <c r="AR572" s="386">
        <f t="shared" si="1018"/>
        <v>0</v>
      </c>
      <c r="AS572" s="386">
        <f t="shared" si="1018"/>
        <v>1527.39</v>
      </c>
      <c r="AT572" s="386">
        <f t="shared" si="1018"/>
        <v>0</v>
      </c>
      <c r="AU572" s="386">
        <f t="shared" si="1018"/>
        <v>0</v>
      </c>
      <c r="AV572" s="386">
        <f t="shared" si="1018"/>
        <v>1600.67</v>
      </c>
      <c r="AW572" s="386">
        <f t="shared" si="1018"/>
        <v>0</v>
      </c>
      <c r="AX572" s="386">
        <f t="shared" si="1018"/>
        <v>0</v>
      </c>
      <c r="AY572" s="386">
        <f t="shared" si="1018"/>
        <v>0</v>
      </c>
      <c r="AZ572" s="386">
        <f t="shared" si="1018"/>
        <v>0</v>
      </c>
      <c r="BA572" s="386">
        <f t="shared" si="1018"/>
        <v>0</v>
      </c>
      <c r="BB572" s="386">
        <f t="shared" si="1018"/>
        <v>0</v>
      </c>
      <c r="BC572" s="386">
        <f t="shared" si="1018"/>
        <v>0</v>
      </c>
      <c r="BD572" s="386">
        <f t="shared" si="1018"/>
        <v>0</v>
      </c>
      <c r="BE572" s="386">
        <f t="shared" si="1018"/>
        <v>0</v>
      </c>
      <c r="BF572" s="386">
        <f t="shared" si="1018"/>
        <v>0</v>
      </c>
      <c r="BG572" s="386">
        <f t="shared" si="1018"/>
        <v>0</v>
      </c>
      <c r="BH572" s="386">
        <f t="shared" si="1018"/>
        <v>0</v>
      </c>
      <c r="BI572" s="386">
        <f t="shared" si="1018"/>
        <v>0</v>
      </c>
      <c r="BJ572" s="386">
        <f t="shared" si="1018"/>
        <v>0</v>
      </c>
      <c r="BK572" s="386">
        <f t="shared" si="1018"/>
        <v>0</v>
      </c>
      <c r="BL572" s="386">
        <f t="shared" si="1018"/>
        <v>0</v>
      </c>
      <c r="BM572" s="386">
        <f t="shared" si="1018"/>
        <v>0</v>
      </c>
      <c r="BN572" s="386">
        <f t="shared" si="1018"/>
        <v>8086.52</v>
      </c>
      <c r="BO572" s="386">
        <f t="shared" si="1018"/>
        <v>0</v>
      </c>
      <c r="BP572" s="386">
        <f t="shared" si="1018"/>
        <v>8086.52</v>
      </c>
      <c r="BQ572" s="386">
        <f t="shared" si="1018"/>
        <v>16788</v>
      </c>
      <c r="BR572" s="386">
        <f t="shared" si="1018"/>
        <v>0</v>
      </c>
      <c r="BS572" s="386">
        <f t="shared" si="1018"/>
        <v>16788</v>
      </c>
      <c r="BT572" s="386">
        <f t="shared" si="1018"/>
        <v>1.8189894035458565E-12</v>
      </c>
      <c r="BU572" s="386">
        <f t="shared" si="1018"/>
        <v>8086.52</v>
      </c>
      <c r="BV572" s="386">
        <f t="shared" si="1018"/>
        <v>16788</v>
      </c>
      <c r="BW572" s="386">
        <f t="shared" si="1018"/>
        <v>8086.5200000000023</v>
      </c>
      <c r="BX572" s="1"/>
      <c r="BY572" s="1"/>
      <c r="BZ572" s="1"/>
      <c r="CA572" s="1"/>
      <c r="CB572" s="1"/>
      <c r="CC572" s="1"/>
      <c r="CD572" s="1"/>
      <c r="CE572" s="1"/>
      <c r="CF572" s="1"/>
      <c r="CG572" s="1"/>
    </row>
    <row r="573" spans="1:85" ht="15.75" customHeight="1">
      <c r="A573" s="313"/>
      <c r="B573" s="418"/>
      <c r="C573" s="416" t="s">
        <v>312</v>
      </c>
      <c r="D573" s="317" t="s">
        <v>972</v>
      </c>
      <c r="E573" s="319">
        <f>E94</f>
        <v>35000</v>
      </c>
      <c r="F573" s="319">
        <f>F94</f>
        <v>0</v>
      </c>
      <c r="G573" s="319">
        <f>G94</f>
        <v>35000</v>
      </c>
      <c r="H573" s="319">
        <f>H94</f>
        <v>0</v>
      </c>
      <c r="I573" s="319">
        <f t="shared" ref="I573:J573" si="1019">I94</f>
        <v>0.88465371428571427</v>
      </c>
      <c r="J573" s="319">
        <f t="shared" si="1019"/>
        <v>0.41143999999999997</v>
      </c>
      <c r="K573" s="319">
        <f>K94</f>
        <v>30962.880000000001</v>
      </c>
      <c r="L573" s="319">
        <f t="shared" ref="L573:W573" si="1020">L94</f>
        <v>5287.8</v>
      </c>
      <c r="M573" s="319">
        <f t="shared" si="1020"/>
        <v>0</v>
      </c>
      <c r="N573" s="319">
        <f t="shared" si="1020"/>
        <v>0</v>
      </c>
      <c r="O573" s="319">
        <f t="shared" si="1020"/>
        <v>14400.4</v>
      </c>
      <c r="P573" s="319">
        <f t="shared" si="1020"/>
        <v>5287.8</v>
      </c>
      <c r="Q573" s="319">
        <f t="shared" si="1020"/>
        <v>0</v>
      </c>
      <c r="R573" s="320">
        <f t="shared" si="1020"/>
        <v>14400.4</v>
      </c>
      <c r="S573" s="320">
        <f t="shared" si="1020"/>
        <v>5287.8</v>
      </c>
      <c r="T573" s="320">
        <f t="shared" si="1020"/>
        <v>0</v>
      </c>
      <c r="U573" s="386">
        <f t="shared" si="1020"/>
        <v>16562.480000000003</v>
      </c>
      <c r="V573" s="386">
        <f t="shared" si="1020"/>
        <v>0</v>
      </c>
      <c r="W573" s="386">
        <f t="shared" si="1020"/>
        <v>0</v>
      </c>
      <c r="X573" s="310">
        <f t="shared" si="990"/>
        <v>0.46508593515848651</v>
      </c>
      <c r="Y573" s="310">
        <f t="shared" si="991"/>
        <v>1</v>
      </c>
      <c r="Z573" s="310">
        <f t="shared" si="790"/>
        <v>0</v>
      </c>
      <c r="AA573" s="319">
        <f t="shared" ref="AA573:BW573" si="1021">AA94</f>
        <v>0</v>
      </c>
      <c r="AB573" s="319">
        <f t="shared" si="1021"/>
        <v>0</v>
      </c>
      <c r="AC573" s="319">
        <f t="shared" si="1021"/>
        <v>0</v>
      </c>
      <c r="AD573" s="319">
        <f t="shared" si="1021"/>
        <v>0</v>
      </c>
      <c r="AE573" s="319">
        <f t="shared" si="1021"/>
        <v>5287.8</v>
      </c>
      <c r="AF573" s="319">
        <f t="shared" si="1021"/>
        <v>0</v>
      </c>
      <c r="AG573" s="319">
        <f t="shared" si="1021"/>
        <v>0</v>
      </c>
      <c r="AH573" s="319">
        <f t="shared" si="1021"/>
        <v>0</v>
      </c>
      <c r="AI573" s="319">
        <f t="shared" si="1021"/>
        <v>0</v>
      </c>
      <c r="AJ573" s="319">
        <f t="shared" si="1021"/>
        <v>0</v>
      </c>
      <c r="AK573" s="319">
        <f t="shared" si="1021"/>
        <v>0</v>
      </c>
      <c r="AL573" s="319">
        <f t="shared" si="1021"/>
        <v>0</v>
      </c>
      <c r="AM573" s="319">
        <f t="shared" si="1021"/>
        <v>2884.24</v>
      </c>
      <c r="AN573" s="319">
        <f t="shared" si="1021"/>
        <v>0</v>
      </c>
      <c r="AO573" s="319">
        <f t="shared" si="1021"/>
        <v>0</v>
      </c>
      <c r="AP573" s="319">
        <f t="shared" si="1021"/>
        <v>2996.34</v>
      </c>
      <c r="AQ573" s="319">
        <f t="shared" si="1021"/>
        <v>0</v>
      </c>
      <c r="AR573" s="319">
        <f t="shared" si="1021"/>
        <v>0</v>
      </c>
      <c r="AS573" s="319">
        <f t="shared" si="1021"/>
        <v>0</v>
      </c>
      <c r="AT573" s="319">
        <f t="shared" si="1021"/>
        <v>0</v>
      </c>
      <c r="AU573" s="319">
        <f t="shared" si="1021"/>
        <v>0</v>
      </c>
      <c r="AV573" s="319">
        <f t="shared" si="1021"/>
        <v>5621.04</v>
      </c>
      <c r="AW573" s="319">
        <f t="shared" si="1021"/>
        <v>0</v>
      </c>
      <c r="AX573" s="319">
        <f t="shared" si="1021"/>
        <v>0</v>
      </c>
      <c r="AY573" s="319">
        <f t="shared" si="1021"/>
        <v>2898.78</v>
      </c>
      <c r="AZ573" s="319">
        <f t="shared" si="1021"/>
        <v>0</v>
      </c>
      <c r="BA573" s="319">
        <f t="shared" si="1021"/>
        <v>0</v>
      </c>
      <c r="BB573" s="319">
        <f t="shared" si="1021"/>
        <v>0</v>
      </c>
      <c r="BC573" s="319">
        <f t="shared" si="1021"/>
        <v>0</v>
      </c>
      <c r="BD573" s="319">
        <f t="shared" si="1021"/>
        <v>0</v>
      </c>
      <c r="BE573" s="319">
        <f t="shared" si="1021"/>
        <v>0</v>
      </c>
      <c r="BF573" s="319">
        <f t="shared" si="1021"/>
        <v>0</v>
      </c>
      <c r="BG573" s="319">
        <f t="shared" si="1021"/>
        <v>0</v>
      </c>
      <c r="BH573" s="319">
        <f t="shared" si="1021"/>
        <v>0</v>
      </c>
      <c r="BI573" s="319">
        <f t="shared" si="1021"/>
        <v>0</v>
      </c>
      <c r="BJ573" s="319">
        <f t="shared" si="1021"/>
        <v>0</v>
      </c>
      <c r="BK573" s="319">
        <f t="shared" si="1021"/>
        <v>0</v>
      </c>
      <c r="BL573" s="319">
        <f t="shared" si="1021"/>
        <v>0</v>
      </c>
      <c r="BM573" s="319">
        <f t="shared" si="1021"/>
        <v>0</v>
      </c>
      <c r="BN573" s="319">
        <f t="shared" si="1021"/>
        <v>14400.4</v>
      </c>
      <c r="BO573" s="319">
        <f t="shared" si="1021"/>
        <v>0</v>
      </c>
      <c r="BP573" s="319">
        <f t="shared" si="1021"/>
        <v>14400.4</v>
      </c>
      <c r="BQ573" s="319">
        <f t="shared" si="1021"/>
        <v>16562.480000000003</v>
      </c>
      <c r="BR573" s="319">
        <f t="shared" si="1021"/>
        <v>0</v>
      </c>
      <c r="BS573" s="319">
        <f t="shared" si="1021"/>
        <v>16562.480000000003</v>
      </c>
      <c r="BT573" s="319">
        <f t="shared" si="1021"/>
        <v>0</v>
      </c>
      <c r="BU573" s="319">
        <f t="shared" si="1021"/>
        <v>14400.4</v>
      </c>
      <c r="BV573" s="319">
        <f t="shared" si="1021"/>
        <v>16562.480000000003</v>
      </c>
      <c r="BW573" s="319">
        <f t="shared" si="1021"/>
        <v>14400.4</v>
      </c>
      <c r="BX573" s="1"/>
      <c r="BY573" s="1"/>
      <c r="BZ573" s="1"/>
      <c r="CA573" s="1"/>
      <c r="CB573" s="1"/>
      <c r="CC573" s="1"/>
      <c r="CD573" s="1"/>
      <c r="CE573" s="1"/>
      <c r="CF573" s="1"/>
      <c r="CG573" s="1"/>
    </row>
    <row r="574" spans="1:85" ht="15.75" customHeight="1">
      <c r="A574" s="313"/>
      <c r="B574" s="418"/>
      <c r="C574" s="416" t="s">
        <v>317</v>
      </c>
      <c r="D574" s="314" t="s">
        <v>318</v>
      </c>
      <c r="E574" s="319">
        <f t="shared" ref="E574:H575" si="1022">E96</f>
        <v>6000</v>
      </c>
      <c r="F574" s="319">
        <f t="shared" si="1022"/>
        <v>0</v>
      </c>
      <c r="G574" s="319">
        <f t="shared" si="1022"/>
        <v>6000</v>
      </c>
      <c r="H574" s="319">
        <f t="shared" si="1022"/>
        <v>0</v>
      </c>
      <c r="I574" s="319">
        <f t="shared" ref="I574:K574" si="1023">I96</f>
        <v>0</v>
      </c>
      <c r="J574" s="319">
        <f t="shared" si="1023"/>
        <v>0</v>
      </c>
      <c r="K574" s="319">
        <f t="shared" si="1023"/>
        <v>0</v>
      </c>
      <c r="L574" s="319">
        <f t="shared" ref="L574:W574" si="1024">L96</f>
        <v>0</v>
      </c>
      <c r="M574" s="319">
        <f t="shared" si="1024"/>
        <v>0</v>
      </c>
      <c r="N574" s="319">
        <f t="shared" si="1024"/>
        <v>0</v>
      </c>
      <c r="O574" s="319">
        <f t="shared" si="1024"/>
        <v>0</v>
      </c>
      <c r="P574" s="319">
        <f t="shared" si="1024"/>
        <v>0</v>
      </c>
      <c r="Q574" s="319">
        <f t="shared" si="1024"/>
        <v>0</v>
      </c>
      <c r="R574" s="320">
        <f t="shared" si="1024"/>
        <v>0</v>
      </c>
      <c r="S574" s="320">
        <f t="shared" si="1024"/>
        <v>0</v>
      </c>
      <c r="T574" s="320">
        <f t="shared" si="1024"/>
        <v>0</v>
      </c>
      <c r="U574" s="386">
        <f t="shared" si="1024"/>
        <v>0</v>
      </c>
      <c r="V574" s="386">
        <f t="shared" si="1024"/>
        <v>0</v>
      </c>
      <c r="W574" s="386">
        <f t="shared" si="1024"/>
        <v>0</v>
      </c>
      <c r="X574" s="310">
        <f t="shared" si="990"/>
        <v>0</v>
      </c>
      <c r="Y574" s="310">
        <f t="shared" si="991"/>
        <v>0</v>
      </c>
      <c r="Z574" s="310">
        <f t="shared" si="790"/>
        <v>0</v>
      </c>
      <c r="AA574" s="319">
        <f t="shared" ref="AA574:BW574" si="1025">AA96</f>
        <v>0</v>
      </c>
      <c r="AB574" s="319">
        <f t="shared" si="1025"/>
        <v>0</v>
      </c>
      <c r="AC574" s="319">
        <f t="shared" si="1025"/>
        <v>0</v>
      </c>
      <c r="AD574" s="319">
        <f t="shared" si="1025"/>
        <v>0</v>
      </c>
      <c r="AE574" s="319">
        <f t="shared" si="1025"/>
        <v>0</v>
      </c>
      <c r="AF574" s="319">
        <f t="shared" si="1025"/>
        <v>0</v>
      </c>
      <c r="AG574" s="319">
        <f t="shared" si="1025"/>
        <v>0</v>
      </c>
      <c r="AH574" s="319">
        <f t="shared" si="1025"/>
        <v>0</v>
      </c>
      <c r="AI574" s="319">
        <f t="shared" si="1025"/>
        <v>0</v>
      </c>
      <c r="AJ574" s="319">
        <f t="shared" si="1025"/>
        <v>0</v>
      </c>
      <c r="AK574" s="319">
        <f t="shared" si="1025"/>
        <v>0</v>
      </c>
      <c r="AL574" s="319">
        <f t="shared" si="1025"/>
        <v>0</v>
      </c>
      <c r="AM574" s="319">
        <f t="shared" si="1025"/>
        <v>0</v>
      </c>
      <c r="AN574" s="319">
        <f t="shared" si="1025"/>
        <v>0</v>
      </c>
      <c r="AO574" s="319">
        <f t="shared" si="1025"/>
        <v>0</v>
      </c>
      <c r="AP574" s="319">
        <f t="shared" si="1025"/>
        <v>0</v>
      </c>
      <c r="AQ574" s="319">
        <f t="shared" si="1025"/>
        <v>0</v>
      </c>
      <c r="AR574" s="319">
        <f t="shared" si="1025"/>
        <v>0</v>
      </c>
      <c r="AS574" s="319">
        <f t="shared" si="1025"/>
        <v>0</v>
      </c>
      <c r="AT574" s="319">
        <f t="shared" si="1025"/>
        <v>0</v>
      </c>
      <c r="AU574" s="319">
        <f t="shared" si="1025"/>
        <v>0</v>
      </c>
      <c r="AV574" s="319">
        <f t="shared" si="1025"/>
        <v>0</v>
      </c>
      <c r="AW574" s="319">
        <f t="shared" si="1025"/>
        <v>0</v>
      </c>
      <c r="AX574" s="319">
        <f t="shared" si="1025"/>
        <v>0</v>
      </c>
      <c r="AY574" s="319">
        <f t="shared" si="1025"/>
        <v>0</v>
      </c>
      <c r="AZ574" s="319">
        <f t="shared" si="1025"/>
        <v>0</v>
      </c>
      <c r="BA574" s="319">
        <f t="shared" si="1025"/>
        <v>0</v>
      </c>
      <c r="BB574" s="319">
        <f t="shared" si="1025"/>
        <v>0</v>
      </c>
      <c r="BC574" s="319">
        <f t="shared" si="1025"/>
        <v>0</v>
      </c>
      <c r="BD574" s="319">
        <f t="shared" si="1025"/>
        <v>0</v>
      </c>
      <c r="BE574" s="319">
        <f t="shared" si="1025"/>
        <v>0</v>
      </c>
      <c r="BF574" s="319">
        <f t="shared" si="1025"/>
        <v>0</v>
      </c>
      <c r="BG574" s="319">
        <f t="shared" si="1025"/>
        <v>0</v>
      </c>
      <c r="BH574" s="319">
        <f t="shared" si="1025"/>
        <v>0</v>
      </c>
      <c r="BI574" s="319">
        <f t="shared" si="1025"/>
        <v>0</v>
      </c>
      <c r="BJ574" s="319">
        <f t="shared" si="1025"/>
        <v>0</v>
      </c>
      <c r="BK574" s="319">
        <f t="shared" si="1025"/>
        <v>0</v>
      </c>
      <c r="BL574" s="319">
        <f t="shared" si="1025"/>
        <v>0</v>
      </c>
      <c r="BM574" s="319">
        <f t="shared" si="1025"/>
        <v>0</v>
      </c>
      <c r="BN574" s="319">
        <f t="shared" si="1025"/>
        <v>0</v>
      </c>
      <c r="BO574" s="319">
        <f t="shared" si="1025"/>
        <v>0</v>
      </c>
      <c r="BP574" s="319">
        <f t="shared" si="1025"/>
        <v>0</v>
      </c>
      <c r="BQ574" s="319">
        <f t="shared" si="1025"/>
        <v>0</v>
      </c>
      <c r="BR574" s="319">
        <f t="shared" si="1025"/>
        <v>0</v>
      </c>
      <c r="BS574" s="319">
        <f t="shared" si="1025"/>
        <v>0</v>
      </c>
      <c r="BT574" s="319">
        <f t="shared" si="1025"/>
        <v>0</v>
      </c>
      <c r="BU574" s="319">
        <f t="shared" si="1025"/>
        <v>0</v>
      </c>
      <c r="BV574" s="319">
        <f t="shared" si="1025"/>
        <v>0</v>
      </c>
      <c r="BW574" s="319">
        <f t="shared" si="1025"/>
        <v>0</v>
      </c>
      <c r="BX574" s="1"/>
      <c r="BY574" s="1"/>
      <c r="BZ574" s="1"/>
      <c r="CA574" s="1"/>
      <c r="CB574" s="1"/>
      <c r="CC574" s="1"/>
      <c r="CD574" s="1"/>
      <c r="CE574" s="1"/>
      <c r="CF574" s="1"/>
      <c r="CG574" s="1"/>
    </row>
    <row r="575" spans="1:85" ht="15.75" customHeight="1">
      <c r="A575" s="313"/>
      <c r="B575" s="418"/>
      <c r="C575" s="416" t="s">
        <v>320</v>
      </c>
      <c r="D575" s="311" t="s">
        <v>973</v>
      </c>
      <c r="E575" s="319">
        <f t="shared" si="1022"/>
        <v>5000</v>
      </c>
      <c r="F575" s="319">
        <f t="shared" si="1022"/>
        <v>0</v>
      </c>
      <c r="G575" s="319">
        <f t="shared" si="1022"/>
        <v>5000</v>
      </c>
      <c r="H575" s="319">
        <f t="shared" si="1022"/>
        <v>0</v>
      </c>
      <c r="I575" s="319">
        <f t="shared" ref="I575:K575" si="1026">I97</f>
        <v>0</v>
      </c>
      <c r="J575" s="319">
        <f t="shared" si="1026"/>
        <v>0</v>
      </c>
      <c r="K575" s="319">
        <f t="shared" si="1026"/>
        <v>0</v>
      </c>
      <c r="L575" s="319">
        <f t="shared" ref="L575:W575" si="1027">L97</f>
        <v>2113.5700000000002</v>
      </c>
      <c r="M575" s="319">
        <f t="shared" si="1027"/>
        <v>0</v>
      </c>
      <c r="N575" s="319">
        <f t="shared" si="1027"/>
        <v>0</v>
      </c>
      <c r="O575" s="319">
        <f t="shared" si="1027"/>
        <v>0</v>
      </c>
      <c r="P575" s="319">
        <f t="shared" si="1027"/>
        <v>1868.5399999999997</v>
      </c>
      <c r="Q575" s="319">
        <f t="shared" si="1027"/>
        <v>0</v>
      </c>
      <c r="R575" s="320">
        <f t="shared" si="1027"/>
        <v>0</v>
      </c>
      <c r="S575" s="320">
        <f t="shared" si="1027"/>
        <v>1868.5399999999997</v>
      </c>
      <c r="T575" s="320">
        <f t="shared" si="1027"/>
        <v>0</v>
      </c>
      <c r="U575" s="386">
        <f t="shared" si="1027"/>
        <v>0</v>
      </c>
      <c r="V575" s="386">
        <f t="shared" si="1027"/>
        <v>245.03000000000043</v>
      </c>
      <c r="W575" s="386">
        <f t="shared" si="1027"/>
        <v>0</v>
      </c>
      <c r="X575" s="310">
        <f t="shared" si="990"/>
        <v>0</v>
      </c>
      <c r="Y575" s="310">
        <f t="shared" si="991"/>
        <v>0.88406818794740638</v>
      </c>
      <c r="Z575" s="310">
        <f t="shared" si="790"/>
        <v>0</v>
      </c>
      <c r="AA575" s="319">
        <f t="shared" ref="AA575:BW575" si="1028">AA97</f>
        <v>0</v>
      </c>
      <c r="AB575" s="319">
        <f t="shared" si="1028"/>
        <v>497.8</v>
      </c>
      <c r="AC575" s="319">
        <f t="shared" si="1028"/>
        <v>0</v>
      </c>
      <c r="AD575" s="319">
        <f t="shared" si="1028"/>
        <v>0</v>
      </c>
      <c r="AE575" s="319">
        <f t="shared" si="1028"/>
        <v>95.24</v>
      </c>
      <c r="AF575" s="319">
        <f t="shared" si="1028"/>
        <v>0</v>
      </c>
      <c r="AG575" s="319">
        <f t="shared" si="1028"/>
        <v>0</v>
      </c>
      <c r="AH575" s="319">
        <f t="shared" si="1028"/>
        <v>126.5</v>
      </c>
      <c r="AI575" s="319">
        <f t="shared" si="1028"/>
        <v>0</v>
      </c>
      <c r="AJ575" s="319">
        <f t="shared" si="1028"/>
        <v>0</v>
      </c>
      <c r="AK575" s="319">
        <f t="shared" si="1028"/>
        <v>169.79</v>
      </c>
      <c r="AL575" s="319">
        <f t="shared" si="1028"/>
        <v>0</v>
      </c>
      <c r="AM575" s="319">
        <f t="shared" si="1028"/>
        <v>0</v>
      </c>
      <c r="AN575" s="319">
        <f t="shared" si="1028"/>
        <v>129.54</v>
      </c>
      <c r="AO575" s="319">
        <f t="shared" si="1028"/>
        <v>0</v>
      </c>
      <c r="AP575" s="319">
        <f t="shared" si="1028"/>
        <v>0</v>
      </c>
      <c r="AQ575" s="319">
        <f t="shared" si="1028"/>
        <v>419.87</v>
      </c>
      <c r="AR575" s="319">
        <f t="shared" si="1028"/>
        <v>0</v>
      </c>
      <c r="AS575" s="319">
        <f t="shared" si="1028"/>
        <v>0</v>
      </c>
      <c r="AT575" s="319">
        <f t="shared" si="1028"/>
        <v>63.76</v>
      </c>
      <c r="AU575" s="319">
        <f t="shared" si="1028"/>
        <v>0</v>
      </c>
      <c r="AV575" s="319">
        <f t="shared" si="1028"/>
        <v>0</v>
      </c>
      <c r="AW575" s="319">
        <f t="shared" si="1028"/>
        <v>211.75</v>
      </c>
      <c r="AX575" s="319">
        <f t="shared" si="1028"/>
        <v>0</v>
      </c>
      <c r="AY575" s="319">
        <f t="shared" si="1028"/>
        <v>0</v>
      </c>
      <c r="AZ575" s="319">
        <f t="shared" si="1028"/>
        <v>154.29</v>
      </c>
      <c r="BA575" s="319">
        <f t="shared" si="1028"/>
        <v>0</v>
      </c>
      <c r="BB575" s="319">
        <f t="shared" si="1028"/>
        <v>0</v>
      </c>
      <c r="BC575" s="319">
        <f t="shared" si="1028"/>
        <v>0</v>
      </c>
      <c r="BD575" s="319">
        <f t="shared" si="1028"/>
        <v>0</v>
      </c>
      <c r="BE575" s="319">
        <f t="shared" si="1028"/>
        <v>0</v>
      </c>
      <c r="BF575" s="319">
        <f t="shared" si="1028"/>
        <v>0</v>
      </c>
      <c r="BG575" s="319">
        <f t="shared" si="1028"/>
        <v>0</v>
      </c>
      <c r="BH575" s="319">
        <f t="shared" si="1028"/>
        <v>0</v>
      </c>
      <c r="BI575" s="319">
        <f t="shared" si="1028"/>
        <v>0</v>
      </c>
      <c r="BJ575" s="319">
        <f t="shared" si="1028"/>
        <v>0</v>
      </c>
      <c r="BK575" s="319">
        <f t="shared" si="1028"/>
        <v>0</v>
      </c>
      <c r="BL575" s="319">
        <f t="shared" si="1028"/>
        <v>0</v>
      </c>
      <c r="BM575" s="319">
        <f t="shared" si="1028"/>
        <v>0</v>
      </c>
      <c r="BN575" s="319">
        <f t="shared" si="1028"/>
        <v>0</v>
      </c>
      <c r="BO575" s="319">
        <f t="shared" si="1028"/>
        <v>0</v>
      </c>
      <c r="BP575" s="319">
        <f t="shared" si="1028"/>
        <v>0</v>
      </c>
      <c r="BQ575" s="319">
        <f t="shared" si="1028"/>
        <v>0</v>
      </c>
      <c r="BR575" s="319">
        <f t="shared" si="1028"/>
        <v>0</v>
      </c>
      <c r="BS575" s="319">
        <f t="shared" si="1028"/>
        <v>0</v>
      </c>
      <c r="BT575" s="319">
        <f t="shared" si="1028"/>
        <v>245.03000000000043</v>
      </c>
      <c r="BU575" s="319">
        <f t="shared" si="1028"/>
        <v>0</v>
      </c>
      <c r="BV575" s="319">
        <f t="shared" si="1028"/>
        <v>0</v>
      </c>
      <c r="BW575" s="319">
        <f t="shared" si="1028"/>
        <v>245.03000000000043</v>
      </c>
      <c r="BX575" s="1"/>
      <c r="BY575" s="1"/>
      <c r="BZ575" s="1"/>
      <c r="CA575" s="1"/>
      <c r="CB575" s="1"/>
      <c r="CC575" s="1"/>
      <c r="CD575" s="1"/>
      <c r="CE575" s="1"/>
      <c r="CF575" s="1"/>
      <c r="CG575" s="1"/>
    </row>
    <row r="576" spans="1:85" ht="15.75" customHeight="1">
      <c r="A576" s="313"/>
      <c r="B576" s="418"/>
      <c r="C576" s="416" t="s">
        <v>323</v>
      </c>
      <c r="D576" s="314" t="s">
        <v>411</v>
      </c>
      <c r="E576" s="319">
        <f>E98+E155+E232+E327+E333+E339+E356</f>
        <v>14254.609999999999</v>
      </c>
      <c r="F576" s="319">
        <f t="shared" ref="F576:W576" si="1029">F98+F155+F232+F327+F333+F339+F356</f>
        <v>6288.65</v>
      </c>
      <c r="G576" s="319">
        <f t="shared" si="1029"/>
        <v>7965.9599999999991</v>
      </c>
      <c r="H576" s="319">
        <f t="shared" si="1029"/>
        <v>10000</v>
      </c>
      <c r="I576" s="319">
        <f t="shared" si="1029"/>
        <v>0</v>
      </c>
      <c r="J576" s="319">
        <f t="shared" si="1029"/>
        <v>0</v>
      </c>
      <c r="K576" s="319">
        <f t="shared" si="1029"/>
        <v>73.08</v>
      </c>
      <c r="L576" s="319">
        <f t="shared" si="1029"/>
        <v>0</v>
      </c>
      <c r="M576" s="319">
        <f t="shared" si="1029"/>
        <v>0</v>
      </c>
      <c r="N576" s="319">
        <f t="shared" si="1029"/>
        <v>0</v>
      </c>
      <c r="O576" s="319">
        <f t="shared" si="1029"/>
        <v>73.08</v>
      </c>
      <c r="P576" s="319">
        <f t="shared" si="1029"/>
        <v>0</v>
      </c>
      <c r="Q576" s="319">
        <f t="shared" si="1029"/>
        <v>0</v>
      </c>
      <c r="R576" s="319">
        <f t="shared" si="1029"/>
        <v>73.08</v>
      </c>
      <c r="S576" s="319">
        <f t="shared" si="1029"/>
        <v>0</v>
      </c>
      <c r="T576" s="319">
        <f t="shared" si="1029"/>
        <v>0</v>
      </c>
      <c r="U576" s="319">
        <f t="shared" si="1029"/>
        <v>0</v>
      </c>
      <c r="V576" s="319">
        <f t="shared" si="1029"/>
        <v>0</v>
      </c>
      <c r="W576" s="319">
        <f t="shared" si="1029"/>
        <v>0</v>
      </c>
      <c r="X576" s="310">
        <f t="shared" si="990"/>
        <v>1</v>
      </c>
      <c r="Y576" s="310">
        <f t="shared" si="991"/>
        <v>0</v>
      </c>
      <c r="Z576" s="310">
        <f t="shared" si="790"/>
        <v>0</v>
      </c>
      <c r="AA576" s="319">
        <f t="shared" ref="AA576:BW576" si="1030">AA98+AA155+AA232+AA327+AA333+AA339+AA356</f>
        <v>0</v>
      </c>
      <c r="AB576" s="319">
        <f t="shared" si="1030"/>
        <v>0</v>
      </c>
      <c r="AC576" s="319">
        <f t="shared" si="1030"/>
        <v>0</v>
      </c>
      <c r="AD576" s="319">
        <f t="shared" si="1030"/>
        <v>0</v>
      </c>
      <c r="AE576" s="319">
        <f t="shared" si="1030"/>
        <v>0</v>
      </c>
      <c r="AF576" s="319">
        <f t="shared" si="1030"/>
        <v>0</v>
      </c>
      <c r="AG576" s="319">
        <f t="shared" si="1030"/>
        <v>0</v>
      </c>
      <c r="AH576" s="319">
        <f t="shared" si="1030"/>
        <v>0</v>
      </c>
      <c r="AI576" s="319">
        <f t="shared" si="1030"/>
        <v>0</v>
      </c>
      <c r="AJ576" s="319">
        <f t="shared" si="1030"/>
        <v>0</v>
      </c>
      <c r="AK576" s="319">
        <f t="shared" si="1030"/>
        <v>0</v>
      </c>
      <c r="AL576" s="319">
        <f t="shared" si="1030"/>
        <v>0</v>
      </c>
      <c r="AM576" s="319">
        <f t="shared" si="1030"/>
        <v>0</v>
      </c>
      <c r="AN576" s="319">
        <f t="shared" si="1030"/>
        <v>0</v>
      </c>
      <c r="AO576" s="319">
        <f t="shared" si="1030"/>
        <v>0</v>
      </c>
      <c r="AP576" s="319">
        <f t="shared" si="1030"/>
        <v>0</v>
      </c>
      <c r="AQ576" s="319">
        <f t="shared" si="1030"/>
        <v>0</v>
      </c>
      <c r="AR576" s="319">
        <f t="shared" si="1030"/>
        <v>0</v>
      </c>
      <c r="AS576" s="319">
        <f t="shared" si="1030"/>
        <v>0</v>
      </c>
      <c r="AT576" s="319">
        <f t="shared" si="1030"/>
        <v>0</v>
      </c>
      <c r="AU576" s="319">
        <f t="shared" si="1030"/>
        <v>0</v>
      </c>
      <c r="AV576" s="319">
        <f t="shared" si="1030"/>
        <v>0</v>
      </c>
      <c r="AW576" s="319">
        <f t="shared" si="1030"/>
        <v>0</v>
      </c>
      <c r="AX576" s="319">
        <f t="shared" si="1030"/>
        <v>0</v>
      </c>
      <c r="AY576" s="319">
        <f t="shared" si="1030"/>
        <v>73.08</v>
      </c>
      <c r="AZ576" s="319">
        <f t="shared" si="1030"/>
        <v>0</v>
      </c>
      <c r="BA576" s="319">
        <f t="shared" si="1030"/>
        <v>0</v>
      </c>
      <c r="BB576" s="319">
        <f t="shared" si="1030"/>
        <v>0</v>
      </c>
      <c r="BC576" s="319">
        <f t="shared" si="1030"/>
        <v>0</v>
      </c>
      <c r="BD576" s="319">
        <f t="shared" si="1030"/>
        <v>0</v>
      </c>
      <c r="BE576" s="319">
        <f t="shared" si="1030"/>
        <v>0</v>
      </c>
      <c r="BF576" s="319">
        <f t="shared" si="1030"/>
        <v>0</v>
      </c>
      <c r="BG576" s="319">
        <f t="shared" si="1030"/>
        <v>0</v>
      </c>
      <c r="BH576" s="319">
        <f t="shared" si="1030"/>
        <v>0</v>
      </c>
      <c r="BI576" s="319">
        <f t="shared" si="1030"/>
        <v>0</v>
      </c>
      <c r="BJ576" s="319">
        <f t="shared" si="1030"/>
        <v>0</v>
      </c>
      <c r="BK576" s="319">
        <f t="shared" si="1030"/>
        <v>0</v>
      </c>
      <c r="BL576" s="319">
        <f t="shared" si="1030"/>
        <v>0</v>
      </c>
      <c r="BM576" s="319">
        <f t="shared" si="1030"/>
        <v>0</v>
      </c>
      <c r="BN576" s="319">
        <f t="shared" si="1030"/>
        <v>73.08</v>
      </c>
      <c r="BO576" s="319">
        <f t="shared" si="1030"/>
        <v>0</v>
      </c>
      <c r="BP576" s="319">
        <f t="shared" si="1030"/>
        <v>73.08</v>
      </c>
      <c r="BQ576" s="319">
        <f t="shared" si="1030"/>
        <v>0</v>
      </c>
      <c r="BR576" s="319">
        <f t="shared" si="1030"/>
        <v>0</v>
      </c>
      <c r="BS576" s="319">
        <f t="shared" si="1030"/>
        <v>0</v>
      </c>
      <c r="BT576" s="319">
        <f t="shared" si="1030"/>
        <v>0</v>
      </c>
      <c r="BU576" s="319">
        <f t="shared" si="1030"/>
        <v>73.08</v>
      </c>
      <c r="BV576" s="319">
        <f t="shared" si="1030"/>
        <v>0</v>
      </c>
      <c r="BW576" s="319">
        <f t="shared" si="1030"/>
        <v>73.08</v>
      </c>
      <c r="BX576" s="1"/>
      <c r="BY576" s="1"/>
      <c r="BZ576" s="1"/>
      <c r="CA576" s="1"/>
      <c r="CB576" s="1"/>
      <c r="CC576" s="1"/>
      <c r="CD576" s="1"/>
      <c r="CE576" s="1"/>
      <c r="CF576" s="1"/>
      <c r="CG576" s="1"/>
    </row>
    <row r="577" spans="1:85" ht="15.75" customHeight="1">
      <c r="A577" s="313"/>
      <c r="B577" s="418"/>
      <c r="C577" s="416" t="s">
        <v>327</v>
      </c>
      <c r="D577" s="314" t="s">
        <v>974</v>
      </c>
      <c r="E577" s="319">
        <f>E99</f>
        <v>3000</v>
      </c>
      <c r="F577" s="319">
        <f>F99</f>
        <v>0</v>
      </c>
      <c r="G577" s="319">
        <f>G99</f>
        <v>3000</v>
      </c>
      <c r="H577" s="319">
        <f>H99</f>
        <v>0</v>
      </c>
      <c r="I577" s="319">
        <f t="shared" ref="I577:K577" si="1031">I99</f>
        <v>0.83333333333333337</v>
      </c>
      <c r="J577" s="319">
        <f t="shared" si="1031"/>
        <v>0.59076333333333331</v>
      </c>
      <c r="K577" s="319">
        <f t="shared" si="1031"/>
        <v>2500</v>
      </c>
      <c r="L577" s="319">
        <f t="shared" ref="L577:W577" si="1032">L99</f>
        <v>432.87</v>
      </c>
      <c r="M577" s="319">
        <f t="shared" si="1032"/>
        <v>0</v>
      </c>
      <c r="N577" s="319">
        <f t="shared" si="1032"/>
        <v>0</v>
      </c>
      <c r="O577" s="319">
        <f t="shared" si="1032"/>
        <v>1772.29</v>
      </c>
      <c r="P577" s="319">
        <f t="shared" si="1032"/>
        <v>432.87</v>
      </c>
      <c r="Q577" s="319">
        <f t="shared" si="1032"/>
        <v>0</v>
      </c>
      <c r="R577" s="320">
        <f t="shared" si="1032"/>
        <v>1772.29</v>
      </c>
      <c r="S577" s="320">
        <f t="shared" si="1032"/>
        <v>432.87</v>
      </c>
      <c r="T577" s="320">
        <f t="shared" si="1032"/>
        <v>0</v>
      </c>
      <c r="U577" s="386">
        <f t="shared" si="1032"/>
        <v>727.71</v>
      </c>
      <c r="V577" s="386">
        <f t="shared" si="1032"/>
        <v>0</v>
      </c>
      <c r="W577" s="386">
        <f t="shared" si="1032"/>
        <v>0</v>
      </c>
      <c r="X577" s="310">
        <f t="shared" si="990"/>
        <v>0.70891599999999999</v>
      </c>
      <c r="Y577" s="310">
        <f t="shared" si="991"/>
        <v>1</v>
      </c>
      <c r="Z577" s="310">
        <f t="shared" si="790"/>
        <v>0</v>
      </c>
      <c r="AA577" s="319">
        <f t="shared" ref="AA577:BW577" si="1033">AA99</f>
        <v>0</v>
      </c>
      <c r="AB577" s="319">
        <f t="shared" si="1033"/>
        <v>255.71</v>
      </c>
      <c r="AC577" s="319">
        <f t="shared" si="1033"/>
        <v>0</v>
      </c>
      <c r="AD577" s="319">
        <f t="shared" si="1033"/>
        <v>135.97999999999999</v>
      </c>
      <c r="AE577" s="319">
        <f t="shared" si="1033"/>
        <v>177.16000000000003</v>
      </c>
      <c r="AF577" s="319">
        <f t="shared" si="1033"/>
        <v>0</v>
      </c>
      <c r="AG577" s="319">
        <f t="shared" si="1033"/>
        <v>710.07</v>
      </c>
      <c r="AH577" s="319">
        <f t="shared" si="1033"/>
        <v>0</v>
      </c>
      <c r="AI577" s="319">
        <f t="shared" si="1033"/>
        <v>0</v>
      </c>
      <c r="AJ577" s="319">
        <f t="shared" si="1033"/>
        <v>228.6</v>
      </c>
      <c r="AK577" s="319">
        <f t="shared" si="1033"/>
        <v>0</v>
      </c>
      <c r="AL577" s="319">
        <f t="shared" si="1033"/>
        <v>0</v>
      </c>
      <c r="AM577" s="319">
        <f t="shared" si="1033"/>
        <v>0</v>
      </c>
      <c r="AN577" s="319">
        <f t="shared" si="1033"/>
        <v>0</v>
      </c>
      <c r="AO577" s="319">
        <f t="shared" si="1033"/>
        <v>0</v>
      </c>
      <c r="AP577" s="319">
        <f t="shared" si="1033"/>
        <v>328.52</v>
      </c>
      <c r="AQ577" s="319">
        <f t="shared" si="1033"/>
        <v>0</v>
      </c>
      <c r="AR577" s="319">
        <f t="shared" si="1033"/>
        <v>0</v>
      </c>
      <c r="AS577" s="319">
        <f t="shared" si="1033"/>
        <v>0</v>
      </c>
      <c r="AT577" s="319">
        <f t="shared" si="1033"/>
        <v>0</v>
      </c>
      <c r="AU577" s="319">
        <f t="shared" si="1033"/>
        <v>0</v>
      </c>
      <c r="AV577" s="319">
        <f t="shared" si="1033"/>
        <v>125.84</v>
      </c>
      <c r="AW577" s="319">
        <f t="shared" si="1033"/>
        <v>0</v>
      </c>
      <c r="AX577" s="319">
        <f t="shared" si="1033"/>
        <v>0</v>
      </c>
      <c r="AY577" s="319">
        <f t="shared" si="1033"/>
        <v>243.28</v>
      </c>
      <c r="AZ577" s="319">
        <f t="shared" si="1033"/>
        <v>0</v>
      </c>
      <c r="BA577" s="319">
        <f t="shared" si="1033"/>
        <v>0</v>
      </c>
      <c r="BB577" s="319">
        <f t="shared" si="1033"/>
        <v>0</v>
      </c>
      <c r="BC577" s="319">
        <f t="shared" si="1033"/>
        <v>0</v>
      </c>
      <c r="BD577" s="319">
        <f t="shared" si="1033"/>
        <v>0</v>
      </c>
      <c r="BE577" s="319">
        <f t="shared" si="1033"/>
        <v>0</v>
      </c>
      <c r="BF577" s="319">
        <f t="shared" si="1033"/>
        <v>0</v>
      </c>
      <c r="BG577" s="319">
        <f t="shared" si="1033"/>
        <v>0</v>
      </c>
      <c r="BH577" s="319">
        <f t="shared" si="1033"/>
        <v>0</v>
      </c>
      <c r="BI577" s="319">
        <f t="shared" si="1033"/>
        <v>0</v>
      </c>
      <c r="BJ577" s="319">
        <f t="shared" si="1033"/>
        <v>0</v>
      </c>
      <c r="BK577" s="319">
        <f t="shared" si="1033"/>
        <v>0</v>
      </c>
      <c r="BL577" s="319">
        <f t="shared" si="1033"/>
        <v>0</v>
      </c>
      <c r="BM577" s="319">
        <f t="shared" si="1033"/>
        <v>0</v>
      </c>
      <c r="BN577" s="319">
        <f t="shared" si="1033"/>
        <v>1772.29</v>
      </c>
      <c r="BO577" s="319">
        <f t="shared" si="1033"/>
        <v>0</v>
      </c>
      <c r="BP577" s="319">
        <f t="shared" si="1033"/>
        <v>1772.29</v>
      </c>
      <c r="BQ577" s="319">
        <f t="shared" si="1033"/>
        <v>727.71</v>
      </c>
      <c r="BR577" s="319">
        <f t="shared" si="1033"/>
        <v>0</v>
      </c>
      <c r="BS577" s="319">
        <f t="shared" si="1033"/>
        <v>727.71</v>
      </c>
      <c r="BT577" s="319">
        <f t="shared" si="1033"/>
        <v>0</v>
      </c>
      <c r="BU577" s="319">
        <f t="shared" si="1033"/>
        <v>1772.29</v>
      </c>
      <c r="BV577" s="319">
        <f t="shared" si="1033"/>
        <v>727.71</v>
      </c>
      <c r="BW577" s="319">
        <f t="shared" si="1033"/>
        <v>1772.29</v>
      </c>
      <c r="BX577" s="1"/>
      <c r="BY577" s="1"/>
      <c r="BZ577" s="1"/>
      <c r="CA577" s="1"/>
      <c r="CB577" s="1"/>
      <c r="CC577" s="1"/>
      <c r="CD577" s="1"/>
      <c r="CE577" s="1"/>
      <c r="CF577" s="1"/>
      <c r="CG577" s="1"/>
    </row>
    <row r="578" spans="1:85" ht="15.75" customHeight="1">
      <c r="A578" s="313"/>
      <c r="B578" s="418"/>
      <c r="C578" s="416" t="s">
        <v>704</v>
      </c>
      <c r="D578" s="311" t="s">
        <v>975</v>
      </c>
      <c r="E578" s="319">
        <f>E352+E378+E399</f>
        <v>10000</v>
      </c>
      <c r="F578" s="319">
        <f>F352+F378+F399</f>
        <v>0</v>
      </c>
      <c r="G578" s="319">
        <f>G352+G378+G399</f>
        <v>10000</v>
      </c>
      <c r="H578" s="319">
        <f>H352+H378+H399</f>
        <v>0</v>
      </c>
      <c r="I578" s="319">
        <f t="shared" ref="I578:J578" si="1034">I352+I378+I399</f>
        <v>0.15</v>
      </c>
      <c r="J578" s="319">
        <f t="shared" si="1034"/>
        <v>0.15</v>
      </c>
      <c r="K578" s="319">
        <f>K352+K378+K399</f>
        <v>5500</v>
      </c>
      <c r="L578" s="320">
        <f t="shared" ref="L578:W578" si="1035">L352+L378+L399</f>
        <v>0</v>
      </c>
      <c r="M578" s="320">
        <f t="shared" si="1035"/>
        <v>0</v>
      </c>
      <c r="N578" s="320">
        <f t="shared" si="1035"/>
        <v>0</v>
      </c>
      <c r="O578" s="319">
        <f t="shared" si="1035"/>
        <v>3460</v>
      </c>
      <c r="P578" s="319">
        <f t="shared" si="1035"/>
        <v>0</v>
      </c>
      <c r="Q578" s="319">
        <f t="shared" si="1035"/>
        <v>0</v>
      </c>
      <c r="R578" s="320">
        <f t="shared" si="1035"/>
        <v>3460</v>
      </c>
      <c r="S578" s="320">
        <f t="shared" si="1035"/>
        <v>0</v>
      </c>
      <c r="T578" s="320">
        <f t="shared" si="1035"/>
        <v>0</v>
      </c>
      <c r="U578" s="386">
        <f t="shared" si="1035"/>
        <v>2040</v>
      </c>
      <c r="V578" s="386">
        <f t="shared" si="1035"/>
        <v>0</v>
      </c>
      <c r="W578" s="386">
        <f t="shared" si="1035"/>
        <v>0</v>
      </c>
      <c r="X578" s="310">
        <f t="shared" si="990"/>
        <v>0.62909090909090915</v>
      </c>
      <c r="Y578" s="310">
        <f t="shared" si="991"/>
        <v>0</v>
      </c>
      <c r="Z578" s="310">
        <f t="shared" si="790"/>
        <v>0</v>
      </c>
      <c r="AA578" s="320">
        <f t="shared" ref="AA578:BW578" si="1036">AA352+AA378+AA399</f>
        <v>0</v>
      </c>
      <c r="AB578" s="320">
        <f t="shared" si="1036"/>
        <v>0</v>
      </c>
      <c r="AC578" s="320">
        <f t="shared" si="1036"/>
        <v>0</v>
      </c>
      <c r="AD578" s="320">
        <f t="shared" si="1036"/>
        <v>0</v>
      </c>
      <c r="AE578" s="320">
        <f t="shared" si="1036"/>
        <v>0</v>
      </c>
      <c r="AF578" s="320">
        <f t="shared" si="1036"/>
        <v>0</v>
      </c>
      <c r="AG578" s="320">
        <f t="shared" si="1036"/>
        <v>0</v>
      </c>
      <c r="AH578" s="320">
        <f t="shared" si="1036"/>
        <v>0</v>
      </c>
      <c r="AI578" s="320">
        <f t="shared" si="1036"/>
        <v>0</v>
      </c>
      <c r="AJ578" s="320">
        <f t="shared" si="1036"/>
        <v>0</v>
      </c>
      <c r="AK578" s="320">
        <f t="shared" si="1036"/>
        <v>0</v>
      </c>
      <c r="AL578" s="320">
        <f t="shared" si="1036"/>
        <v>0</v>
      </c>
      <c r="AM578" s="320">
        <f t="shared" si="1036"/>
        <v>0</v>
      </c>
      <c r="AN578" s="320">
        <f t="shared" si="1036"/>
        <v>0</v>
      </c>
      <c r="AO578" s="320">
        <f t="shared" si="1036"/>
        <v>0</v>
      </c>
      <c r="AP578" s="320">
        <f t="shared" si="1036"/>
        <v>3460</v>
      </c>
      <c r="AQ578" s="320">
        <f t="shared" si="1036"/>
        <v>0</v>
      </c>
      <c r="AR578" s="320">
        <f t="shared" si="1036"/>
        <v>0</v>
      </c>
      <c r="AS578" s="320">
        <f t="shared" si="1036"/>
        <v>0</v>
      </c>
      <c r="AT578" s="320">
        <f t="shared" si="1036"/>
        <v>0</v>
      </c>
      <c r="AU578" s="320">
        <f t="shared" si="1036"/>
        <v>0</v>
      </c>
      <c r="AV578" s="320">
        <f t="shared" si="1036"/>
        <v>0</v>
      </c>
      <c r="AW578" s="320">
        <f t="shared" si="1036"/>
        <v>0</v>
      </c>
      <c r="AX578" s="320">
        <f t="shared" si="1036"/>
        <v>0</v>
      </c>
      <c r="AY578" s="320">
        <f t="shared" si="1036"/>
        <v>0</v>
      </c>
      <c r="AZ578" s="320">
        <f t="shared" si="1036"/>
        <v>0</v>
      </c>
      <c r="BA578" s="320">
        <f t="shared" si="1036"/>
        <v>0</v>
      </c>
      <c r="BB578" s="320">
        <f t="shared" si="1036"/>
        <v>0</v>
      </c>
      <c r="BC578" s="320">
        <f t="shared" si="1036"/>
        <v>0</v>
      </c>
      <c r="BD578" s="320">
        <f t="shared" si="1036"/>
        <v>0</v>
      </c>
      <c r="BE578" s="320">
        <f t="shared" si="1036"/>
        <v>0</v>
      </c>
      <c r="BF578" s="320">
        <f t="shared" si="1036"/>
        <v>0</v>
      </c>
      <c r="BG578" s="320">
        <f t="shared" si="1036"/>
        <v>0</v>
      </c>
      <c r="BH578" s="320">
        <f t="shared" si="1036"/>
        <v>0</v>
      </c>
      <c r="BI578" s="320">
        <f t="shared" si="1036"/>
        <v>0</v>
      </c>
      <c r="BJ578" s="320">
        <f t="shared" si="1036"/>
        <v>0</v>
      </c>
      <c r="BK578" s="320">
        <f t="shared" si="1036"/>
        <v>0</v>
      </c>
      <c r="BL578" s="320">
        <f t="shared" si="1036"/>
        <v>0</v>
      </c>
      <c r="BM578" s="320">
        <f t="shared" si="1036"/>
        <v>0</v>
      </c>
      <c r="BN578" s="319">
        <f t="shared" si="1036"/>
        <v>3460</v>
      </c>
      <c r="BO578" s="319">
        <f t="shared" si="1036"/>
        <v>0</v>
      </c>
      <c r="BP578" s="319">
        <f t="shared" si="1036"/>
        <v>3460</v>
      </c>
      <c r="BQ578" s="319">
        <f t="shared" si="1036"/>
        <v>2040</v>
      </c>
      <c r="BR578" s="319">
        <f t="shared" si="1036"/>
        <v>0</v>
      </c>
      <c r="BS578" s="319">
        <f t="shared" si="1036"/>
        <v>2040</v>
      </c>
      <c r="BT578" s="319">
        <f t="shared" si="1036"/>
        <v>0</v>
      </c>
      <c r="BU578" s="319">
        <f t="shared" si="1036"/>
        <v>3460</v>
      </c>
      <c r="BV578" s="319">
        <f t="shared" si="1036"/>
        <v>2040</v>
      </c>
      <c r="BW578" s="319">
        <f t="shared" si="1036"/>
        <v>3460</v>
      </c>
      <c r="BX578" s="1"/>
      <c r="BY578" s="1"/>
      <c r="BZ578" s="1"/>
      <c r="CA578" s="1"/>
      <c r="CB578" s="1"/>
      <c r="CC578" s="1"/>
      <c r="CD578" s="1"/>
      <c r="CE578" s="1"/>
      <c r="CF578" s="1"/>
      <c r="CG578" s="1"/>
    </row>
    <row r="579" spans="1:85" ht="15.75" customHeight="1">
      <c r="A579" s="313"/>
      <c r="B579" s="418"/>
      <c r="C579" s="416" t="s">
        <v>330</v>
      </c>
      <c r="D579" s="314" t="s">
        <v>338</v>
      </c>
      <c r="E579" s="319">
        <f t="shared" ref="E579:J579" si="1037">SUM(E100:E108)+E467</f>
        <v>0</v>
      </c>
      <c r="F579" s="319">
        <f t="shared" si="1037"/>
        <v>0</v>
      </c>
      <c r="G579" s="319">
        <f t="shared" si="1037"/>
        <v>0</v>
      </c>
      <c r="H579" s="319">
        <f t="shared" si="1037"/>
        <v>5470000</v>
      </c>
      <c r="I579" s="319">
        <f t="shared" si="1037"/>
        <v>0</v>
      </c>
      <c r="J579" s="319">
        <f t="shared" si="1037"/>
        <v>0</v>
      </c>
      <c r="K579" s="319">
        <f>SUM(K100:K108)+K467</f>
        <v>232933.99</v>
      </c>
      <c r="L579" s="319">
        <f t="shared" ref="L579:W579" si="1038">SUM(L100:L108)+L467</f>
        <v>0</v>
      </c>
      <c r="M579" s="319">
        <f t="shared" si="1038"/>
        <v>0</v>
      </c>
      <c r="N579" s="319">
        <f t="shared" si="1038"/>
        <v>0</v>
      </c>
      <c r="O579" s="319">
        <f t="shared" si="1038"/>
        <v>189313.25</v>
      </c>
      <c r="P579" s="319">
        <f t="shared" si="1038"/>
        <v>0</v>
      </c>
      <c r="Q579" s="319">
        <f t="shared" si="1038"/>
        <v>0</v>
      </c>
      <c r="R579" s="319">
        <f t="shared" si="1038"/>
        <v>189313.25</v>
      </c>
      <c r="S579" s="319">
        <f t="shared" si="1038"/>
        <v>0</v>
      </c>
      <c r="T579" s="319">
        <f t="shared" si="1038"/>
        <v>0</v>
      </c>
      <c r="U579" s="319">
        <f t="shared" si="1038"/>
        <v>43620.739999999991</v>
      </c>
      <c r="V579" s="319">
        <f t="shared" si="1038"/>
        <v>0</v>
      </c>
      <c r="W579" s="319">
        <f t="shared" si="1038"/>
        <v>0</v>
      </c>
      <c r="X579" s="310">
        <f t="shared" si="990"/>
        <v>0.81273347011314234</v>
      </c>
      <c r="Y579" s="310">
        <f t="shared" si="991"/>
        <v>0</v>
      </c>
      <c r="Z579" s="310">
        <f t="shared" si="790"/>
        <v>0</v>
      </c>
      <c r="AA579" s="319">
        <f t="shared" ref="AA579:BW579" si="1039">SUM(AA100:AA108)+AA467</f>
        <v>0</v>
      </c>
      <c r="AB579" s="319">
        <f t="shared" si="1039"/>
        <v>0</v>
      </c>
      <c r="AC579" s="319">
        <f t="shared" si="1039"/>
        <v>0</v>
      </c>
      <c r="AD579" s="319">
        <f t="shared" si="1039"/>
        <v>0</v>
      </c>
      <c r="AE579" s="319">
        <f t="shared" si="1039"/>
        <v>0</v>
      </c>
      <c r="AF579" s="319">
        <f t="shared" si="1039"/>
        <v>0</v>
      </c>
      <c r="AG579" s="319">
        <f t="shared" si="1039"/>
        <v>0</v>
      </c>
      <c r="AH579" s="319">
        <f t="shared" si="1039"/>
        <v>0</v>
      </c>
      <c r="AI579" s="319">
        <f t="shared" si="1039"/>
        <v>0</v>
      </c>
      <c r="AJ579" s="319">
        <f t="shared" si="1039"/>
        <v>0</v>
      </c>
      <c r="AK579" s="319">
        <f t="shared" si="1039"/>
        <v>0</v>
      </c>
      <c r="AL579" s="319">
        <f t="shared" si="1039"/>
        <v>0</v>
      </c>
      <c r="AM579" s="319">
        <f t="shared" si="1039"/>
        <v>0</v>
      </c>
      <c r="AN579" s="319">
        <f t="shared" si="1039"/>
        <v>0</v>
      </c>
      <c r="AO579" s="319">
        <f t="shared" si="1039"/>
        <v>0</v>
      </c>
      <c r="AP579" s="319">
        <f t="shared" si="1039"/>
        <v>0</v>
      </c>
      <c r="AQ579" s="319">
        <f t="shared" si="1039"/>
        <v>0</v>
      </c>
      <c r="AR579" s="319">
        <f t="shared" si="1039"/>
        <v>0</v>
      </c>
      <c r="AS579" s="319">
        <f t="shared" si="1039"/>
        <v>0</v>
      </c>
      <c r="AT579" s="319">
        <f t="shared" si="1039"/>
        <v>0</v>
      </c>
      <c r="AU579" s="319">
        <f t="shared" si="1039"/>
        <v>0</v>
      </c>
      <c r="AV579" s="319">
        <f t="shared" si="1039"/>
        <v>0</v>
      </c>
      <c r="AW579" s="319">
        <f t="shared" si="1039"/>
        <v>0</v>
      </c>
      <c r="AX579" s="319">
        <f t="shared" si="1039"/>
        <v>0</v>
      </c>
      <c r="AY579" s="319">
        <f t="shared" si="1039"/>
        <v>189313.25</v>
      </c>
      <c r="AZ579" s="319">
        <f t="shared" si="1039"/>
        <v>0</v>
      </c>
      <c r="BA579" s="319">
        <f t="shared" si="1039"/>
        <v>0</v>
      </c>
      <c r="BB579" s="319">
        <f t="shared" si="1039"/>
        <v>0</v>
      </c>
      <c r="BC579" s="319">
        <f t="shared" si="1039"/>
        <v>0</v>
      </c>
      <c r="BD579" s="319">
        <f t="shared" si="1039"/>
        <v>0</v>
      </c>
      <c r="BE579" s="319">
        <f t="shared" si="1039"/>
        <v>0</v>
      </c>
      <c r="BF579" s="319">
        <f t="shared" si="1039"/>
        <v>0</v>
      </c>
      <c r="BG579" s="319">
        <f t="shared" si="1039"/>
        <v>0</v>
      </c>
      <c r="BH579" s="319">
        <f t="shared" si="1039"/>
        <v>0</v>
      </c>
      <c r="BI579" s="319">
        <f t="shared" si="1039"/>
        <v>0</v>
      </c>
      <c r="BJ579" s="319">
        <f t="shared" si="1039"/>
        <v>0</v>
      </c>
      <c r="BK579" s="319">
        <f t="shared" si="1039"/>
        <v>0</v>
      </c>
      <c r="BL579" s="319">
        <f t="shared" si="1039"/>
        <v>0</v>
      </c>
      <c r="BM579" s="319">
        <f t="shared" si="1039"/>
        <v>0</v>
      </c>
      <c r="BN579" s="319">
        <f t="shared" si="1039"/>
        <v>189313.25</v>
      </c>
      <c r="BO579" s="319">
        <f t="shared" si="1039"/>
        <v>0</v>
      </c>
      <c r="BP579" s="319">
        <f t="shared" si="1039"/>
        <v>189313.25</v>
      </c>
      <c r="BQ579" s="319">
        <f t="shared" si="1039"/>
        <v>43620.739999999991</v>
      </c>
      <c r="BR579" s="319">
        <f t="shared" si="1039"/>
        <v>0</v>
      </c>
      <c r="BS579" s="319">
        <f t="shared" si="1039"/>
        <v>43620.739999999991</v>
      </c>
      <c r="BT579" s="319">
        <f t="shared" si="1039"/>
        <v>0</v>
      </c>
      <c r="BU579" s="319">
        <f t="shared" si="1039"/>
        <v>189313.25</v>
      </c>
      <c r="BV579" s="319">
        <f t="shared" si="1039"/>
        <v>43620.739999999991</v>
      </c>
      <c r="BW579" s="319">
        <f t="shared" si="1039"/>
        <v>189313.25</v>
      </c>
      <c r="BX579" s="1"/>
      <c r="BY579" s="1"/>
      <c r="BZ579" s="1"/>
      <c r="CA579" s="1"/>
      <c r="CB579" s="1"/>
      <c r="CC579" s="1"/>
      <c r="CD579" s="1"/>
      <c r="CE579" s="1"/>
      <c r="CF579" s="1"/>
      <c r="CG579" s="1"/>
    </row>
    <row r="580" spans="1:85" ht="15.75" customHeight="1">
      <c r="A580" s="313"/>
      <c r="B580" s="418"/>
      <c r="C580" s="416" t="s">
        <v>339</v>
      </c>
      <c r="D580" s="314" t="s">
        <v>340</v>
      </c>
      <c r="E580" s="319">
        <f>E109+E110+E468</f>
        <v>0</v>
      </c>
      <c r="F580" s="319">
        <f>F109+F110+F468</f>
        <v>0</v>
      </c>
      <c r="G580" s="319">
        <f>G109+G110+G468</f>
        <v>0</v>
      </c>
      <c r="H580" s="319">
        <f>H109+H110+H468</f>
        <v>750000</v>
      </c>
      <c r="I580" s="319">
        <f t="shared" ref="I580:K580" si="1040">I109+I110+I468</f>
        <v>0</v>
      </c>
      <c r="J580" s="319">
        <f t="shared" si="1040"/>
        <v>0</v>
      </c>
      <c r="K580" s="319">
        <f t="shared" si="1040"/>
        <v>0</v>
      </c>
      <c r="L580" s="319">
        <f t="shared" ref="L580:W580" si="1041">L109+L110+L468</f>
        <v>0</v>
      </c>
      <c r="M580" s="319">
        <f t="shared" si="1041"/>
        <v>0</v>
      </c>
      <c r="N580" s="319">
        <f t="shared" si="1041"/>
        <v>0</v>
      </c>
      <c r="O580" s="319">
        <f t="shared" si="1041"/>
        <v>0</v>
      </c>
      <c r="P580" s="319">
        <f t="shared" si="1041"/>
        <v>0</v>
      </c>
      <c r="Q580" s="319">
        <f t="shared" si="1041"/>
        <v>0</v>
      </c>
      <c r="R580" s="320">
        <f t="shared" si="1041"/>
        <v>0</v>
      </c>
      <c r="S580" s="320">
        <f t="shared" si="1041"/>
        <v>0</v>
      </c>
      <c r="T580" s="320">
        <f t="shared" si="1041"/>
        <v>0</v>
      </c>
      <c r="U580" s="386">
        <f t="shared" si="1041"/>
        <v>0</v>
      </c>
      <c r="V580" s="386">
        <f t="shared" si="1041"/>
        <v>0</v>
      </c>
      <c r="W580" s="386">
        <f t="shared" si="1041"/>
        <v>0</v>
      </c>
      <c r="X580" s="310">
        <f t="shared" si="990"/>
        <v>0</v>
      </c>
      <c r="Y580" s="310">
        <f t="shared" si="991"/>
        <v>0</v>
      </c>
      <c r="Z580" s="310">
        <f t="shared" si="790"/>
        <v>0</v>
      </c>
      <c r="AA580" s="319">
        <f t="shared" ref="AA580:BW580" si="1042">AA109+AA110+AA468</f>
        <v>0</v>
      </c>
      <c r="AB580" s="319">
        <f t="shared" si="1042"/>
        <v>0</v>
      </c>
      <c r="AC580" s="319">
        <f t="shared" si="1042"/>
        <v>0</v>
      </c>
      <c r="AD580" s="319">
        <f t="shared" si="1042"/>
        <v>0</v>
      </c>
      <c r="AE580" s="319">
        <f t="shared" si="1042"/>
        <v>0</v>
      </c>
      <c r="AF580" s="319">
        <f t="shared" si="1042"/>
        <v>0</v>
      </c>
      <c r="AG580" s="319">
        <f t="shared" si="1042"/>
        <v>0</v>
      </c>
      <c r="AH580" s="319">
        <f t="shared" si="1042"/>
        <v>0</v>
      </c>
      <c r="AI580" s="319">
        <f t="shared" si="1042"/>
        <v>0</v>
      </c>
      <c r="AJ580" s="319">
        <f t="shared" si="1042"/>
        <v>0</v>
      </c>
      <c r="AK580" s="319">
        <f t="shared" si="1042"/>
        <v>0</v>
      </c>
      <c r="AL580" s="319">
        <f t="shared" si="1042"/>
        <v>0</v>
      </c>
      <c r="AM580" s="319">
        <f t="shared" si="1042"/>
        <v>0</v>
      </c>
      <c r="AN580" s="319">
        <f t="shared" si="1042"/>
        <v>0</v>
      </c>
      <c r="AO580" s="319">
        <f t="shared" si="1042"/>
        <v>0</v>
      </c>
      <c r="AP580" s="319">
        <f t="shared" si="1042"/>
        <v>0</v>
      </c>
      <c r="AQ580" s="319">
        <f t="shared" si="1042"/>
        <v>0</v>
      </c>
      <c r="AR580" s="319">
        <f t="shared" si="1042"/>
        <v>0</v>
      </c>
      <c r="AS580" s="319">
        <f t="shared" si="1042"/>
        <v>0</v>
      </c>
      <c r="AT580" s="319">
        <f t="shared" si="1042"/>
        <v>0</v>
      </c>
      <c r="AU580" s="319">
        <f t="shared" si="1042"/>
        <v>0</v>
      </c>
      <c r="AV580" s="319">
        <f t="shared" si="1042"/>
        <v>0</v>
      </c>
      <c r="AW580" s="319">
        <f t="shared" si="1042"/>
        <v>0</v>
      </c>
      <c r="AX580" s="319">
        <f t="shared" si="1042"/>
        <v>0</v>
      </c>
      <c r="AY580" s="319">
        <f t="shared" si="1042"/>
        <v>0</v>
      </c>
      <c r="AZ580" s="319">
        <f t="shared" si="1042"/>
        <v>0</v>
      </c>
      <c r="BA580" s="319">
        <f t="shared" si="1042"/>
        <v>0</v>
      </c>
      <c r="BB580" s="319">
        <f t="shared" si="1042"/>
        <v>0</v>
      </c>
      <c r="BC580" s="319">
        <f t="shared" si="1042"/>
        <v>0</v>
      </c>
      <c r="BD580" s="319">
        <f t="shared" si="1042"/>
        <v>0</v>
      </c>
      <c r="BE580" s="319">
        <f t="shared" si="1042"/>
        <v>0</v>
      </c>
      <c r="BF580" s="319">
        <f t="shared" si="1042"/>
        <v>0</v>
      </c>
      <c r="BG580" s="319">
        <f t="shared" si="1042"/>
        <v>0</v>
      </c>
      <c r="BH580" s="319">
        <f t="shared" si="1042"/>
        <v>0</v>
      </c>
      <c r="BI580" s="319">
        <f t="shared" si="1042"/>
        <v>0</v>
      </c>
      <c r="BJ580" s="319">
        <f t="shared" si="1042"/>
        <v>0</v>
      </c>
      <c r="BK580" s="319">
        <f t="shared" si="1042"/>
        <v>0</v>
      </c>
      <c r="BL580" s="319">
        <f t="shared" si="1042"/>
        <v>0</v>
      </c>
      <c r="BM580" s="319">
        <f t="shared" si="1042"/>
        <v>0</v>
      </c>
      <c r="BN580" s="319">
        <f t="shared" si="1042"/>
        <v>0</v>
      </c>
      <c r="BO580" s="319">
        <f t="shared" si="1042"/>
        <v>0</v>
      </c>
      <c r="BP580" s="319">
        <f t="shared" si="1042"/>
        <v>0</v>
      </c>
      <c r="BQ580" s="319">
        <f t="shared" si="1042"/>
        <v>0</v>
      </c>
      <c r="BR580" s="319">
        <f t="shared" si="1042"/>
        <v>0</v>
      </c>
      <c r="BS580" s="319">
        <f t="shared" si="1042"/>
        <v>0</v>
      </c>
      <c r="BT580" s="319">
        <f t="shared" si="1042"/>
        <v>0</v>
      </c>
      <c r="BU580" s="319">
        <f t="shared" si="1042"/>
        <v>0</v>
      </c>
      <c r="BV580" s="319">
        <f t="shared" si="1042"/>
        <v>0</v>
      </c>
      <c r="BW580" s="319">
        <f t="shared" si="1042"/>
        <v>0</v>
      </c>
      <c r="BX580" s="1"/>
      <c r="BY580" s="1"/>
      <c r="BZ580" s="1"/>
      <c r="CA580" s="1"/>
      <c r="CB580" s="1"/>
      <c r="CC580" s="1"/>
      <c r="CD580" s="1"/>
      <c r="CE580" s="1"/>
      <c r="CF580" s="1"/>
      <c r="CG580" s="1"/>
    </row>
    <row r="581" spans="1:85" ht="15.75" customHeight="1">
      <c r="A581" s="313"/>
      <c r="B581" s="418"/>
      <c r="C581" s="416" t="s">
        <v>540</v>
      </c>
      <c r="D581" s="314" t="s">
        <v>541</v>
      </c>
      <c r="E581" s="319">
        <f>E233+E469</f>
        <v>0</v>
      </c>
      <c r="F581" s="319">
        <f>F233+F469</f>
        <v>0</v>
      </c>
      <c r="G581" s="319">
        <f>G233+G469</f>
        <v>0</v>
      </c>
      <c r="H581" s="319">
        <f>H233+H469</f>
        <v>50000</v>
      </c>
      <c r="I581" s="319">
        <f t="shared" ref="I581:K581" si="1043">I233+I469</f>
        <v>0</v>
      </c>
      <c r="J581" s="319">
        <f t="shared" si="1043"/>
        <v>0</v>
      </c>
      <c r="K581" s="319">
        <f t="shared" si="1043"/>
        <v>0</v>
      </c>
      <c r="L581" s="319">
        <f t="shared" ref="L581:W581" si="1044">L233+L469</f>
        <v>8899.99</v>
      </c>
      <c r="M581" s="319">
        <f t="shared" si="1044"/>
        <v>0</v>
      </c>
      <c r="N581" s="319">
        <f t="shared" si="1044"/>
        <v>0</v>
      </c>
      <c r="O581" s="319">
        <f t="shared" si="1044"/>
        <v>0</v>
      </c>
      <c r="P581" s="319">
        <f t="shared" si="1044"/>
        <v>0</v>
      </c>
      <c r="Q581" s="319">
        <f t="shared" si="1044"/>
        <v>0</v>
      </c>
      <c r="R581" s="320">
        <f t="shared" si="1044"/>
        <v>0</v>
      </c>
      <c r="S581" s="320">
        <f t="shared" si="1044"/>
        <v>0</v>
      </c>
      <c r="T581" s="320">
        <f t="shared" si="1044"/>
        <v>0</v>
      </c>
      <c r="U581" s="386">
        <f t="shared" si="1044"/>
        <v>0</v>
      </c>
      <c r="V581" s="386">
        <f t="shared" si="1044"/>
        <v>8899.99</v>
      </c>
      <c r="W581" s="386">
        <f t="shared" si="1044"/>
        <v>0</v>
      </c>
      <c r="X581" s="310">
        <f t="shared" si="990"/>
        <v>0</v>
      </c>
      <c r="Y581" s="310">
        <f t="shared" si="991"/>
        <v>0</v>
      </c>
      <c r="Z581" s="310">
        <f t="shared" si="790"/>
        <v>0</v>
      </c>
      <c r="AA581" s="319">
        <f t="shared" ref="AA581:BW581" si="1045">AA233+AA469</f>
        <v>0</v>
      </c>
      <c r="AB581" s="319">
        <f t="shared" si="1045"/>
        <v>0</v>
      </c>
      <c r="AC581" s="319">
        <f t="shared" si="1045"/>
        <v>0</v>
      </c>
      <c r="AD581" s="319">
        <f t="shared" si="1045"/>
        <v>0</v>
      </c>
      <c r="AE581" s="319">
        <f t="shared" si="1045"/>
        <v>0</v>
      </c>
      <c r="AF581" s="319">
        <f t="shared" si="1045"/>
        <v>0</v>
      </c>
      <c r="AG581" s="319">
        <f t="shared" si="1045"/>
        <v>0</v>
      </c>
      <c r="AH581" s="319">
        <f t="shared" si="1045"/>
        <v>0</v>
      </c>
      <c r="AI581" s="319">
        <f t="shared" si="1045"/>
        <v>0</v>
      </c>
      <c r="AJ581" s="319">
        <f t="shared" si="1045"/>
        <v>0</v>
      </c>
      <c r="AK581" s="319">
        <f t="shared" si="1045"/>
        <v>0</v>
      </c>
      <c r="AL581" s="319">
        <f t="shared" si="1045"/>
        <v>0</v>
      </c>
      <c r="AM581" s="319">
        <f t="shared" si="1045"/>
        <v>0</v>
      </c>
      <c r="AN581" s="319">
        <f t="shared" si="1045"/>
        <v>0</v>
      </c>
      <c r="AO581" s="319">
        <f t="shared" si="1045"/>
        <v>0</v>
      </c>
      <c r="AP581" s="319">
        <f t="shared" si="1045"/>
        <v>0</v>
      </c>
      <c r="AQ581" s="319">
        <f t="shared" si="1045"/>
        <v>0</v>
      </c>
      <c r="AR581" s="319">
        <f t="shared" si="1045"/>
        <v>0</v>
      </c>
      <c r="AS581" s="319">
        <f t="shared" si="1045"/>
        <v>0</v>
      </c>
      <c r="AT581" s="319">
        <f t="shared" si="1045"/>
        <v>0</v>
      </c>
      <c r="AU581" s="319">
        <f t="shared" si="1045"/>
        <v>0</v>
      </c>
      <c r="AV581" s="319">
        <f t="shared" si="1045"/>
        <v>0</v>
      </c>
      <c r="AW581" s="319">
        <f t="shared" si="1045"/>
        <v>0</v>
      </c>
      <c r="AX581" s="319">
        <f t="shared" si="1045"/>
        <v>0</v>
      </c>
      <c r="AY581" s="319">
        <f t="shared" si="1045"/>
        <v>0</v>
      </c>
      <c r="AZ581" s="319">
        <f t="shared" si="1045"/>
        <v>0</v>
      </c>
      <c r="BA581" s="319">
        <f t="shared" si="1045"/>
        <v>0</v>
      </c>
      <c r="BB581" s="319">
        <f t="shared" si="1045"/>
        <v>0</v>
      </c>
      <c r="BC581" s="319">
        <f t="shared" si="1045"/>
        <v>0</v>
      </c>
      <c r="BD581" s="319">
        <f t="shared" si="1045"/>
        <v>0</v>
      </c>
      <c r="BE581" s="319">
        <f t="shared" si="1045"/>
        <v>0</v>
      </c>
      <c r="BF581" s="319">
        <f t="shared" si="1045"/>
        <v>0</v>
      </c>
      <c r="BG581" s="319">
        <f t="shared" si="1045"/>
        <v>0</v>
      </c>
      <c r="BH581" s="319">
        <f t="shared" si="1045"/>
        <v>0</v>
      </c>
      <c r="BI581" s="319">
        <f t="shared" si="1045"/>
        <v>0</v>
      </c>
      <c r="BJ581" s="319">
        <f t="shared" si="1045"/>
        <v>0</v>
      </c>
      <c r="BK581" s="319">
        <f t="shared" si="1045"/>
        <v>0</v>
      </c>
      <c r="BL581" s="319">
        <f t="shared" si="1045"/>
        <v>0</v>
      </c>
      <c r="BM581" s="319">
        <f t="shared" si="1045"/>
        <v>0</v>
      </c>
      <c r="BN581" s="319">
        <f t="shared" si="1045"/>
        <v>0</v>
      </c>
      <c r="BO581" s="319">
        <f t="shared" si="1045"/>
        <v>0</v>
      </c>
      <c r="BP581" s="319">
        <f t="shared" si="1045"/>
        <v>0</v>
      </c>
      <c r="BQ581" s="319">
        <f t="shared" si="1045"/>
        <v>0</v>
      </c>
      <c r="BR581" s="319">
        <f t="shared" si="1045"/>
        <v>0</v>
      </c>
      <c r="BS581" s="319">
        <f t="shared" si="1045"/>
        <v>0</v>
      </c>
      <c r="BT581" s="319">
        <f t="shared" si="1045"/>
        <v>8899.99</v>
      </c>
      <c r="BU581" s="319">
        <f t="shared" si="1045"/>
        <v>0</v>
      </c>
      <c r="BV581" s="319">
        <f t="shared" si="1045"/>
        <v>0</v>
      </c>
      <c r="BW581" s="319">
        <f t="shared" si="1045"/>
        <v>8899.99</v>
      </c>
      <c r="BX581" s="1"/>
      <c r="BY581" s="1"/>
      <c r="BZ581" s="1"/>
      <c r="CA581" s="1"/>
      <c r="CB581" s="1"/>
      <c r="CC581" s="1"/>
      <c r="CD581" s="1"/>
      <c r="CE581" s="1"/>
      <c r="CF581" s="1"/>
      <c r="CG581" s="1"/>
    </row>
    <row r="582" spans="1:85" ht="15.75" customHeight="1">
      <c r="A582" s="313"/>
      <c r="B582" s="418"/>
      <c r="C582" s="417" t="s">
        <v>645</v>
      </c>
      <c r="D582" s="315" t="s">
        <v>646</v>
      </c>
      <c r="E582" s="319">
        <f>E298</f>
        <v>0</v>
      </c>
      <c r="F582" s="319">
        <f>F298</f>
        <v>0</v>
      </c>
      <c r="G582" s="319">
        <f>G298</f>
        <v>0</v>
      </c>
      <c r="H582" s="319">
        <f>H298</f>
        <v>200000</v>
      </c>
      <c r="I582" s="319">
        <f t="shared" ref="I582:K582" si="1046">I298</f>
        <v>0</v>
      </c>
      <c r="J582" s="319">
        <f t="shared" si="1046"/>
        <v>0</v>
      </c>
      <c r="K582" s="319">
        <f t="shared" si="1046"/>
        <v>0</v>
      </c>
      <c r="L582" s="319">
        <f t="shared" ref="L582:W582" si="1047">L298</f>
        <v>0</v>
      </c>
      <c r="M582" s="319">
        <f t="shared" si="1047"/>
        <v>0</v>
      </c>
      <c r="N582" s="319">
        <f t="shared" si="1047"/>
        <v>0</v>
      </c>
      <c r="O582" s="319">
        <f t="shared" si="1047"/>
        <v>0</v>
      </c>
      <c r="P582" s="319">
        <f t="shared" si="1047"/>
        <v>0</v>
      </c>
      <c r="Q582" s="319">
        <f t="shared" si="1047"/>
        <v>0</v>
      </c>
      <c r="R582" s="320">
        <f t="shared" si="1047"/>
        <v>0</v>
      </c>
      <c r="S582" s="320">
        <f t="shared" si="1047"/>
        <v>0</v>
      </c>
      <c r="T582" s="320">
        <f t="shared" si="1047"/>
        <v>0</v>
      </c>
      <c r="U582" s="386">
        <f t="shared" si="1047"/>
        <v>0</v>
      </c>
      <c r="V582" s="386">
        <f t="shared" si="1047"/>
        <v>0</v>
      </c>
      <c r="W582" s="386">
        <f t="shared" si="1047"/>
        <v>0</v>
      </c>
      <c r="X582" s="310">
        <f t="shared" si="990"/>
        <v>0</v>
      </c>
      <c r="Y582" s="310">
        <f t="shared" si="991"/>
        <v>0</v>
      </c>
      <c r="Z582" s="310">
        <f t="shared" si="790"/>
        <v>0</v>
      </c>
      <c r="AA582" s="319">
        <f t="shared" ref="AA582:BW582" si="1048">AA298</f>
        <v>0</v>
      </c>
      <c r="AB582" s="319">
        <f t="shared" si="1048"/>
        <v>0</v>
      </c>
      <c r="AC582" s="319">
        <f t="shared" si="1048"/>
        <v>0</v>
      </c>
      <c r="AD582" s="319">
        <f t="shared" si="1048"/>
        <v>0</v>
      </c>
      <c r="AE582" s="319">
        <f t="shared" si="1048"/>
        <v>0</v>
      </c>
      <c r="AF582" s="319">
        <f t="shared" si="1048"/>
        <v>0</v>
      </c>
      <c r="AG582" s="319">
        <f t="shared" si="1048"/>
        <v>0</v>
      </c>
      <c r="AH582" s="319">
        <f t="shared" si="1048"/>
        <v>0</v>
      </c>
      <c r="AI582" s="319">
        <f t="shared" si="1048"/>
        <v>0</v>
      </c>
      <c r="AJ582" s="319">
        <f t="shared" si="1048"/>
        <v>0</v>
      </c>
      <c r="AK582" s="319">
        <f t="shared" si="1048"/>
        <v>0</v>
      </c>
      <c r="AL582" s="319">
        <f t="shared" si="1048"/>
        <v>0</v>
      </c>
      <c r="AM582" s="319">
        <f t="shared" si="1048"/>
        <v>0</v>
      </c>
      <c r="AN582" s="319">
        <f t="shared" si="1048"/>
        <v>0</v>
      </c>
      <c r="AO582" s="319">
        <f t="shared" si="1048"/>
        <v>0</v>
      </c>
      <c r="AP582" s="319">
        <f t="shared" si="1048"/>
        <v>0</v>
      </c>
      <c r="AQ582" s="319">
        <f t="shared" si="1048"/>
        <v>0</v>
      </c>
      <c r="AR582" s="319">
        <f t="shared" si="1048"/>
        <v>0</v>
      </c>
      <c r="AS582" s="319">
        <f t="shared" si="1048"/>
        <v>0</v>
      </c>
      <c r="AT582" s="319">
        <f t="shared" si="1048"/>
        <v>0</v>
      </c>
      <c r="AU582" s="319">
        <f t="shared" si="1048"/>
        <v>0</v>
      </c>
      <c r="AV582" s="319">
        <f t="shared" si="1048"/>
        <v>0</v>
      </c>
      <c r="AW582" s="319">
        <f t="shared" si="1048"/>
        <v>0</v>
      </c>
      <c r="AX582" s="319">
        <f t="shared" si="1048"/>
        <v>0</v>
      </c>
      <c r="AY582" s="319">
        <f t="shared" si="1048"/>
        <v>0</v>
      </c>
      <c r="AZ582" s="319">
        <f t="shared" si="1048"/>
        <v>0</v>
      </c>
      <c r="BA582" s="319">
        <f t="shared" si="1048"/>
        <v>0</v>
      </c>
      <c r="BB582" s="319">
        <f t="shared" si="1048"/>
        <v>0</v>
      </c>
      <c r="BC582" s="319">
        <f t="shared" si="1048"/>
        <v>0</v>
      </c>
      <c r="BD582" s="319">
        <f t="shared" si="1048"/>
        <v>0</v>
      </c>
      <c r="BE582" s="319">
        <f t="shared" si="1048"/>
        <v>0</v>
      </c>
      <c r="BF582" s="319">
        <f t="shared" si="1048"/>
        <v>0</v>
      </c>
      <c r="BG582" s="319">
        <f t="shared" si="1048"/>
        <v>0</v>
      </c>
      <c r="BH582" s="319">
        <f t="shared" si="1048"/>
        <v>0</v>
      </c>
      <c r="BI582" s="319">
        <f t="shared" si="1048"/>
        <v>0</v>
      </c>
      <c r="BJ582" s="319">
        <f t="shared" si="1048"/>
        <v>0</v>
      </c>
      <c r="BK582" s="319">
        <f t="shared" si="1048"/>
        <v>0</v>
      </c>
      <c r="BL582" s="319">
        <f t="shared" si="1048"/>
        <v>0</v>
      </c>
      <c r="BM582" s="319">
        <f t="shared" si="1048"/>
        <v>0</v>
      </c>
      <c r="BN582" s="319">
        <f t="shared" si="1048"/>
        <v>0</v>
      </c>
      <c r="BO582" s="319">
        <f t="shared" si="1048"/>
        <v>0</v>
      </c>
      <c r="BP582" s="319">
        <f t="shared" si="1048"/>
        <v>0</v>
      </c>
      <c r="BQ582" s="319">
        <f t="shared" si="1048"/>
        <v>0</v>
      </c>
      <c r="BR582" s="319">
        <f t="shared" si="1048"/>
        <v>0</v>
      </c>
      <c r="BS582" s="319">
        <f t="shared" si="1048"/>
        <v>0</v>
      </c>
      <c r="BT582" s="319">
        <f t="shared" si="1048"/>
        <v>0</v>
      </c>
      <c r="BU582" s="319">
        <f t="shared" si="1048"/>
        <v>0</v>
      </c>
      <c r="BV582" s="319">
        <f t="shared" si="1048"/>
        <v>0</v>
      </c>
      <c r="BW582" s="319">
        <f t="shared" si="1048"/>
        <v>0</v>
      </c>
      <c r="BX582" s="1"/>
      <c r="BY582" s="1"/>
      <c r="BZ582" s="1"/>
      <c r="CA582" s="1"/>
      <c r="CB582" s="1"/>
      <c r="CC582" s="1"/>
      <c r="CD582" s="1"/>
      <c r="CE582" s="1"/>
      <c r="CF582" s="1"/>
      <c r="CG582" s="1"/>
    </row>
    <row r="583" spans="1:85" ht="15.75" customHeight="1">
      <c r="A583" s="313"/>
      <c r="B583" s="418"/>
      <c r="C583" s="416" t="s">
        <v>543</v>
      </c>
      <c r="D583" s="314" t="s">
        <v>693</v>
      </c>
      <c r="E583" s="319">
        <f t="shared" ref="E583:J583" si="1049">E234+E341</f>
        <v>0</v>
      </c>
      <c r="F583" s="319">
        <f t="shared" si="1049"/>
        <v>0</v>
      </c>
      <c r="G583" s="319">
        <f t="shared" si="1049"/>
        <v>0</v>
      </c>
      <c r="H583" s="319">
        <f t="shared" si="1049"/>
        <v>100000</v>
      </c>
      <c r="I583" s="319">
        <f t="shared" si="1049"/>
        <v>0</v>
      </c>
      <c r="J583" s="319">
        <f t="shared" si="1049"/>
        <v>0</v>
      </c>
      <c r="K583" s="319">
        <f>K234+K341</f>
        <v>17775</v>
      </c>
      <c r="L583" s="319">
        <f t="shared" ref="L583:W583" si="1050">L234+L341</f>
        <v>0</v>
      </c>
      <c r="M583" s="319">
        <f t="shared" si="1050"/>
        <v>0</v>
      </c>
      <c r="N583" s="319">
        <f t="shared" si="1050"/>
        <v>0</v>
      </c>
      <c r="O583" s="319">
        <f t="shared" si="1050"/>
        <v>0</v>
      </c>
      <c r="P583" s="319">
        <f t="shared" si="1050"/>
        <v>0</v>
      </c>
      <c r="Q583" s="319">
        <f t="shared" si="1050"/>
        <v>0</v>
      </c>
      <c r="R583" s="319">
        <f t="shared" si="1050"/>
        <v>0</v>
      </c>
      <c r="S583" s="319">
        <f t="shared" si="1050"/>
        <v>0</v>
      </c>
      <c r="T583" s="319">
        <f t="shared" si="1050"/>
        <v>0</v>
      </c>
      <c r="U583" s="319">
        <f t="shared" si="1050"/>
        <v>17775</v>
      </c>
      <c r="V583" s="319">
        <f t="shared" si="1050"/>
        <v>0</v>
      </c>
      <c r="W583" s="319">
        <f t="shared" si="1050"/>
        <v>0</v>
      </c>
      <c r="X583" s="310">
        <f t="shared" si="990"/>
        <v>0</v>
      </c>
      <c r="Y583" s="310">
        <f t="shared" si="991"/>
        <v>0</v>
      </c>
      <c r="Z583" s="310">
        <f t="shared" si="790"/>
        <v>0</v>
      </c>
      <c r="AA583" s="319">
        <f t="shared" ref="AA583:BW583" si="1051">AA234+AA341</f>
        <v>0</v>
      </c>
      <c r="AB583" s="319">
        <f t="shared" si="1051"/>
        <v>0</v>
      </c>
      <c r="AC583" s="319">
        <f t="shared" si="1051"/>
        <v>0</v>
      </c>
      <c r="AD583" s="319">
        <f t="shared" si="1051"/>
        <v>0</v>
      </c>
      <c r="AE583" s="319">
        <f t="shared" si="1051"/>
        <v>0</v>
      </c>
      <c r="AF583" s="319">
        <f t="shared" si="1051"/>
        <v>0</v>
      </c>
      <c r="AG583" s="319">
        <f t="shared" si="1051"/>
        <v>0</v>
      </c>
      <c r="AH583" s="319">
        <f t="shared" si="1051"/>
        <v>0</v>
      </c>
      <c r="AI583" s="319">
        <f t="shared" si="1051"/>
        <v>0</v>
      </c>
      <c r="AJ583" s="319">
        <f t="shared" si="1051"/>
        <v>0</v>
      </c>
      <c r="AK583" s="319">
        <f t="shared" si="1051"/>
        <v>0</v>
      </c>
      <c r="AL583" s="319">
        <f t="shared" si="1051"/>
        <v>0</v>
      </c>
      <c r="AM583" s="319">
        <f t="shared" si="1051"/>
        <v>0</v>
      </c>
      <c r="AN583" s="319">
        <f t="shared" si="1051"/>
        <v>0</v>
      </c>
      <c r="AO583" s="319">
        <f t="shared" si="1051"/>
        <v>0</v>
      </c>
      <c r="AP583" s="319">
        <f t="shared" si="1051"/>
        <v>0</v>
      </c>
      <c r="AQ583" s="319">
        <f t="shared" si="1051"/>
        <v>0</v>
      </c>
      <c r="AR583" s="319">
        <f t="shared" si="1051"/>
        <v>0</v>
      </c>
      <c r="AS583" s="319">
        <f t="shared" si="1051"/>
        <v>0</v>
      </c>
      <c r="AT583" s="319">
        <f t="shared" si="1051"/>
        <v>0</v>
      </c>
      <c r="AU583" s="319">
        <f t="shared" si="1051"/>
        <v>0</v>
      </c>
      <c r="AV583" s="319">
        <f t="shared" si="1051"/>
        <v>0</v>
      </c>
      <c r="AW583" s="319">
        <f t="shared" si="1051"/>
        <v>0</v>
      </c>
      <c r="AX583" s="319">
        <f t="shared" si="1051"/>
        <v>0</v>
      </c>
      <c r="AY583" s="319">
        <f t="shared" si="1051"/>
        <v>0</v>
      </c>
      <c r="AZ583" s="319">
        <f t="shared" si="1051"/>
        <v>0</v>
      </c>
      <c r="BA583" s="319">
        <f t="shared" si="1051"/>
        <v>0</v>
      </c>
      <c r="BB583" s="319">
        <f t="shared" si="1051"/>
        <v>0</v>
      </c>
      <c r="BC583" s="319">
        <f t="shared" si="1051"/>
        <v>0</v>
      </c>
      <c r="BD583" s="319">
        <f t="shared" si="1051"/>
        <v>0</v>
      </c>
      <c r="BE583" s="319">
        <f t="shared" si="1051"/>
        <v>0</v>
      </c>
      <c r="BF583" s="319">
        <f t="shared" si="1051"/>
        <v>0</v>
      </c>
      <c r="BG583" s="319">
        <f t="shared" si="1051"/>
        <v>0</v>
      </c>
      <c r="BH583" s="319">
        <f t="shared" si="1051"/>
        <v>0</v>
      </c>
      <c r="BI583" s="319">
        <f t="shared" si="1051"/>
        <v>0</v>
      </c>
      <c r="BJ583" s="319">
        <f t="shared" si="1051"/>
        <v>0</v>
      </c>
      <c r="BK583" s="319">
        <f t="shared" si="1051"/>
        <v>0</v>
      </c>
      <c r="BL583" s="319">
        <f t="shared" si="1051"/>
        <v>0</v>
      </c>
      <c r="BM583" s="319">
        <f t="shared" si="1051"/>
        <v>0</v>
      </c>
      <c r="BN583" s="319">
        <f t="shared" si="1051"/>
        <v>0</v>
      </c>
      <c r="BO583" s="319">
        <f t="shared" si="1051"/>
        <v>0</v>
      </c>
      <c r="BP583" s="319">
        <f t="shared" si="1051"/>
        <v>0</v>
      </c>
      <c r="BQ583" s="319">
        <f t="shared" si="1051"/>
        <v>17775</v>
      </c>
      <c r="BR583" s="319">
        <f t="shared" si="1051"/>
        <v>0</v>
      </c>
      <c r="BS583" s="319">
        <f t="shared" si="1051"/>
        <v>17775</v>
      </c>
      <c r="BT583" s="319">
        <f t="shared" si="1051"/>
        <v>0</v>
      </c>
      <c r="BU583" s="319">
        <f t="shared" si="1051"/>
        <v>0</v>
      </c>
      <c r="BV583" s="319">
        <f t="shared" si="1051"/>
        <v>17775</v>
      </c>
      <c r="BW583" s="319">
        <f t="shared" si="1051"/>
        <v>0</v>
      </c>
      <c r="BX583" s="1"/>
      <c r="BY583" s="1"/>
      <c r="BZ583" s="1"/>
      <c r="CA583" s="1"/>
      <c r="CB583" s="1"/>
      <c r="CC583" s="1"/>
      <c r="CD583" s="1"/>
      <c r="CE583" s="1"/>
      <c r="CF583" s="1"/>
      <c r="CG583" s="1"/>
    </row>
    <row r="584" spans="1:85" ht="15.75" customHeight="1">
      <c r="A584" s="313"/>
      <c r="B584" s="418"/>
      <c r="C584" s="416" t="s">
        <v>365</v>
      </c>
      <c r="D584" s="328" t="s">
        <v>368</v>
      </c>
      <c r="E584" s="319">
        <f>E125+E126</f>
        <v>0</v>
      </c>
      <c r="F584" s="319">
        <f>F125+F126</f>
        <v>0</v>
      </c>
      <c r="G584" s="319">
        <f>G125+G126</f>
        <v>0</v>
      </c>
      <c r="H584" s="319">
        <f>H125+H126</f>
        <v>0</v>
      </c>
      <c r="I584" s="319">
        <f t="shared" ref="I584:K584" si="1052">I125+I126</f>
        <v>0</v>
      </c>
      <c r="J584" s="319">
        <f t="shared" si="1052"/>
        <v>0</v>
      </c>
      <c r="K584" s="319">
        <f t="shared" si="1052"/>
        <v>0</v>
      </c>
      <c r="L584" s="319">
        <f t="shared" ref="L584:W584" si="1053">L125+L126</f>
        <v>14560</v>
      </c>
      <c r="M584" s="319">
        <f t="shared" si="1053"/>
        <v>0</v>
      </c>
      <c r="N584" s="319">
        <f t="shared" si="1053"/>
        <v>0</v>
      </c>
      <c r="O584" s="320">
        <f t="shared" si="1053"/>
        <v>0</v>
      </c>
      <c r="P584" s="320">
        <f t="shared" si="1053"/>
        <v>14560</v>
      </c>
      <c r="Q584" s="320">
        <f t="shared" si="1053"/>
        <v>0</v>
      </c>
      <c r="R584" s="320">
        <f t="shared" si="1053"/>
        <v>0</v>
      </c>
      <c r="S584" s="320">
        <f t="shared" si="1053"/>
        <v>14560</v>
      </c>
      <c r="T584" s="320">
        <f t="shared" si="1053"/>
        <v>0</v>
      </c>
      <c r="U584" s="387">
        <f t="shared" si="1053"/>
        <v>0</v>
      </c>
      <c r="V584" s="386">
        <f t="shared" si="1053"/>
        <v>0</v>
      </c>
      <c r="W584" s="387">
        <f t="shared" si="1053"/>
        <v>0</v>
      </c>
      <c r="X584" s="310">
        <f t="shared" si="990"/>
        <v>0</v>
      </c>
      <c r="Y584" s="310">
        <f t="shared" si="991"/>
        <v>1</v>
      </c>
      <c r="Z584" s="310">
        <f t="shared" si="790"/>
        <v>0</v>
      </c>
      <c r="AA584" s="319">
        <f t="shared" ref="AA584:BW584" si="1054">AA125+AA126</f>
        <v>0</v>
      </c>
      <c r="AB584" s="319">
        <f t="shared" si="1054"/>
        <v>10048</v>
      </c>
      <c r="AC584" s="319">
        <f t="shared" si="1054"/>
        <v>0</v>
      </c>
      <c r="AD584" s="319">
        <f t="shared" si="1054"/>
        <v>0</v>
      </c>
      <c r="AE584" s="319">
        <f t="shared" si="1054"/>
        <v>4512</v>
      </c>
      <c r="AF584" s="319">
        <f t="shared" si="1054"/>
        <v>0</v>
      </c>
      <c r="AG584" s="319">
        <f t="shared" si="1054"/>
        <v>0</v>
      </c>
      <c r="AH584" s="319">
        <f t="shared" si="1054"/>
        <v>0</v>
      </c>
      <c r="AI584" s="319">
        <f t="shared" si="1054"/>
        <v>0</v>
      </c>
      <c r="AJ584" s="319">
        <f t="shared" si="1054"/>
        <v>0</v>
      </c>
      <c r="AK584" s="319">
        <f t="shared" si="1054"/>
        <v>0</v>
      </c>
      <c r="AL584" s="319">
        <f t="shared" si="1054"/>
        <v>0</v>
      </c>
      <c r="AM584" s="319">
        <f t="shared" si="1054"/>
        <v>0</v>
      </c>
      <c r="AN584" s="319">
        <f t="shared" si="1054"/>
        <v>0</v>
      </c>
      <c r="AO584" s="319">
        <f t="shared" si="1054"/>
        <v>0</v>
      </c>
      <c r="AP584" s="319">
        <f t="shared" si="1054"/>
        <v>0</v>
      </c>
      <c r="AQ584" s="319">
        <f t="shared" si="1054"/>
        <v>0</v>
      </c>
      <c r="AR584" s="319">
        <f t="shared" si="1054"/>
        <v>0</v>
      </c>
      <c r="AS584" s="319">
        <f t="shared" si="1054"/>
        <v>0</v>
      </c>
      <c r="AT584" s="319">
        <f t="shared" si="1054"/>
        <v>0</v>
      </c>
      <c r="AU584" s="319">
        <f t="shared" si="1054"/>
        <v>0</v>
      </c>
      <c r="AV584" s="319">
        <f t="shared" si="1054"/>
        <v>0</v>
      </c>
      <c r="AW584" s="319">
        <f t="shared" si="1054"/>
        <v>0</v>
      </c>
      <c r="AX584" s="319">
        <f t="shared" si="1054"/>
        <v>0</v>
      </c>
      <c r="AY584" s="319">
        <f t="shared" si="1054"/>
        <v>0</v>
      </c>
      <c r="AZ584" s="319">
        <f t="shared" si="1054"/>
        <v>0</v>
      </c>
      <c r="BA584" s="319">
        <f t="shared" si="1054"/>
        <v>0</v>
      </c>
      <c r="BB584" s="319">
        <f t="shared" si="1054"/>
        <v>0</v>
      </c>
      <c r="BC584" s="319">
        <f t="shared" si="1054"/>
        <v>0</v>
      </c>
      <c r="BD584" s="319">
        <f t="shared" si="1054"/>
        <v>0</v>
      </c>
      <c r="BE584" s="319">
        <f t="shared" si="1054"/>
        <v>0</v>
      </c>
      <c r="BF584" s="319">
        <f t="shared" si="1054"/>
        <v>0</v>
      </c>
      <c r="BG584" s="319">
        <f t="shared" si="1054"/>
        <v>0</v>
      </c>
      <c r="BH584" s="319">
        <f t="shared" si="1054"/>
        <v>0</v>
      </c>
      <c r="BI584" s="319">
        <f t="shared" si="1054"/>
        <v>0</v>
      </c>
      <c r="BJ584" s="319">
        <f t="shared" si="1054"/>
        <v>0</v>
      </c>
      <c r="BK584" s="319">
        <f t="shared" si="1054"/>
        <v>0</v>
      </c>
      <c r="BL584" s="319">
        <f t="shared" si="1054"/>
        <v>0</v>
      </c>
      <c r="BM584" s="319">
        <f t="shared" si="1054"/>
        <v>0</v>
      </c>
      <c r="BN584" s="319">
        <f t="shared" si="1054"/>
        <v>0</v>
      </c>
      <c r="BO584" s="319">
        <f t="shared" si="1054"/>
        <v>0</v>
      </c>
      <c r="BP584" s="319">
        <f t="shared" si="1054"/>
        <v>0</v>
      </c>
      <c r="BQ584" s="319">
        <f t="shared" si="1054"/>
        <v>0</v>
      </c>
      <c r="BR584" s="319">
        <f t="shared" si="1054"/>
        <v>0</v>
      </c>
      <c r="BS584" s="319">
        <f t="shared" si="1054"/>
        <v>0</v>
      </c>
      <c r="BT584" s="319">
        <f t="shared" si="1054"/>
        <v>0</v>
      </c>
      <c r="BU584" s="319">
        <f t="shared" si="1054"/>
        <v>0</v>
      </c>
      <c r="BV584" s="319">
        <f t="shared" si="1054"/>
        <v>0</v>
      </c>
      <c r="BW584" s="319">
        <f t="shared" si="1054"/>
        <v>0</v>
      </c>
      <c r="BX584" s="1"/>
      <c r="BY584" s="1"/>
      <c r="BZ584" s="1"/>
      <c r="CA584" s="1"/>
      <c r="CB584" s="1"/>
      <c r="CC584" s="1"/>
      <c r="CD584" s="1"/>
      <c r="CE584" s="1"/>
      <c r="CF584" s="1"/>
      <c r="CG584" s="1"/>
    </row>
    <row r="585" spans="1:85" ht="15.75" customHeight="1">
      <c r="A585" s="313"/>
      <c r="B585" s="418"/>
      <c r="C585" s="416" t="s">
        <v>343</v>
      </c>
      <c r="D585" s="314" t="s">
        <v>344</v>
      </c>
      <c r="E585" s="319">
        <f t="shared" ref="E585:H586" si="1055">E111</f>
        <v>0</v>
      </c>
      <c r="F585" s="319">
        <f t="shared" si="1055"/>
        <v>0</v>
      </c>
      <c r="G585" s="319">
        <f t="shared" si="1055"/>
        <v>0</v>
      </c>
      <c r="H585" s="319">
        <f t="shared" si="1055"/>
        <v>0</v>
      </c>
      <c r="I585" s="319">
        <f t="shared" ref="I585:K585" si="1056">I111</f>
        <v>0</v>
      </c>
      <c r="J585" s="319">
        <f t="shared" si="1056"/>
        <v>0</v>
      </c>
      <c r="K585" s="319">
        <f t="shared" si="1056"/>
        <v>0</v>
      </c>
      <c r="L585" s="319">
        <f t="shared" ref="L585:W585" si="1057">L111</f>
        <v>3860</v>
      </c>
      <c r="M585" s="319">
        <f t="shared" si="1057"/>
        <v>0</v>
      </c>
      <c r="N585" s="319">
        <f t="shared" si="1057"/>
        <v>0</v>
      </c>
      <c r="O585" s="319">
        <f t="shared" si="1057"/>
        <v>0</v>
      </c>
      <c r="P585" s="319">
        <f t="shared" si="1057"/>
        <v>3860</v>
      </c>
      <c r="Q585" s="319">
        <f t="shared" si="1057"/>
        <v>0</v>
      </c>
      <c r="R585" s="320">
        <f t="shared" si="1057"/>
        <v>0</v>
      </c>
      <c r="S585" s="320">
        <f t="shared" si="1057"/>
        <v>3860</v>
      </c>
      <c r="T585" s="320">
        <f t="shared" si="1057"/>
        <v>0</v>
      </c>
      <c r="U585" s="386">
        <f t="shared" si="1057"/>
        <v>0</v>
      </c>
      <c r="V585" s="386">
        <f t="shared" si="1057"/>
        <v>0</v>
      </c>
      <c r="W585" s="386">
        <f t="shared" si="1057"/>
        <v>0</v>
      </c>
      <c r="X585" s="310">
        <f t="shared" si="990"/>
        <v>0</v>
      </c>
      <c r="Y585" s="310">
        <f t="shared" si="991"/>
        <v>1</v>
      </c>
      <c r="Z585" s="310">
        <f t="shared" si="790"/>
        <v>0</v>
      </c>
      <c r="AA585" s="319">
        <f t="shared" ref="AA585:BW585" si="1058">AA111</f>
        <v>0</v>
      </c>
      <c r="AB585" s="319">
        <f t="shared" si="1058"/>
        <v>0</v>
      </c>
      <c r="AC585" s="319">
        <f t="shared" si="1058"/>
        <v>0</v>
      </c>
      <c r="AD585" s="319">
        <f t="shared" si="1058"/>
        <v>0</v>
      </c>
      <c r="AE585" s="319">
        <f t="shared" si="1058"/>
        <v>3860</v>
      </c>
      <c r="AF585" s="319">
        <f t="shared" si="1058"/>
        <v>0</v>
      </c>
      <c r="AG585" s="319">
        <f t="shared" si="1058"/>
        <v>0</v>
      </c>
      <c r="AH585" s="319">
        <f t="shared" si="1058"/>
        <v>0</v>
      </c>
      <c r="AI585" s="319">
        <f t="shared" si="1058"/>
        <v>0</v>
      </c>
      <c r="AJ585" s="319">
        <f t="shared" si="1058"/>
        <v>0</v>
      </c>
      <c r="AK585" s="319">
        <f t="shared" si="1058"/>
        <v>0</v>
      </c>
      <c r="AL585" s="319">
        <f t="shared" si="1058"/>
        <v>0</v>
      </c>
      <c r="AM585" s="319">
        <f t="shared" si="1058"/>
        <v>0</v>
      </c>
      <c r="AN585" s="319">
        <f t="shared" si="1058"/>
        <v>0</v>
      </c>
      <c r="AO585" s="319">
        <f t="shared" si="1058"/>
        <v>0</v>
      </c>
      <c r="AP585" s="319">
        <f t="shared" si="1058"/>
        <v>0</v>
      </c>
      <c r="AQ585" s="319">
        <f t="shared" si="1058"/>
        <v>0</v>
      </c>
      <c r="AR585" s="319">
        <f t="shared" si="1058"/>
        <v>0</v>
      </c>
      <c r="AS585" s="319">
        <f t="shared" si="1058"/>
        <v>0</v>
      </c>
      <c r="AT585" s="319">
        <f t="shared" si="1058"/>
        <v>0</v>
      </c>
      <c r="AU585" s="319">
        <f t="shared" si="1058"/>
        <v>0</v>
      </c>
      <c r="AV585" s="319">
        <f t="shared" si="1058"/>
        <v>0</v>
      </c>
      <c r="AW585" s="319">
        <f t="shared" si="1058"/>
        <v>0</v>
      </c>
      <c r="AX585" s="319">
        <f t="shared" si="1058"/>
        <v>0</v>
      </c>
      <c r="AY585" s="319">
        <f t="shared" si="1058"/>
        <v>0</v>
      </c>
      <c r="AZ585" s="319">
        <f t="shared" si="1058"/>
        <v>0</v>
      </c>
      <c r="BA585" s="319">
        <f t="shared" si="1058"/>
        <v>0</v>
      </c>
      <c r="BB585" s="319">
        <f t="shared" si="1058"/>
        <v>0</v>
      </c>
      <c r="BC585" s="319">
        <f t="shared" si="1058"/>
        <v>0</v>
      </c>
      <c r="BD585" s="319">
        <f t="shared" si="1058"/>
        <v>0</v>
      </c>
      <c r="BE585" s="319">
        <f t="shared" si="1058"/>
        <v>0</v>
      </c>
      <c r="BF585" s="319">
        <f t="shared" si="1058"/>
        <v>0</v>
      </c>
      <c r="BG585" s="319">
        <f t="shared" si="1058"/>
        <v>0</v>
      </c>
      <c r="BH585" s="319">
        <f t="shared" si="1058"/>
        <v>0</v>
      </c>
      <c r="BI585" s="319">
        <f t="shared" si="1058"/>
        <v>0</v>
      </c>
      <c r="BJ585" s="319">
        <f t="shared" si="1058"/>
        <v>0</v>
      </c>
      <c r="BK585" s="319">
        <f t="shared" si="1058"/>
        <v>0</v>
      </c>
      <c r="BL585" s="319">
        <f t="shared" si="1058"/>
        <v>0</v>
      </c>
      <c r="BM585" s="319">
        <f t="shared" si="1058"/>
        <v>0</v>
      </c>
      <c r="BN585" s="319">
        <f t="shared" si="1058"/>
        <v>0</v>
      </c>
      <c r="BO585" s="319">
        <f t="shared" si="1058"/>
        <v>0</v>
      </c>
      <c r="BP585" s="319">
        <f t="shared" si="1058"/>
        <v>0</v>
      </c>
      <c r="BQ585" s="319">
        <f t="shared" si="1058"/>
        <v>0</v>
      </c>
      <c r="BR585" s="319">
        <f t="shared" si="1058"/>
        <v>0</v>
      </c>
      <c r="BS585" s="319">
        <f t="shared" si="1058"/>
        <v>0</v>
      </c>
      <c r="BT585" s="319">
        <f t="shared" si="1058"/>
        <v>0</v>
      </c>
      <c r="BU585" s="319">
        <f t="shared" si="1058"/>
        <v>0</v>
      </c>
      <c r="BV585" s="319">
        <f t="shared" si="1058"/>
        <v>0</v>
      </c>
      <c r="BW585" s="319">
        <f t="shared" si="1058"/>
        <v>0</v>
      </c>
      <c r="BX585" s="1"/>
      <c r="BY585" s="1"/>
      <c r="BZ585" s="1"/>
      <c r="CA585" s="1"/>
      <c r="CB585" s="1"/>
      <c r="CC585" s="1"/>
      <c r="CD585" s="1"/>
      <c r="CE585" s="1"/>
      <c r="CF585" s="1"/>
      <c r="CG585" s="1"/>
    </row>
    <row r="586" spans="1:85" ht="15.75" customHeight="1">
      <c r="A586" s="313"/>
      <c r="B586" s="418"/>
      <c r="C586" s="416" t="s">
        <v>345</v>
      </c>
      <c r="D586" s="314" t="s">
        <v>346</v>
      </c>
      <c r="E586" s="319">
        <f t="shared" si="1055"/>
        <v>0</v>
      </c>
      <c r="F586" s="319">
        <f t="shared" si="1055"/>
        <v>0</v>
      </c>
      <c r="G586" s="319">
        <f t="shared" si="1055"/>
        <v>0</v>
      </c>
      <c r="H586" s="319">
        <f t="shared" si="1055"/>
        <v>30000</v>
      </c>
      <c r="I586" s="319">
        <f t="shared" ref="I586:K586" si="1059">I112</f>
        <v>0</v>
      </c>
      <c r="J586" s="319">
        <f t="shared" si="1059"/>
        <v>0</v>
      </c>
      <c r="K586" s="319">
        <f t="shared" si="1059"/>
        <v>0</v>
      </c>
      <c r="L586" s="319">
        <f t="shared" ref="L586:W586" si="1060">L112</f>
        <v>0</v>
      </c>
      <c r="M586" s="319">
        <f t="shared" si="1060"/>
        <v>0</v>
      </c>
      <c r="N586" s="319">
        <f t="shared" si="1060"/>
        <v>0</v>
      </c>
      <c r="O586" s="319">
        <f t="shared" si="1060"/>
        <v>0</v>
      </c>
      <c r="P586" s="319">
        <f t="shared" si="1060"/>
        <v>0</v>
      </c>
      <c r="Q586" s="319">
        <f t="shared" si="1060"/>
        <v>0</v>
      </c>
      <c r="R586" s="320">
        <f t="shared" si="1060"/>
        <v>0</v>
      </c>
      <c r="S586" s="320">
        <f t="shared" si="1060"/>
        <v>0</v>
      </c>
      <c r="T586" s="320">
        <f t="shared" si="1060"/>
        <v>0</v>
      </c>
      <c r="U586" s="386">
        <f t="shared" si="1060"/>
        <v>0</v>
      </c>
      <c r="V586" s="386">
        <f t="shared" si="1060"/>
        <v>0</v>
      </c>
      <c r="W586" s="386">
        <f t="shared" si="1060"/>
        <v>0</v>
      </c>
      <c r="X586" s="310">
        <f t="shared" si="990"/>
        <v>0</v>
      </c>
      <c r="Y586" s="310">
        <f t="shared" si="991"/>
        <v>0</v>
      </c>
      <c r="Z586" s="310">
        <f t="shared" si="790"/>
        <v>0</v>
      </c>
      <c r="AA586" s="319">
        <f t="shared" ref="AA586:BW586" si="1061">AA112</f>
        <v>0</v>
      </c>
      <c r="AB586" s="319">
        <f t="shared" si="1061"/>
        <v>0</v>
      </c>
      <c r="AC586" s="319">
        <f t="shared" si="1061"/>
        <v>0</v>
      </c>
      <c r="AD586" s="319">
        <f t="shared" si="1061"/>
        <v>0</v>
      </c>
      <c r="AE586" s="319">
        <f t="shared" si="1061"/>
        <v>0</v>
      </c>
      <c r="AF586" s="319">
        <f t="shared" si="1061"/>
        <v>0</v>
      </c>
      <c r="AG586" s="319">
        <f t="shared" si="1061"/>
        <v>0</v>
      </c>
      <c r="AH586" s="319">
        <f t="shared" si="1061"/>
        <v>0</v>
      </c>
      <c r="AI586" s="319">
        <f t="shared" si="1061"/>
        <v>0</v>
      </c>
      <c r="AJ586" s="319">
        <f t="shared" si="1061"/>
        <v>0</v>
      </c>
      <c r="AK586" s="319">
        <f t="shared" si="1061"/>
        <v>0</v>
      </c>
      <c r="AL586" s="319">
        <f t="shared" si="1061"/>
        <v>0</v>
      </c>
      <c r="AM586" s="319">
        <f t="shared" si="1061"/>
        <v>0</v>
      </c>
      <c r="AN586" s="319">
        <f t="shared" si="1061"/>
        <v>0</v>
      </c>
      <c r="AO586" s="319">
        <f t="shared" si="1061"/>
        <v>0</v>
      </c>
      <c r="AP586" s="319">
        <f t="shared" si="1061"/>
        <v>0</v>
      </c>
      <c r="AQ586" s="319">
        <f t="shared" si="1061"/>
        <v>0</v>
      </c>
      <c r="AR586" s="319">
        <f t="shared" si="1061"/>
        <v>0</v>
      </c>
      <c r="AS586" s="319">
        <f t="shared" si="1061"/>
        <v>0</v>
      </c>
      <c r="AT586" s="319">
        <f t="shared" si="1061"/>
        <v>0</v>
      </c>
      <c r="AU586" s="319">
        <f t="shared" si="1061"/>
        <v>0</v>
      </c>
      <c r="AV586" s="319">
        <f t="shared" si="1061"/>
        <v>0</v>
      </c>
      <c r="AW586" s="319">
        <f t="shared" si="1061"/>
        <v>0</v>
      </c>
      <c r="AX586" s="319">
        <f t="shared" si="1061"/>
        <v>0</v>
      </c>
      <c r="AY586" s="319">
        <f t="shared" si="1061"/>
        <v>0</v>
      </c>
      <c r="AZ586" s="319">
        <f t="shared" si="1061"/>
        <v>0</v>
      </c>
      <c r="BA586" s="319">
        <f t="shared" si="1061"/>
        <v>0</v>
      </c>
      <c r="BB586" s="319">
        <f t="shared" si="1061"/>
        <v>0</v>
      </c>
      <c r="BC586" s="319">
        <f t="shared" si="1061"/>
        <v>0</v>
      </c>
      <c r="BD586" s="319">
        <f t="shared" si="1061"/>
        <v>0</v>
      </c>
      <c r="BE586" s="319">
        <f t="shared" si="1061"/>
        <v>0</v>
      </c>
      <c r="BF586" s="319">
        <f t="shared" si="1061"/>
        <v>0</v>
      </c>
      <c r="BG586" s="319">
        <f t="shared" si="1061"/>
        <v>0</v>
      </c>
      <c r="BH586" s="319">
        <f t="shared" si="1061"/>
        <v>0</v>
      </c>
      <c r="BI586" s="319">
        <f t="shared" si="1061"/>
        <v>0</v>
      </c>
      <c r="BJ586" s="319">
        <f t="shared" si="1061"/>
        <v>0</v>
      </c>
      <c r="BK586" s="319">
        <f t="shared" si="1061"/>
        <v>0</v>
      </c>
      <c r="BL586" s="319">
        <f t="shared" si="1061"/>
        <v>0</v>
      </c>
      <c r="BM586" s="319">
        <f t="shared" si="1061"/>
        <v>0</v>
      </c>
      <c r="BN586" s="319">
        <f t="shared" si="1061"/>
        <v>0</v>
      </c>
      <c r="BO586" s="319">
        <f t="shared" si="1061"/>
        <v>0</v>
      </c>
      <c r="BP586" s="319">
        <f t="shared" si="1061"/>
        <v>0</v>
      </c>
      <c r="BQ586" s="319">
        <f t="shared" si="1061"/>
        <v>0</v>
      </c>
      <c r="BR586" s="319">
        <f t="shared" si="1061"/>
        <v>0</v>
      </c>
      <c r="BS586" s="319">
        <f t="shared" si="1061"/>
        <v>0</v>
      </c>
      <c r="BT586" s="319">
        <f t="shared" si="1061"/>
        <v>0</v>
      </c>
      <c r="BU586" s="319">
        <f t="shared" si="1061"/>
        <v>0</v>
      </c>
      <c r="BV586" s="319">
        <f t="shared" si="1061"/>
        <v>0</v>
      </c>
      <c r="BW586" s="319">
        <f t="shared" si="1061"/>
        <v>0</v>
      </c>
      <c r="BX586" s="1"/>
      <c r="BY586" s="1"/>
      <c r="BZ586" s="1"/>
      <c r="CA586" s="1"/>
      <c r="CB586" s="1"/>
      <c r="CC586" s="1"/>
      <c r="CD586" s="1"/>
      <c r="CE586" s="1"/>
      <c r="CF586" s="1"/>
      <c r="CG586" s="1"/>
    </row>
    <row r="587" spans="1:85" ht="15.75" customHeight="1">
      <c r="A587" s="313"/>
      <c r="B587" s="418"/>
      <c r="C587" s="416" t="s">
        <v>360</v>
      </c>
      <c r="D587" s="328" t="s">
        <v>372</v>
      </c>
      <c r="E587" s="319">
        <f>E122+E123+E124+E127+E128</f>
        <v>0</v>
      </c>
      <c r="F587" s="319">
        <f>F122+F123+F124+F127+F128</f>
        <v>0</v>
      </c>
      <c r="G587" s="319">
        <f>G122+G123+G124+G127+G128</f>
        <v>0</v>
      </c>
      <c r="H587" s="319">
        <f>H122+H123+H124+H127+H128</f>
        <v>350000</v>
      </c>
      <c r="I587" s="319">
        <f t="shared" ref="I587:J587" si="1062">I122+I123+I124+I127+I128</f>
        <v>0</v>
      </c>
      <c r="J587" s="319">
        <f t="shared" si="1062"/>
        <v>0</v>
      </c>
      <c r="K587" s="319">
        <f>K122+K123+K124+K127+K128</f>
        <v>11932</v>
      </c>
      <c r="L587" s="319">
        <f t="shared" ref="L587:W587" si="1063">L122+L123+L124+L127+L128</f>
        <v>226053.11</v>
      </c>
      <c r="M587" s="319">
        <f t="shared" si="1063"/>
        <v>0</v>
      </c>
      <c r="N587" s="319">
        <f t="shared" si="1063"/>
        <v>0</v>
      </c>
      <c r="O587" s="319">
        <f t="shared" si="1063"/>
        <v>11932</v>
      </c>
      <c r="P587" s="319">
        <f t="shared" si="1063"/>
        <v>15200</v>
      </c>
      <c r="Q587" s="319">
        <f t="shared" si="1063"/>
        <v>0</v>
      </c>
      <c r="R587" s="320">
        <f t="shared" si="1063"/>
        <v>11932</v>
      </c>
      <c r="S587" s="320">
        <f t="shared" si="1063"/>
        <v>15200</v>
      </c>
      <c r="T587" s="320">
        <f t="shared" si="1063"/>
        <v>0</v>
      </c>
      <c r="U587" s="386">
        <f t="shared" si="1063"/>
        <v>0</v>
      </c>
      <c r="V587" s="386">
        <f t="shared" si="1063"/>
        <v>210853.11</v>
      </c>
      <c r="W587" s="386">
        <f t="shared" si="1063"/>
        <v>0</v>
      </c>
      <c r="X587" s="310">
        <f t="shared" si="990"/>
        <v>1</v>
      </c>
      <c r="Y587" s="310">
        <f t="shared" si="991"/>
        <v>6.7240835571782231E-2</v>
      </c>
      <c r="Z587" s="310">
        <f t="shared" si="790"/>
        <v>0</v>
      </c>
      <c r="AA587" s="319">
        <f t="shared" ref="AA587:BW587" si="1064">AA122+AA123+AA124+AA127+AA128</f>
        <v>0</v>
      </c>
      <c r="AB587" s="319">
        <f t="shared" si="1064"/>
        <v>0</v>
      </c>
      <c r="AC587" s="319">
        <f t="shared" si="1064"/>
        <v>0</v>
      </c>
      <c r="AD587" s="319">
        <f t="shared" si="1064"/>
        <v>0</v>
      </c>
      <c r="AE587" s="319">
        <f t="shared" si="1064"/>
        <v>0</v>
      </c>
      <c r="AF587" s="319">
        <f t="shared" si="1064"/>
        <v>0</v>
      </c>
      <c r="AG587" s="319">
        <f t="shared" si="1064"/>
        <v>0</v>
      </c>
      <c r="AH587" s="319">
        <f t="shared" si="1064"/>
        <v>0</v>
      </c>
      <c r="AI587" s="319">
        <f t="shared" si="1064"/>
        <v>0</v>
      </c>
      <c r="AJ587" s="319">
        <f t="shared" si="1064"/>
        <v>0</v>
      </c>
      <c r="AK587" s="319">
        <f t="shared" si="1064"/>
        <v>0</v>
      </c>
      <c r="AL587" s="319">
        <f t="shared" si="1064"/>
        <v>0</v>
      </c>
      <c r="AM587" s="319">
        <f t="shared" si="1064"/>
        <v>0</v>
      </c>
      <c r="AN587" s="319">
        <f t="shared" si="1064"/>
        <v>0</v>
      </c>
      <c r="AO587" s="319">
        <f t="shared" si="1064"/>
        <v>0</v>
      </c>
      <c r="AP587" s="319">
        <f t="shared" si="1064"/>
        <v>0</v>
      </c>
      <c r="AQ587" s="319">
        <f t="shared" si="1064"/>
        <v>0</v>
      </c>
      <c r="AR587" s="319">
        <f t="shared" si="1064"/>
        <v>0</v>
      </c>
      <c r="AS587" s="319">
        <f t="shared" si="1064"/>
        <v>0</v>
      </c>
      <c r="AT587" s="319">
        <f t="shared" si="1064"/>
        <v>0</v>
      </c>
      <c r="AU587" s="319">
        <f t="shared" si="1064"/>
        <v>0</v>
      </c>
      <c r="AV587" s="319">
        <f t="shared" si="1064"/>
        <v>11932</v>
      </c>
      <c r="AW587" s="319">
        <f t="shared" si="1064"/>
        <v>15200</v>
      </c>
      <c r="AX587" s="319">
        <f t="shared" si="1064"/>
        <v>0</v>
      </c>
      <c r="AY587" s="319">
        <f t="shared" si="1064"/>
        <v>0</v>
      </c>
      <c r="AZ587" s="319">
        <f t="shared" si="1064"/>
        <v>0</v>
      </c>
      <c r="BA587" s="319">
        <f t="shared" si="1064"/>
        <v>0</v>
      </c>
      <c r="BB587" s="319">
        <f t="shared" si="1064"/>
        <v>0</v>
      </c>
      <c r="BC587" s="319">
        <f t="shared" si="1064"/>
        <v>0</v>
      </c>
      <c r="BD587" s="319">
        <f t="shared" si="1064"/>
        <v>0</v>
      </c>
      <c r="BE587" s="319">
        <f t="shared" si="1064"/>
        <v>0</v>
      </c>
      <c r="BF587" s="319">
        <f t="shared" si="1064"/>
        <v>0</v>
      </c>
      <c r="BG587" s="319">
        <f t="shared" si="1064"/>
        <v>0</v>
      </c>
      <c r="BH587" s="319">
        <f t="shared" si="1064"/>
        <v>0</v>
      </c>
      <c r="BI587" s="319">
        <f t="shared" si="1064"/>
        <v>0</v>
      </c>
      <c r="BJ587" s="319">
        <f t="shared" si="1064"/>
        <v>0</v>
      </c>
      <c r="BK587" s="319">
        <f t="shared" si="1064"/>
        <v>0</v>
      </c>
      <c r="BL587" s="319">
        <f t="shared" si="1064"/>
        <v>0</v>
      </c>
      <c r="BM587" s="319">
        <f t="shared" si="1064"/>
        <v>0</v>
      </c>
      <c r="BN587" s="319">
        <f t="shared" si="1064"/>
        <v>11932</v>
      </c>
      <c r="BO587" s="319">
        <f t="shared" si="1064"/>
        <v>0</v>
      </c>
      <c r="BP587" s="319">
        <f t="shared" si="1064"/>
        <v>11932</v>
      </c>
      <c r="BQ587" s="319">
        <f t="shared" si="1064"/>
        <v>0</v>
      </c>
      <c r="BR587" s="319">
        <f t="shared" si="1064"/>
        <v>0</v>
      </c>
      <c r="BS587" s="319">
        <f t="shared" si="1064"/>
        <v>0</v>
      </c>
      <c r="BT587" s="319">
        <f t="shared" si="1064"/>
        <v>210853.11</v>
      </c>
      <c r="BU587" s="319">
        <f t="shared" si="1064"/>
        <v>11932</v>
      </c>
      <c r="BV587" s="319">
        <f t="shared" si="1064"/>
        <v>0</v>
      </c>
      <c r="BW587" s="319">
        <f t="shared" si="1064"/>
        <v>222785.11</v>
      </c>
      <c r="BX587" s="1"/>
      <c r="BY587" s="1"/>
      <c r="BZ587" s="1"/>
      <c r="CA587" s="1"/>
      <c r="CB587" s="1"/>
      <c r="CC587" s="1"/>
      <c r="CD587" s="1"/>
      <c r="CE587" s="1"/>
      <c r="CF587" s="1"/>
      <c r="CG587" s="1"/>
    </row>
    <row r="588" spans="1:85" ht="15.75" customHeight="1">
      <c r="A588" s="313"/>
      <c r="B588" s="418"/>
      <c r="C588" s="416" t="s">
        <v>884</v>
      </c>
      <c r="D588" s="329" t="s">
        <v>885</v>
      </c>
      <c r="E588" s="319">
        <f>E472</f>
        <v>0</v>
      </c>
      <c r="F588" s="319">
        <f>F472</f>
        <v>0</v>
      </c>
      <c r="G588" s="319">
        <f>G472</f>
        <v>0</v>
      </c>
      <c r="H588" s="319">
        <f>H472</f>
        <v>0</v>
      </c>
      <c r="I588" s="319">
        <f t="shared" ref="I588:K588" si="1065">I472</f>
        <v>0</v>
      </c>
      <c r="J588" s="319">
        <f t="shared" si="1065"/>
        <v>0</v>
      </c>
      <c r="K588" s="319">
        <f t="shared" si="1065"/>
        <v>0</v>
      </c>
      <c r="L588" s="320">
        <f t="shared" ref="L588:W588" si="1066">L472</f>
        <v>5855</v>
      </c>
      <c r="M588" s="320">
        <f t="shared" si="1066"/>
        <v>0</v>
      </c>
      <c r="N588" s="320">
        <f t="shared" si="1066"/>
        <v>0</v>
      </c>
      <c r="O588" s="319">
        <f t="shared" si="1066"/>
        <v>0</v>
      </c>
      <c r="P588" s="319">
        <f t="shared" si="1066"/>
        <v>5855</v>
      </c>
      <c r="Q588" s="319">
        <f t="shared" si="1066"/>
        <v>0</v>
      </c>
      <c r="R588" s="320">
        <f t="shared" si="1066"/>
        <v>0</v>
      </c>
      <c r="S588" s="320">
        <f t="shared" si="1066"/>
        <v>5855</v>
      </c>
      <c r="T588" s="320">
        <f t="shared" si="1066"/>
        <v>0</v>
      </c>
      <c r="U588" s="386">
        <f t="shared" si="1066"/>
        <v>0</v>
      </c>
      <c r="V588" s="386">
        <f t="shared" si="1066"/>
        <v>0</v>
      </c>
      <c r="W588" s="386">
        <f t="shared" si="1066"/>
        <v>0</v>
      </c>
      <c r="X588" s="310">
        <f t="shared" si="990"/>
        <v>0</v>
      </c>
      <c r="Y588" s="310">
        <f t="shared" si="991"/>
        <v>1</v>
      </c>
      <c r="Z588" s="310">
        <f t="shared" si="790"/>
        <v>0</v>
      </c>
      <c r="AA588" s="320">
        <f t="shared" ref="AA588:BW588" si="1067">AA472</f>
        <v>0</v>
      </c>
      <c r="AB588" s="320">
        <f t="shared" si="1067"/>
        <v>5855</v>
      </c>
      <c r="AC588" s="320">
        <f t="shared" si="1067"/>
        <v>0</v>
      </c>
      <c r="AD588" s="320">
        <f t="shared" si="1067"/>
        <v>0</v>
      </c>
      <c r="AE588" s="320">
        <f t="shared" si="1067"/>
        <v>0</v>
      </c>
      <c r="AF588" s="320">
        <f t="shared" si="1067"/>
        <v>0</v>
      </c>
      <c r="AG588" s="320">
        <f t="shared" si="1067"/>
        <v>0</v>
      </c>
      <c r="AH588" s="320">
        <f t="shared" si="1067"/>
        <v>0</v>
      </c>
      <c r="AI588" s="320">
        <f t="shared" si="1067"/>
        <v>0</v>
      </c>
      <c r="AJ588" s="320">
        <f t="shared" si="1067"/>
        <v>0</v>
      </c>
      <c r="AK588" s="320">
        <f t="shared" si="1067"/>
        <v>0</v>
      </c>
      <c r="AL588" s="320">
        <f t="shared" si="1067"/>
        <v>0</v>
      </c>
      <c r="AM588" s="320">
        <f t="shared" si="1067"/>
        <v>0</v>
      </c>
      <c r="AN588" s="320">
        <f t="shared" si="1067"/>
        <v>0</v>
      </c>
      <c r="AO588" s="320">
        <f t="shared" si="1067"/>
        <v>0</v>
      </c>
      <c r="AP588" s="320">
        <f t="shared" si="1067"/>
        <v>0</v>
      </c>
      <c r="AQ588" s="320">
        <f t="shared" si="1067"/>
        <v>0</v>
      </c>
      <c r="AR588" s="320">
        <f t="shared" si="1067"/>
        <v>0</v>
      </c>
      <c r="AS588" s="320">
        <f t="shared" si="1067"/>
        <v>0</v>
      </c>
      <c r="AT588" s="320">
        <f t="shared" si="1067"/>
        <v>0</v>
      </c>
      <c r="AU588" s="320">
        <f t="shared" si="1067"/>
        <v>0</v>
      </c>
      <c r="AV588" s="320">
        <f t="shared" si="1067"/>
        <v>0</v>
      </c>
      <c r="AW588" s="320">
        <f t="shared" si="1067"/>
        <v>0</v>
      </c>
      <c r="AX588" s="320">
        <f t="shared" si="1067"/>
        <v>0</v>
      </c>
      <c r="AY588" s="320">
        <f t="shared" si="1067"/>
        <v>0</v>
      </c>
      <c r="AZ588" s="320">
        <f t="shared" si="1067"/>
        <v>0</v>
      </c>
      <c r="BA588" s="320">
        <f t="shared" si="1067"/>
        <v>0</v>
      </c>
      <c r="BB588" s="320">
        <f t="shared" si="1067"/>
        <v>0</v>
      </c>
      <c r="BC588" s="320">
        <f t="shared" si="1067"/>
        <v>0</v>
      </c>
      <c r="BD588" s="320">
        <f t="shared" si="1067"/>
        <v>0</v>
      </c>
      <c r="BE588" s="320">
        <f t="shared" si="1067"/>
        <v>0</v>
      </c>
      <c r="BF588" s="320">
        <f t="shared" si="1067"/>
        <v>0</v>
      </c>
      <c r="BG588" s="320">
        <f t="shared" si="1067"/>
        <v>0</v>
      </c>
      <c r="BH588" s="320">
        <f t="shared" si="1067"/>
        <v>0</v>
      </c>
      <c r="BI588" s="320">
        <f t="shared" si="1067"/>
        <v>0</v>
      </c>
      <c r="BJ588" s="320">
        <f t="shared" si="1067"/>
        <v>0</v>
      </c>
      <c r="BK588" s="320">
        <f t="shared" si="1067"/>
        <v>0</v>
      </c>
      <c r="BL588" s="320">
        <f t="shared" si="1067"/>
        <v>0</v>
      </c>
      <c r="BM588" s="320">
        <f t="shared" si="1067"/>
        <v>0</v>
      </c>
      <c r="BN588" s="319">
        <f t="shared" si="1067"/>
        <v>0</v>
      </c>
      <c r="BO588" s="319">
        <f t="shared" si="1067"/>
        <v>0</v>
      </c>
      <c r="BP588" s="319">
        <f t="shared" si="1067"/>
        <v>0</v>
      </c>
      <c r="BQ588" s="319">
        <f t="shared" si="1067"/>
        <v>0</v>
      </c>
      <c r="BR588" s="319">
        <f t="shared" si="1067"/>
        <v>0</v>
      </c>
      <c r="BS588" s="319">
        <f t="shared" si="1067"/>
        <v>0</v>
      </c>
      <c r="BT588" s="319">
        <f t="shared" si="1067"/>
        <v>0</v>
      </c>
      <c r="BU588" s="319">
        <f t="shared" si="1067"/>
        <v>0</v>
      </c>
      <c r="BV588" s="319">
        <f t="shared" si="1067"/>
        <v>0</v>
      </c>
      <c r="BW588" s="319">
        <f t="shared" si="1067"/>
        <v>0</v>
      </c>
      <c r="BX588" s="1"/>
      <c r="BY588" s="1"/>
      <c r="BZ588" s="1"/>
      <c r="CA588" s="1"/>
      <c r="CB588" s="1"/>
      <c r="CC588" s="1"/>
      <c r="CD588" s="1"/>
      <c r="CE588" s="1"/>
      <c r="CF588" s="1"/>
      <c r="CG588" s="1"/>
    </row>
    <row r="589" spans="1:85" ht="15.75" customHeight="1">
      <c r="A589" s="313"/>
      <c r="B589" s="418"/>
      <c r="C589" s="416" t="s">
        <v>374</v>
      </c>
      <c r="D589" s="328" t="s">
        <v>976</v>
      </c>
      <c r="E589" s="319">
        <f>E129+E130+E131+E132+E133</f>
        <v>0</v>
      </c>
      <c r="F589" s="319">
        <f>F129+F130+F131+F132+F133</f>
        <v>0</v>
      </c>
      <c r="G589" s="319">
        <f>G129+G130+G131+G132+G133</f>
        <v>0</v>
      </c>
      <c r="H589" s="319">
        <f>H129+H130+H131+H132+H133</f>
        <v>0</v>
      </c>
      <c r="I589" s="319">
        <f t="shared" ref="I589:K589" si="1068">I129+I130+I131+I132+I133</f>
        <v>0</v>
      </c>
      <c r="J589" s="319">
        <f t="shared" si="1068"/>
        <v>0</v>
      </c>
      <c r="K589" s="319">
        <f t="shared" si="1068"/>
        <v>19500</v>
      </c>
      <c r="L589" s="319">
        <f t="shared" ref="L589:W589" si="1069">L129+L130+L131+L132+L133</f>
        <v>616650</v>
      </c>
      <c r="M589" s="319">
        <f t="shared" si="1069"/>
        <v>648.74</v>
      </c>
      <c r="N589" s="319">
        <f t="shared" si="1069"/>
        <v>0</v>
      </c>
      <c r="O589" s="320">
        <f t="shared" si="1069"/>
        <v>19500</v>
      </c>
      <c r="P589" s="320">
        <f t="shared" si="1069"/>
        <v>616001.26</v>
      </c>
      <c r="Q589" s="320">
        <f t="shared" si="1069"/>
        <v>0</v>
      </c>
      <c r="R589" s="320">
        <f t="shared" si="1069"/>
        <v>19500</v>
      </c>
      <c r="S589" s="320">
        <f t="shared" si="1069"/>
        <v>616001.26</v>
      </c>
      <c r="T589" s="320">
        <f t="shared" si="1069"/>
        <v>0</v>
      </c>
      <c r="U589" s="387">
        <f t="shared" si="1069"/>
        <v>0</v>
      </c>
      <c r="V589" s="386">
        <f t="shared" si="1069"/>
        <v>1.5916157281026244E-12</v>
      </c>
      <c r="W589" s="387">
        <f t="shared" si="1069"/>
        <v>0</v>
      </c>
      <c r="X589" s="310">
        <f t="shared" si="990"/>
        <v>1</v>
      </c>
      <c r="Y589" s="310">
        <f t="shared" si="991"/>
        <v>0.99894796075569614</v>
      </c>
      <c r="Z589" s="310">
        <f t="shared" si="790"/>
        <v>0</v>
      </c>
      <c r="AA589" s="319">
        <f t="shared" ref="AA589:BW589" si="1070">AA129+AA130+AA131+AA132+AA133</f>
        <v>0</v>
      </c>
      <c r="AB589" s="319">
        <f t="shared" si="1070"/>
        <v>87600</v>
      </c>
      <c r="AC589" s="319">
        <f t="shared" si="1070"/>
        <v>0</v>
      </c>
      <c r="AD589" s="319">
        <f t="shared" si="1070"/>
        <v>0</v>
      </c>
      <c r="AE589" s="319">
        <f t="shared" si="1070"/>
        <v>0</v>
      </c>
      <c r="AF589" s="319">
        <f t="shared" si="1070"/>
        <v>0</v>
      </c>
      <c r="AG589" s="319">
        <f t="shared" si="1070"/>
        <v>0</v>
      </c>
      <c r="AH589" s="319">
        <f t="shared" si="1070"/>
        <v>390521.26</v>
      </c>
      <c r="AI589" s="319">
        <f t="shared" si="1070"/>
        <v>0</v>
      </c>
      <c r="AJ589" s="319">
        <f t="shared" si="1070"/>
        <v>0</v>
      </c>
      <c r="AK589" s="319">
        <f t="shared" si="1070"/>
        <v>0</v>
      </c>
      <c r="AL589" s="319">
        <f t="shared" si="1070"/>
        <v>0</v>
      </c>
      <c r="AM589" s="319">
        <f t="shared" si="1070"/>
        <v>0</v>
      </c>
      <c r="AN589" s="319">
        <f t="shared" si="1070"/>
        <v>0</v>
      </c>
      <c r="AO589" s="319">
        <f t="shared" si="1070"/>
        <v>0</v>
      </c>
      <c r="AP589" s="319">
        <f t="shared" si="1070"/>
        <v>0</v>
      </c>
      <c r="AQ589" s="319">
        <f t="shared" si="1070"/>
        <v>0</v>
      </c>
      <c r="AR589" s="319">
        <f t="shared" si="1070"/>
        <v>0</v>
      </c>
      <c r="AS589" s="319">
        <f t="shared" si="1070"/>
        <v>19500</v>
      </c>
      <c r="AT589" s="319">
        <f t="shared" si="1070"/>
        <v>0</v>
      </c>
      <c r="AU589" s="319">
        <f t="shared" si="1070"/>
        <v>0</v>
      </c>
      <c r="AV589" s="319">
        <f t="shared" si="1070"/>
        <v>0</v>
      </c>
      <c r="AW589" s="319">
        <f t="shared" si="1070"/>
        <v>137880</v>
      </c>
      <c r="AX589" s="319">
        <f t="shared" si="1070"/>
        <v>0</v>
      </c>
      <c r="AY589" s="319">
        <f t="shared" si="1070"/>
        <v>0</v>
      </c>
      <c r="AZ589" s="319">
        <f t="shared" si="1070"/>
        <v>0</v>
      </c>
      <c r="BA589" s="319">
        <f t="shared" si="1070"/>
        <v>0</v>
      </c>
      <c r="BB589" s="319">
        <f t="shared" si="1070"/>
        <v>0</v>
      </c>
      <c r="BC589" s="319">
        <f t="shared" si="1070"/>
        <v>0</v>
      </c>
      <c r="BD589" s="319">
        <f t="shared" si="1070"/>
        <v>0</v>
      </c>
      <c r="BE589" s="319">
        <f t="shared" si="1070"/>
        <v>0</v>
      </c>
      <c r="BF589" s="319">
        <f t="shared" si="1070"/>
        <v>0</v>
      </c>
      <c r="BG589" s="319">
        <f t="shared" si="1070"/>
        <v>0</v>
      </c>
      <c r="BH589" s="319">
        <f t="shared" si="1070"/>
        <v>0</v>
      </c>
      <c r="BI589" s="319">
        <f t="shared" si="1070"/>
        <v>0</v>
      </c>
      <c r="BJ589" s="319">
        <f t="shared" si="1070"/>
        <v>0</v>
      </c>
      <c r="BK589" s="319">
        <f t="shared" si="1070"/>
        <v>0</v>
      </c>
      <c r="BL589" s="319">
        <f t="shared" si="1070"/>
        <v>0</v>
      </c>
      <c r="BM589" s="319">
        <f t="shared" si="1070"/>
        <v>0</v>
      </c>
      <c r="BN589" s="319">
        <f t="shared" si="1070"/>
        <v>19500</v>
      </c>
      <c r="BO589" s="319">
        <f t="shared" si="1070"/>
        <v>0</v>
      </c>
      <c r="BP589" s="319">
        <f t="shared" si="1070"/>
        <v>19500</v>
      </c>
      <c r="BQ589" s="319">
        <f t="shared" si="1070"/>
        <v>0</v>
      </c>
      <c r="BR589" s="319">
        <f t="shared" si="1070"/>
        <v>0</v>
      </c>
      <c r="BS589" s="319">
        <f t="shared" si="1070"/>
        <v>0</v>
      </c>
      <c r="BT589" s="319">
        <f t="shared" si="1070"/>
        <v>1.5916157281026244E-12</v>
      </c>
      <c r="BU589" s="319">
        <f t="shared" si="1070"/>
        <v>19500</v>
      </c>
      <c r="BV589" s="319">
        <f t="shared" si="1070"/>
        <v>0</v>
      </c>
      <c r="BW589" s="319">
        <f t="shared" si="1070"/>
        <v>19500</v>
      </c>
      <c r="BX589" s="1"/>
      <c r="BY589" s="1"/>
      <c r="BZ589" s="1"/>
      <c r="CA589" s="1"/>
      <c r="CB589" s="1"/>
      <c r="CC589" s="1"/>
      <c r="CD589" s="1"/>
      <c r="CE589" s="1"/>
      <c r="CF589" s="1"/>
      <c r="CG589" s="1"/>
    </row>
    <row r="590" spans="1:85" ht="15.75" customHeight="1">
      <c r="A590" s="313"/>
      <c r="B590" s="418"/>
      <c r="C590" s="457" t="s">
        <v>348</v>
      </c>
      <c r="D590" s="314" t="s">
        <v>349</v>
      </c>
      <c r="E590" s="319">
        <f>E113+E114+E115+E235+E299+E300+E301</f>
        <v>0</v>
      </c>
      <c r="F590" s="319">
        <f>F113+F114+F115+F235+F299+F300+F301</f>
        <v>0</v>
      </c>
      <c r="G590" s="319">
        <f>G113+G114+G115+G235+G299+G300+G301</f>
        <v>0</v>
      </c>
      <c r="H590" s="319">
        <f>H113+H114+H115+H235+H299+H300+H301</f>
        <v>50000</v>
      </c>
      <c r="I590" s="319">
        <f t="shared" ref="I590:J590" si="1071">I113+I114+I115+I235+I299+I300+I301</f>
        <v>0</v>
      </c>
      <c r="J590" s="319">
        <f t="shared" si="1071"/>
        <v>0</v>
      </c>
      <c r="K590" s="319">
        <f>K113+K114+K115+K235+K299+K300+K301</f>
        <v>0</v>
      </c>
      <c r="L590" s="319">
        <f t="shared" ref="L590:W590" si="1072">L113+L114+L115+L235+L299+L300+L301</f>
        <v>73544.23</v>
      </c>
      <c r="M590" s="319">
        <f t="shared" si="1072"/>
        <v>0</v>
      </c>
      <c r="N590" s="319">
        <f t="shared" si="1072"/>
        <v>0</v>
      </c>
      <c r="O590" s="319">
        <f t="shared" si="1072"/>
        <v>0</v>
      </c>
      <c r="P590" s="319">
        <f t="shared" si="1072"/>
        <v>73544.23</v>
      </c>
      <c r="Q590" s="319">
        <f t="shared" si="1072"/>
        <v>0</v>
      </c>
      <c r="R590" s="320">
        <f t="shared" si="1072"/>
        <v>0</v>
      </c>
      <c r="S590" s="320">
        <f t="shared" si="1072"/>
        <v>73544.23</v>
      </c>
      <c r="T590" s="320">
        <f t="shared" si="1072"/>
        <v>0</v>
      </c>
      <c r="U590" s="386">
        <f t="shared" si="1072"/>
        <v>0</v>
      </c>
      <c r="V590" s="386">
        <f t="shared" si="1072"/>
        <v>0</v>
      </c>
      <c r="W590" s="386">
        <f t="shared" si="1072"/>
        <v>0</v>
      </c>
      <c r="X590" s="310">
        <f t="shared" si="990"/>
        <v>0</v>
      </c>
      <c r="Y590" s="310">
        <f t="shared" si="991"/>
        <v>1</v>
      </c>
      <c r="Z590" s="310">
        <f t="shared" si="790"/>
        <v>0</v>
      </c>
      <c r="AA590" s="319">
        <f t="shared" ref="AA590:BW590" si="1073">AA113+AA114+AA115+AA235+AA299+AA300+AA301</f>
        <v>0</v>
      </c>
      <c r="AB590" s="319">
        <f t="shared" si="1073"/>
        <v>3839.07</v>
      </c>
      <c r="AC590" s="319">
        <f t="shared" si="1073"/>
        <v>0</v>
      </c>
      <c r="AD590" s="319">
        <f t="shared" si="1073"/>
        <v>0</v>
      </c>
      <c r="AE590" s="319">
        <f t="shared" si="1073"/>
        <v>0</v>
      </c>
      <c r="AF590" s="319">
        <f t="shared" si="1073"/>
        <v>0</v>
      </c>
      <c r="AG590" s="319">
        <f t="shared" si="1073"/>
        <v>0</v>
      </c>
      <c r="AH590" s="319">
        <f t="shared" si="1073"/>
        <v>7913.56</v>
      </c>
      <c r="AI590" s="319">
        <f t="shared" si="1073"/>
        <v>0</v>
      </c>
      <c r="AJ590" s="319">
        <f t="shared" si="1073"/>
        <v>0</v>
      </c>
      <c r="AK590" s="319">
        <f t="shared" si="1073"/>
        <v>61791.6</v>
      </c>
      <c r="AL590" s="319">
        <f t="shared" si="1073"/>
        <v>0</v>
      </c>
      <c r="AM590" s="319">
        <f t="shared" si="1073"/>
        <v>0</v>
      </c>
      <c r="AN590" s="319">
        <f t="shared" si="1073"/>
        <v>0</v>
      </c>
      <c r="AO590" s="319">
        <f t="shared" si="1073"/>
        <v>0</v>
      </c>
      <c r="AP590" s="319">
        <f t="shared" si="1073"/>
        <v>0</v>
      </c>
      <c r="AQ590" s="319">
        <f t="shared" si="1073"/>
        <v>0</v>
      </c>
      <c r="AR590" s="319">
        <f t="shared" si="1073"/>
        <v>0</v>
      </c>
      <c r="AS590" s="319">
        <f t="shared" si="1073"/>
        <v>0</v>
      </c>
      <c r="AT590" s="319">
        <f t="shared" si="1073"/>
        <v>0</v>
      </c>
      <c r="AU590" s="319">
        <f t="shared" si="1073"/>
        <v>0</v>
      </c>
      <c r="AV590" s="319">
        <f t="shared" si="1073"/>
        <v>0</v>
      </c>
      <c r="AW590" s="319">
        <f t="shared" si="1073"/>
        <v>0</v>
      </c>
      <c r="AX590" s="319">
        <f t="shared" si="1073"/>
        <v>0</v>
      </c>
      <c r="AY590" s="319">
        <f t="shared" si="1073"/>
        <v>0</v>
      </c>
      <c r="AZ590" s="319">
        <f t="shared" si="1073"/>
        <v>0</v>
      </c>
      <c r="BA590" s="319">
        <f t="shared" si="1073"/>
        <v>0</v>
      </c>
      <c r="BB590" s="319">
        <f t="shared" si="1073"/>
        <v>0</v>
      </c>
      <c r="BC590" s="319">
        <f t="shared" si="1073"/>
        <v>0</v>
      </c>
      <c r="BD590" s="319">
        <f t="shared" si="1073"/>
        <v>0</v>
      </c>
      <c r="BE590" s="319">
        <f t="shared" si="1073"/>
        <v>0</v>
      </c>
      <c r="BF590" s="319">
        <f t="shared" si="1073"/>
        <v>0</v>
      </c>
      <c r="BG590" s="319">
        <f t="shared" si="1073"/>
        <v>0</v>
      </c>
      <c r="BH590" s="319">
        <f t="shared" si="1073"/>
        <v>0</v>
      </c>
      <c r="BI590" s="319">
        <f t="shared" si="1073"/>
        <v>0</v>
      </c>
      <c r="BJ590" s="319">
        <f t="shared" si="1073"/>
        <v>0</v>
      </c>
      <c r="BK590" s="319">
        <f t="shared" si="1073"/>
        <v>0</v>
      </c>
      <c r="BL590" s="319">
        <f t="shared" si="1073"/>
        <v>0</v>
      </c>
      <c r="BM590" s="319">
        <f t="shared" si="1073"/>
        <v>0</v>
      </c>
      <c r="BN590" s="319">
        <f t="shared" si="1073"/>
        <v>0</v>
      </c>
      <c r="BO590" s="319">
        <f t="shared" si="1073"/>
        <v>0</v>
      </c>
      <c r="BP590" s="319">
        <f t="shared" si="1073"/>
        <v>0</v>
      </c>
      <c r="BQ590" s="319">
        <f t="shared" si="1073"/>
        <v>0</v>
      </c>
      <c r="BR590" s="319">
        <f t="shared" si="1073"/>
        <v>0</v>
      </c>
      <c r="BS590" s="319">
        <f t="shared" si="1073"/>
        <v>0</v>
      </c>
      <c r="BT590" s="319">
        <f t="shared" si="1073"/>
        <v>0</v>
      </c>
      <c r="BU590" s="319">
        <f t="shared" si="1073"/>
        <v>0</v>
      </c>
      <c r="BV590" s="319">
        <f t="shared" si="1073"/>
        <v>0</v>
      </c>
      <c r="BW590" s="319">
        <f t="shared" si="1073"/>
        <v>0</v>
      </c>
      <c r="BX590" s="1"/>
      <c r="BY590" s="1"/>
      <c r="BZ590" s="1"/>
      <c r="CA590" s="1"/>
      <c r="CB590" s="1"/>
      <c r="CC590" s="1"/>
      <c r="CD590" s="1"/>
      <c r="CE590" s="1"/>
      <c r="CF590" s="1"/>
      <c r="CG590" s="1"/>
    </row>
    <row r="591" spans="1:85" ht="15.75" customHeight="1">
      <c r="A591" s="313"/>
      <c r="B591" s="418"/>
      <c r="C591" s="457" t="s">
        <v>386</v>
      </c>
      <c r="D591" s="330" t="s">
        <v>387</v>
      </c>
      <c r="E591" s="319">
        <f>E134</f>
        <v>0</v>
      </c>
      <c r="F591" s="319">
        <f>F134</f>
        <v>0</v>
      </c>
      <c r="G591" s="319">
        <f>G134</f>
        <v>0</v>
      </c>
      <c r="H591" s="319">
        <f>H134</f>
        <v>0</v>
      </c>
      <c r="I591" s="319">
        <f t="shared" ref="I591:J591" si="1074">I134</f>
        <v>0</v>
      </c>
      <c r="J591" s="319">
        <f t="shared" si="1074"/>
        <v>0</v>
      </c>
      <c r="K591" s="319">
        <f>K134</f>
        <v>5000</v>
      </c>
      <c r="L591" s="320">
        <f t="shared" ref="L591:W591" si="1075">L134</f>
        <v>0</v>
      </c>
      <c r="M591" s="320">
        <f t="shared" si="1075"/>
        <v>0</v>
      </c>
      <c r="N591" s="320">
        <f t="shared" si="1075"/>
        <v>0</v>
      </c>
      <c r="O591" s="320">
        <f t="shared" si="1075"/>
        <v>0</v>
      </c>
      <c r="P591" s="320">
        <f t="shared" si="1075"/>
        <v>0</v>
      </c>
      <c r="Q591" s="320">
        <f t="shared" si="1075"/>
        <v>0</v>
      </c>
      <c r="R591" s="320">
        <f t="shared" si="1075"/>
        <v>0</v>
      </c>
      <c r="S591" s="320">
        <f t="shared" si="1075"/>
        <v>0</v>
      </c>
      <c r="T591" s="320">
        <f t="shared" si="1075"/>
        <v>0</v>
      </c>
      <c r="U591" s="387">
        <f t="shared" si="1075"/>
        <v>5000</v>
      </c>
      <c r="V591" s="386">
        <f t="shared" si="1075"/>
        <v>0</v>
      </c>
      <c r="W591" s="387">
        <f t="shared" si="1075"/>
        <v>0</v>
      </c>
      <c r="X591" s="310">
        <f t="shared" si="990"/>
        <v>0</v>
      </c>
      <c r="Y591" s="310">
        <f t="shared" si="991"/>
        <v>0</v>
      </c>
      <c r="Z591" s="310">
        <f t="shared" si="790"/>
        <v>0</v>
      </c>
      <c r="AA591" s="320">
        <f t="shared" ref="AA591:BW591" si="1076">AA134</f>
        <v>0</v>
      </c>
      <c r="AB591" s="320">
        <f t="shared" si="1076"/>
        <v>0</v>
      </c>
      <c r="AC591" s="320">
        <f t="shared" si="1076"/>
        <v>0</v>
      </c>
      <c r="AD591" s="320">
        <f t="shared" si="1076"/>
        <v>0</v>
      </c>
      <c r="AE591" s="320">
        <f t="shared" si="1076"/>
        <v>0</v>
      </c>
      <c r="AF591" s="320">
        <f t="shared" si="1076"/>
        <v>0</v>
      </c>
      <c r="AG591" s="320">
        <f t="shared" si="1076"/>
        <v>0</v>
      </c>
      <c r="AH591" s="320">
        <f t="shared" si="1076"/>
        <v>0</v>
      </c>
      <c r="AI591" s="320">
        <f t="shared" si="1076"/>
        <v>0</v>
      </c>
      <c r="AJ591" s="320">
        <f t="shared" si="1076"/>
        <v>0</v>
      </c>
      <c r="AK591" s="320">
        <f t="shared" si="1076"/>
        <v>0</v>
      </c>
      <c r="AL591" s="320">
        <f t="shared" si="1076"/>
        <v>0</v>
      </c>
      <c r="AM591" s="320">
        <f t="shared" si="1076"/>
        <v>0</v>
      </c>
      <c r="AN591" s="320">
        <f t="shared" si="1076"/>
        <v>0</v>
      </c>
      <c r="AO591" s="320">
        <f t="shared" si="1076"/>
        <v>0</v>
      </c>
      <c r="AP591" s="320">
        <f t="shared" si="1076"/>
        <v>0</v>
      </c>
      <c r="AQ591" s="320">
        <f t="shared" si="1076"/>
        <v>0</v>
      </c>
      <c r="AR591" s="320">
        <f t="shared" si="1076"/>
        <v>0</v>
      </c>
      <c r="AS591" s="320">
        <f t="shared" si="1076"/>
        <v>0</v>
      </c>
      <c r="AT591" s="320">
        <f t="shared" si="1076"/>
        <v>0</v>
      </c>
      <c r="AU591" s="320">
        <f t="shared" si="1076"/>
        <v>0</v>
      </c>
      <c r="AV591" s="320">
        <f t="shared" si="1076"/>
        <v>0</v>
      </c>
      <c r="AW591" s="320">
        <f t="shared" si="1076"/>
        <v>0</v>
      </c>
      <c r="AX591" s="320">
        <f t="shared" si="1076"/>
        <v>0</v>
      </c>
      <c r="AY591" s="320">
        <f t="shared" si="1076"/>
        <v>0</v>
      </c>
      <c r="AZ591" s="320">
        <f t="shared" si="1076"/>
        <v>0</v>
      </c>
      <c r="BA591" s="320">
        <f t="shared" si="1076"/>
        <v>0</v>
      </c>
      <c r="BB591" s="320">
        <f t="shared" si="1076"/>
        <v>0</v>
      </c>
      <c r="BC591" s="320">
        <f t="shared" si="1076"/>
        <v>0</v>
      </c>
      <c r="BD591" s="320">
        <f t="shared" si="1076"/>
        <v>0</v>
      </c>
      <c r="BE591" s="320">
        <f t="shared" si="1076"/>
        <v>0</v>
      </c>
      <c r="BF591" s="320">
        <f t="shared" si="1076"/>
        <v>0</v>
      </c>
      <c r="BG591" s="320">
        <f t="shared" si="1076"/>
        <v>0</v>
      </c>
      <c r="BH591" s="320">
        <f t="shared" si="1076"/>
        <v>0</v>
      </c>
      <c r="BI591" s="320">
        <f t="shared" si="1076"/>
        <v>0</v>
      </c>
      <c r="BJ591" s="320">
        <f t="shared" si="1076"/>
        <v>0</v>
      </c>
      <c r="BK591" s="320">
        <f t="shared" si="1076"/>
        <v>0</v>
      </c>
      <c r="BL591" s="320">
        <f t="shared" si="1076"/>
        <v>0</v>
      </c>
      <c r="BM591" s="320">
        <f t="shared" si="1076"/>
        <v>0</v>
      </c>
      <c r="BN591" s="319">
        <f t="shared" si="1076"/>
        <v>0</v>
      </c>
      <c r="BO591" s="319">
        <f t="shared" si="1076"/>
        <v>0</v>
      </c>
      <c r="BP591" s="319">
        <f t="shared" si="1076"/>
        <v>0</v>
      </c>
      <c r="BQ591" s="319">
        <f t="shared" si="1076"/>
        <v>5000</v>
      </c>
      <c r="BR591" s="319">
        <f t="shared" si="1076"/>
        <v>0</v>
      </c>
      <c r="BS591" s="319">
        <f t="shared" si="1076"/>
        <v>5000</v>
      </c>
      <c r="BT591" s="319">
        <f t="shared" si="1076"/>
        <v>0</v>
      </c>
      <c r="BU591" s="319">
        <f t="shared" si="1076"/>
        <v>0</v>
      </c>
      <c r="BV591" s="319">
        <f t="shared" si="1076"/>
        <v>5000</v>
      </c>
      <c r="BW591" s="319">
        <f t="shared" si="1076"/>
        <v>0</v>
      </c>
      <c r="BX591" s="1"/>
      <c r="BY591" s="1"/>
      <c r="BZ591" s="1"/>
      <c r="CA591" s="1"/>
      <c r="CB591" s="1"/>
      <c r="CC591" s="1"/>
      <c r="CD591" s="1"/>
      <c r="CE591" s="1"/>
      <c r="CF591" s="1"/>
      <c r="CG591" s="1"/>
    </row>
    <row r="592" spans="1:85" ht="15.75" customHeight="1">
      <c r="A592" s="313"/>
      <c r="B592" s="418"/>
      <c r="C592" s="416" t="s">
        <v>880</v>
      </c>
      <c r="D592" s="306" t="s">
        <v>881</v>
      </c>
      <c r="E592" s="319">
        <f t="shared" ref="E592:J592" si="1077">E470+E471</f>
        <v>0</v>
      </c>
      <c r="F592" s="319">
        <f t="shared" si="1077"/>
        <v>0</v>
      </c>
      <c r="G592" s="319">
        <f t="shared" si="1077"/>
        <v>0</v>
      </c>
      <c r="H592" s="319">
        <f t="shared" si="1077"/>
        <v>0</v>
      </c>
      <c r="I592" s="319">
        <f t="shared" si="1077"/>
        <v>0</v>
      </c>
      <c r="J592" s="319">
        <f t="shared" si="1077"/>
        <v>0</v>
      </c>
      <c r="K592" s="319">
        <f>K470+K471</f>
        <v>33050</v>
      </c>
      <c r="L592" s="319">
        <f t="shared" ref="L592:W592" si="1078">L470+L471</f>
        <v>0</v>
      </c>
      <c r="M592" s="319">
        <f t="shared" si="1078"/>
        <v>0</v>
      </c>
      <c r="N592" s="319">
        <f t="shared" si="1078"/>
        <v>0</v>
      </c>
      <c r="O592" s="319">
        <f t="shared" si="1078"/>
        <v>25700</v>
      </c>
      <c r="P592" s="319">
        <f t="shared" si="1078"/>
        <v>0</v>
      </c>
      <c r="Q592" s="319">
        <f t="shared" si="1078"/>
        <v>0</v>
      </c>
      <c r="R592" s="319">
        <f t="shared" si="1078"/>
        <v>25700</v>
      </c>
      <c r="S592" s="319">
        <f t="shared" si="1078"/>
        <v>0</v>
      </c>
      <c r="T592" s="319">
        <f t="shared" si="1078"/>
        <v>0</v>
      </c>
      <c r="U592" s="319">
        <f t="shared" si="1078"/>
        <v>7350</v>
      </c>
      <c r="V592" s="319">
        <f t="shared" si="1078"/>
        <v>0</v>
      </c>
      <c r="W592" s="319">
        <f t="shared" si="1078"/>
        <v>0</v>
      </c>
      <c r="X592" s="310">
        <f t="shared" si="990"/>
        <v>0.77760968229954619</v>
      </c>
      <c r="Y592" s="310">
        <f t="shared" si="991"/>
        <v>0</v>
      </c>
      <c r="Z592" s="310">
        <f t="shared" si="790"/>
        <v>0</v>
      </c>
      <c r="AA592" s="319">
        <f t="shared" ref="AA592:BW592" si="1079">AA470+AA471</f>
        <v>0</v>
      </c>
      <c r="AB592" s="319">
        <f t="shared" si="1079"/>
        <v>0</v>
      </c>
      <c r="AC592" s="319">
        <f t="shared" si="1079"/>
        <v>0</v>
      </c>
      <c r="AD592" s="319">
        <f t="shared" si="1079"/>
        <v>0</v>
      </c>
      <c r="AE592" s="319">
        <f t="shared" si="1079"/>
        <v>0</v>
      </c>
      <c r="AF592" s="319">
        <f t="shared" si="1079"/>
        <v>0</v>
      </c>
      <c r="AG592" s="319">
        <f t="shared" si="1079"/>
        <v>0</v>
      </c>
      <c r="AH592" s="319">
        <f t="shared" si="1079"/>
        <v>0</v>
      </c>
      <c r="AI592" s="319">
        <f t="shared" si="1079"/>
        <v>0</v>
      </c>
      <c r="AJ592" s="319">
        <f t="shared" si="1079"/>
        <v>0</v>
      </c>
      <c r="AK592" s="319">
        <f t="shared" si="1079"/>
        <v>0</v>
      </c>
      <c r="AL592" s="319">
        <f t="shared" si="1079"/>
        <v>0</v>
      </c>
      <c r="AM592" s="319">
        <f t="shared" si="1079"/>
        <v>0</v>
      </c>
      <c r="AN592" s="319">
        <f t="shared" si="1079"/>
        <v>0</v>
      </c>
      <c r="AO592" s="319">
        <f t="shared" si="1079"/>
        <v>0</v>
      </c>
      <c r="AP592" s="319">
        <f t="shared" si="1079"/>
        <v>0</v>
      </c>
      <c r="AQ592" s="319">
        <f t="shared" si="1079"/>
        <v>0</v>
      </c>
      <c r="AR592" s="319">
        <f t="shared" si="1079"/>
        <v>0</v>
      </c>
      <c r="AS592" s="319">
        <f t="shared" si="1079"/>
        <v>0</v>
      </c>
      <c r="AT592" s="319">
        <f t="shared" si="1079"/>
        <v>0</v>
      </c>
      <c r="AU592" s="319">
        <f t="shared" si="1079"/>
        <v>0</v>
      </c>
      <c r="AV592" s="319">
        <f t="shared" si="1079"/>
        <v>25700</v>
      </c>
      <c r="AW592" s="319">
        <f t="shared" si="1079"/>
        <v>0</v>
      </c>
      <c r="AX592" s="319">
        <f t="shared" si="1079"/>
        <v>0</v>
      </c>
      <c r="AY592" s="319">
        <f t="shared" si="1079"/>
        <v>0</v>
      </c>
      <c r="AZ592" s="319">
        <f t="shared" si="1079"/>
        <v>0</v>
      </c>
      <c r="BA592" s="319">
        <f t="shared" si="1079"/>
        <v>0</v>
      </c>
      <c r="BB592" s="319">
        <f t="shared" si="1079"/>
        <v>0</v>
      </c>
      <c r="BC592" s="319">
        <f t="shared" si="1079"/>
        <v>0</v>
      </c>
      <c r="BD592" s="319">
        <f t="shared" si="1079"/>
        <v>0</v>
      </c>
      <c r="BE592" s="319">
        <f t="shared" si="1079"/>
        <v>0</v>
      </c>
      <c r="BF592" s="319">
        <f t="shared" si="1079"/>
        <v>0</v>
      </c>
      <c r="BG592" s="319">
        <f t="shared" si="1079"/>
        <v>0</v>
      </c>
      <c r="BH592" s="319">
        <f t="shared" si="1079"/>
        <v>0</v>
      </c>
      <c r="BI592" s="319">
        <f t="shared" si="1079"/>
        <v>0</v>
      </c>
      <c r="BJ592" s="319">
        <f t="shared" si="1079"/>
        <v>0</v>
      </c>
      <c r="BK592" s="319">
        <f t="shared" si="1079"/>
        <v>0</v>
      </c>
      <c r="BL592" s="319">
        <f t="shared" si="1079"/>
        <v>0</v>
      </c>
      <c r="BM592" s="319">
        <f t="shared" si="1079"/>
        <v>0</v>
      </c>
      <c r="BN592" s="319">
        <f t="shared" si="1079"/>
        <v>25700</v>
      </c>
      <c r="BO592" s="319">
        <f t="shared" si="1079"/>
        <v>0</v>
      </c>
      <c r="BP592" s="319">
        <f t="shared" si="1079"/>
        <v>25700</v>
      </c>
      <c r="BQ592" s="319">
        <f t="shared" si="1079"/>
        <v>7350</v>
      </c>
      <c r="BR592" s="319">
        <f t="shared" si="1079"/>
        <v>0</v>
      </c>
      <c r="BS592" s="319">
        <f t="shared" si="1079"/>
        <v>7350</v>
      </c>
      <c r="BT592" s="319">
        <f t="shared" si="1079"/>
        <v>0</v>
      </c>
      <c r="BU592" s="319">
        <f t="shared" si="1079"/>
        <v>25700</v>
      </c>
      <c r="BV592" s="319">
        <f t="shared" si="1079"/>
        <v>7350</v>
      </c>
      <c r="BW592" s="319">
        <f t="shared" si="1079"/>
        <v>25700</v>
      </c>
      <c r="BX592" s="1"/>
      <c r="BY592" s="1"/>
      <c r="BZ592" s="1"/>
      <c r="CA592" s="1"/>
      <c r="CB592" s="1"/>
      <c r="CC592" s="1"/>
      <c r="CD592" s="1"/>
      <c r="CE592" s="1"/>
      <c r="CF592" s="1"/>
      <c r="CG592" s="1"/>
    </row>
    <row r="593" spans="1:85" ht="15.75" customHeight="1">
      <c r="A593" s="313"/>
      <c r="B593" s="418"/>
      <c r="C593" s="416" t="s">
        <v>389</v>
      </c>
      <c r="D593" s="328" t="s">
        <v>390</v>
      </c>
      <c r="E593" s="319">
        <f>E135</f>
        <v>0</v>
      </c>
      <c r="F593" s="319">
        <f>F135</f>
        <v>0</v>
      </c>
      <c r="G593" s="319">
        <f>G135</f>
        <v>0</v>
      </c>
      <c r="H593" s="319">
        <f>H135</f>
        <v>0</v>
      </c>
      <c r="I593" s="319">
        <f t="shared" ref="I593:K593" si="1080">I135</f>
        <v>0</v>
      </c>
      <c r="J593" s="319">
        <f t="shared" si="1080"/>
        <v>0</v>
      </c>
      <c r="K593" s="319">
        <f t="shared" si="1080"/>
        <v>0</v>
      </c>
      <c r="L593" s="320">
        <f t="shared" ref="L593:W593" si="1081">L135</f>
        <v>20776.23</v>
      </c>
      <c r="M593" s="320">
        <f t="shared" si="1081"/>
        <v>0</v>
      </c>
      <c r="N593" s="320">
        <f t="shared" si="1081"/>
        <v>0</v>
      </c>
      <c r="O593" s="320">
        <f t="shared" si="1081"/>
        <v>0</v>
      </c>
      <c r="P593" s="320">
        <f t="shared" si="1081"/>
        <v>20776.23</v>
      </c>
      <c r="Q593" s="320">
        <f t="shared" si="1081"/>
        <v>0</v>
      </c>
      <c r="R593" s="320">
        <f t="shared" si="1081"/>
        <v>0</v>
      </c>
      <c r="S593" s="320">
        <f t="shared" si="1081"/>
        <v>20776.23</v>
      </c>
      <c r="T593" s="320">
        <f t="shared" si="1081"/>
        <v>0</v>
      </c>
      <c r="U593" s="387">
        <f t="shared" si="1081"/>
        <v>0</v>
      </c>
      <c r="V593" s="386">
        <f t="shared" si="1081"/>
        <v>0</v>
      </c>
      <c r="W593" s="387">
        <f t="shared" si="1081"/>
        <v>0</v>
      </c>
      <c r="X593" s="310">
        <f t="shared" si="990"/>
        <v>0</v>
      </c>
      <c r="Y593" s="310">
        <f t="shared" si="991"/>
        <v>1</v>
      </c>
      <c r="Z593" s="310">
        <f t="shared" si="790"/>
        <v>0</v>
      </c>
      <c r="AA593" s="320">
        <f t="shared" ref="AA593:BW593" si="1082">AA135</f>
        <v>0</v>
      </c>
      <c r="AB593" s="320">
        <f t="shared" si="1082"/>
        <v>0</v>
      </c>
      <c r="AC593" s="320">
        <f t="shared" si="1082"/>
        <v>0</v>
      </c>
      <c r="AD593" s="320">
        <f t="shared" si="1082"/>
        <v>0</v>
      </c>
      <c r="AE593" s="320">
        <f t="shared" si="1082"/>
        <v>20776.23</v>
      </c>
      <c r="AF593" s="320">
        <f t="shared" si="1082"/>
        <v>0</v>
      </c>
      <c r="AG593" s="320">
        <f t="shared" si="1082"/>
        <v>0</v>
      </c>
      <c r="AH593" s="320">
        <f t="shared" si="1082"/>
        <v>0</v>
      </c>
      <c r="AI593" s="320">
        <f t="shared" si="1082"/>
        <v>0</v>
      </c>
      <c r="AJ593" s="320">
        <f t="shared" si="1082"/>
        <v>0</v>
      </c>
      <c r="AK593" s="320">
        <f t="shared" si="1082"/>
        <v>0</v>
      </c>
      <c r="AL593" s="320">
        <f t="shared" si="1082"/>
        <v>0</v>
      </c>
      <c r="AM593" s="320">
        <f t="shared" si="1082"/>
        <v>0</v>
      </c>
      <c r="AN593" s="320">
        <f t="shared" si="1082"/>
        <v>0</v>
      </c>
      <c r="AO593" s="320">
        <f t="shared" si="1082"/>
        <v>0</v>
      </c>
      <c r="AP593" s="320">
        <f t="shared" si="1082"/>
        <v>0</v>
      </c>
      <c r="AQ593" s="320">
        <f t="shared" si="1082"/>
        <v>0</v>
      </c>
      <c r="AR593" s="320">
        <f t="shared" si="1082"/>
        <v>0</v>
      </c>
      <c r="AS593" s="320">
        <f t="shared" si="1082"/>
        <v>0</v>
      </c>
      <c r="AT593" s="320">
        <f t="shared" si="1082"/>
        <v>0</v>
      </c>
      <c r="AU593" s="320">
        <f t="shared" si="1082"/>
        <v>0</v>
      </c>
      <c r="AV593" s="320">
        <f t="shared" si="1082"/>
        <v>0</v>
      </c>
      <c r="AW593" s="320">
        <f t="shared" si="1082"/>
        <v>0</v>
      </c>
      <c r="AX593" s="320">
        <f t="shared" si="1082"/>
        <v>0</v>
      </c>
      <c r="AY593" s="320">
        <f t="shared" si="1082"/>
        <v>0</v>
      </c>
      <c r="AZ593" s="320">
        <f t="shared" si="1082"/>
        <v>0</v>
      </c>
      <c r="BA593" s="320">
        <f t="shared" si="1082"/>
        <v>0</v>
      </c>
      <c r="BB593" s="320">
        <f t="shared" si="1082"/>
        <v>0</v>
      </c>
      <c r="BC593" s="320">
        <f t="shared" si="1082"/>
        <v>0</v>
      </c>
      <c r="BD593" s="320">
        <f t="shared" si="1082"/>
        <v>0</v>
      </c>
      <c r="BE593" s="320">
        <f t="shared" si="1082"/>
        <v>0</v>
      </c>
      <c r="BF593" s="320">
        <f t="shared" si="1082"/>
        <v>0</v>
      </c>
      <c r="BG593" s="320">
        <f t="shared" si="1082"/>
        <v>0</v>
      </c>
      <c r="BH593" s="320">
        <f t="shared" si="1082"/>
        <v>0</v>
      </c>
      <c r="BI593" s="320">
        <f t="shared" si="1082"/>
        <v>0</v>
      </c>
      <c r="BJ593" s="320">
        <f t="shared" si="1082"/>
        <v>0</v>
      </c>
      <c r="BK593" s="320">
        <f t="shared" si="1082"/>
        <v>0</v>
      </c>
      <c r="BL593" s="320">
        <f t="shared" si="1082"/>
        <v>0</v>
      </c>
      <c r="BM593" s="320">
        <f t="shared" si="1082"/>
        <v>0</v>
      </c>
      <c r="BN593" s="319">
        <f t="shared" si="1082"/>
        <v>0</v>
      </c>
      <c r="BO593" s="319">
        <f t="shared" si="1082"/>
        <v>0</v>
      </c>
      <c r="BP593" s="319">
        <f t="shared" si="1082"/>
        <v>0</v>
      </c>
      <c r="BQ593" s="319">
        <f t="shared" si="1082"/>
        <v>0</v>
      </c>
      <c r="BR593" s="319">
        <f t="shared" si="1082"/>
        <v>0</v>
      </c>
      <c r="BS593" s="319">
        <f t="shared" si="1082"/>
        <v>0</v>
      </c>
      <c r="BT593" s="319">
        <f t="shared" si="1082"/>
        <v>0</v>
      </c>
      <c r="BU593" s="319">
        <f t="shared" si="1082"/>
        <v>0</v>
      </c>
      <c r="BV593" s="319">
        <f t="shared" si="1082"/>
        <v>0</v>
      </c>
      <c r="BW593" s="319">
        <f t="shared" si="1082"/>
        <v>0</v>
      </c>
      <c r="BX593" s="1"/>
      <c r="BY593" s="1"/>
      <c r="BZ593" s="1"/>
      <c r="CA593" s="1"/>
      <c r="CB593" s="1"/>
      <c r="CC593" s="1"/>
      <c r="CD593" s="1"/>
      <c r="CE593" s="1"/>
      <c r="CF593" s="1"/>
      <c r="CG593" s="1"/>
    </row>
    <row r="594" spans="1:85" ht="15.75" customHeight="1">
      <c r="A594" s="313"/>
      <c r="B594" s="418"/>
      <c r="E594" s="221"/>
      <c r="F594" s="234"/>
      <c r="G594" s="234"/>
      <c r="H594" s="234"/>
      <c r="I594" s="331"/>
      <c r="J594" s="331"/>
      <c r="K594" s="234"/>
      <c r="L594" s="332"/>
      <c r="M594" s="234"/>
      <c r="N594" s="234"/>
      <c r="O594" s="234"/>
      <c r="P594" s="234"/>
      <c r="Q594" s="234"/>
      <c r="R594" s="234"/>
      <c r="S594" s="234"/>
      <c r="T594" s="234"/>
      <c r="U594" s="388"/>
      <c r="V594" s="388"/>
      <c r="W594" s="388"/>
      <c r="X594" s="331"/>
      <c r="Y594" s="333"/>
      <c r="Z594" s="331"/>
      <c r="AA594" s="234"/>
      <c r="AB594" s="234"/>
      <c r="AC594" s="234"/>
      <c r="AD594" s="234"/>
      <c r="AE594" s="334"/>
      <c r="AF594" s="334"/>
      <c r="AG594" s="334"/>
      <c r="AH594" s="334"/>
      <c r="AI594" s="234"/>
      <c r="AJ594" s="234"/>
      <c r="AK594" s="234"/>
      <c r="AL594" s="234"/>
      <c r="AM594" s="234"/>
      <c r="AN594" s="234"/>
      <c r="AO594" s="234"/>
      <c r="AP594" s="234"/>
      <c r="AQ594" s="234"/>
      <c r="AR594" s="234"/>
      <c r="AS594" s="234"/>
      <c r="AT594" s="234"/>
      <c r="AU594" s="234"/>
      <c r="AV594" s="234"/>
      <c r="AW594" s="234"/>
      <c r="AX594" s="234"/>
      <c r="AY594" s="234"/>
      <c r="AZ594" s="234"/>
      <c r="BA594" s="234"/>
      <c r="BB594" s="234"/>
      <c r="BC594" s="234"/>
      <c r="BD594" s="234"/>
      <c r="BE594" s="234"/>
      <c r="BF594" s="234"/>
      <c r="BG594" s="234"/>
      <c r="BH594" s="234"/>
      <c r="BI594" s="234"/>
      <c r="BJ594" s="234"/>
      <c r="BK594" s="234"/>
      <c r="BL594" s="234"/>
      <c r="BM594" s="234"/>
      <c r="BN594" s="234"/>
      <c r="BO594" s="235"/>
      <c r="BP594" s="234"/>
      <c r="BQ594" s="234"/>
      <c r="BR594" s="234"/>
      <c r="BS594" s="234"/>
      <c r="BT594" s="234"/>
      <c r="BU594" s="234"/>
      <c r="BV594" s="234"/>
      <c r="BW594" s="234"/>
      <c r="BX594" s="1"/>
      <c r="BY594" s="1"/>
      <c r="BZ594" s="1"/>
      <c r="CA594" s="1"/>
      <c r="CB594" s="1"/>
      <c r="CC594" s="1"/>
      <c r="CD594" s="1"/>
      <c r="CE594" s="1"/>
      <c r="CF594" s="1"/>
      <c r="CG594" s="1"/>
    </row>
    <row r="595" spans="1:85" ht="15.75" customHeight="1">
      <c r="A595" s="313"/>
      <c r="B595" s="418"/>
      <c r="E595" s="221"/>
      <c r="F595" s="234"/>
      <c r="G595" s="234"/>
      <c r="H595" s="234"/>
      <c r="I595" s="331"/>
      <c r="J595" s="331"/>
      <c r="K595" s="234"/>
      <c r="L595" s="332"/>
      <c r="M595" s="234"/>
      <c r="N595" s="234"/>
      <c r="O595" s="234"/>
      <c r="P595" s="234"/>
      <c r="Q595" s="234"/>
      <c r="R595" s="234"/>
      <c r="S595" s="234"/>
      <c r="T595" s="234"/>
      <c r="U595" s="388"/>
      <c r="V595" s="388"/>
      <c r="W595" s="388"/>
      <c r="X595" s="331"/>
      <c r="Y595" s="333"/>
      <c r="Z595" s="331"/>
      <c r="AA595" s="234"/>
      <c r="AB595" s="234"/>
      <c r="AC595" s="234"/>
      <c r="AD595" s="234"/>
      <c r="AE595" s="334"/>
      <c r="AF595" s="334"/>
      <c r="AG595" s="334"/>
      <c r="AH595" s="334"/>
      <c r="AI595" s="234"/>
      <c r="AJ595" s="234"/>
      <c r="AK595" s="234"/>
      <c r="AL595" s="234"/>
      <c r="AM595" s="234"/>
      <c r="AN595" s="234"/>
      <c r="AO595" s="234"/>
      <c r="AP595" s="234"/>
      <c r="AQ595" s="234"/>
      <c r="AR595" s="234"/>
      <c r="AS595" s="234"/>
      <c r="AT595" s="234"/>
      <c r="AU595" s="234"/>
      <c r="AV595" s="234"/>
      <c r="AW595" s="234"/>
      <c r="AX595" s="234"/>
      <c r="AY595" s="234"/>
      <c r="AZ595" s="234"/>
      <c r="BA595" s="234"/>
      <c r="BB595" s="234"/>
      <c r="BC595" s="234"/>
      <c r="BD595" s="234"/>
      <c r="BE595" s="234"/>
      <c r="BF595" s="234"/>
      <c r="BG595" s="234"/>
      <c r="BH595" s="234"/>
      <c r="BI595" s="234"/>
      <c r="BJ595" s="234"/>
      <c r="BK595" s="234"/>
      <c r="BL595" s="234"/>
      <c r="BM595" s="234"/>
      <c r="BN595" s="234"/>
      <c r="BO595" s="235"/>
      <c r="BP595" s="234"/>
      <c r="BQ595" s="234"/>
      <c r="BR595" s="234"/>
      <c r="BS595" s="234"/>
      <c r="BT595" s="234"/>
      <c r="BU595" s="234"/>
      <c r="BV595" s="234"/>
      <c r="BW595" s="234"/>
      <c r="BX595" s="1"/>
      <c r="BY595" s="1"/>
      <c r="BZ595" s="1"/>
      <c r="CA595" s="1"/>
      <c r="CB595" s="1"/>
      <c r="CC595" s="1"/>
      <c r="CD595" s="1"/>
      <c r="CE595" s="1"/>
      <c r="CF595" s="1"/>
      <c r="CG595" s="1"/>
    </row>
    <row r="596" spans="1:85" ht="15.75" customHeight="1">
      <c r="A596" s="313"/>
      <c r="B596" s="418"/>
      <c r="E596" s="221"/>
      <c r="F596" s="234"/>
      <c r="G596" s="234"/>
      <c r="H596" s="234"/>
      <c r="I596" s="331"/>
      <c r="J596" s="331"/>
      <c r="K596" s="234"/>
      <c r="L596" s="332"/>
      <c r="M596" s="234"/>
      <c r="N596" s="234"/>
      <c r="O596" s="234"/>
      <c r="P596" s="234"/>
      <c r="Q596" s="234"/>
      <c r="R596" s="234"/>
      <c r="S596" s="234"/>
      <c r="T596" s="234"/>
      <c r="U596" s="388"/>
      <c r="V596" s="388"/>
      <c r="W596" s="388"/>
      <c r="X596" s="331"/>
      <c r="Y596" s="333"/>
      <c r="Z596" s="331"/>
      <c r="AA596" s="234"/>
      <c r="AB596" s="234"/>
      <c r="AC596" s="234"/>
      <c r="AD596" s="234"/>
      <c r="AE596" s="334"/>
      <c r="AF596" s="334"/>
      <c r="AG596" s="334"/>
      <c r="AH596" s="334"/>
      <c r="AI596" s="234"/>
      <c r="AJ596" s="234"/>
      <c r="AK596" s="234"/>
      <c r="AL596" s="234"/>
      <c r="AM596" s="234"/>
      <c r="AN596" s="234"/>
      <c r="AO596" s="234"/>
      <c r="AP596" s="234"/>
      <c r="AQ596" s="234"/>
      <c r="AR596" s="234"/>
      <c r="AS596" s="234"/>
      <c r="AT596" s="234"/>
      <c r="AU596" s="234"/>
      <c r="AV596" s="234"/>
      <c r="AW596" s="234"/>
      <c r="AX596" s="234"/>
      <c r="AY596" s="234"/>
      <c r="AZ596" s="234"/>
      <c r="BA596" s="234"/>
      <c r="BB596" s="234"/>
      <c r="BC596" s="234"/>
      <c r="BD596" s="234"/>
      <c r="BE596" s="234"/>
      <c r="BF596" s="234"/>
      <c r="BG596" s="234"/>
      <c r="BH596" s="234"/>
      <c r="BI596" s="234"/>
      <c r="BJ596" s="234"/>
      <c r="BK596" s="234"/>
      <c r="BL596" s="234"/>
      <c r="BM596" s="234"/>
      <c r="BN596" s="234"/>
      <c r="BO596" s="235"/>
      <c r="BP596" s="234"/>
      <c r="BQ596" s="234"/>
      <c r="BR596" s="234"/>
      <c r="BS596" s="234"/>
      <c r="BT596" s="234"/>
      <c r="BU596" s="234"/>
      <c r="BV596" s="234"/>
      <c r="BW596" s="234"/>
      <c r="BX596" s="1"/>
      <c r="BY596" s="1"/>
      <c r="BZ596" s="1"/>
      <c r="CA596" s="1"/>
      <c r="CB596" s="1"/>
      <c r="CC596" s="1"/>
      <c r="CD596" s="1"/>
      <c r="CE596" s="1"/>
      <c r="CF596" s="1"/>
      <c r="CG596" s="1"/>
    </row>
    <row r="597" spans="1:85" ht="15.75" customHeight="1">
      <c r="A597" s="313"/>
      <c r="B597" s="418"/>
      <c r="E597" s="221"/>
      <c r="F597" s="234"/>
      <c r="G597" s="234"/>
      <c r="H597" s="234"/>
      <c r="I597" s="331"/>
      <c r="J597" s="331"/>
      <c r="K597" s="234"/>
      <c r="L597" s="332"/>
      <c r="M597" s="234"/>
      <c r="N597" s="234"/>
      <c r="O597" s="234"/>
      <c r="P597" s="234"/>
      <c r="Q597" s="234"/>
      <c r="R597" s="234"/>
      <c r="S597" s="234"/>
      <c r="T597" s="234"/>
      <c r="U597" s="388"/>
      <c r="V597" s="388"/>
      <c r="W597" s="388"/>
      <c r="X597" s="331"/>
      <c r="Y597" s="333"/>
      <c r="Z597" s="331"/>
      <c r="AA597" s="234"/>
      <c r="AB597" s="234"/>
      <c r="AC597" s="234"/>
      <c r="AD597" s="234"/>
      <c r="AE597" s="334"/>
      <c r="AF597" s="334"/>
      <c r="AG597" s="334"/>
      <c r="AH597" s="334"/>
      <c r="AI597" s="234"/>
      <c r="AJ597" s="234"/>
      <c r="AK597" s="234"/>
      <c r="AL597" s="234"/>
      <c r="AM597" s="234"/>
      <c r="AN597" s="234"/>
      <c r="AO597" s="234"/>
      <c r="AP597" s="234"/>
      <c r="AQ597" s="234"/>
      <c r="AR597" s="234"/>
      <c r="AS597" s="234"/>
      <c r="AT597" s="234"/>
      <c r="AU597" s="234"/>
      <c r="AV597" s="234"/>
      <c r="AW597" s="234"/>
      <c r="AX597" s="234"/>
      <c r="AY597" s="234"/>
      <c r="AZ597" s="234"/>
      <c r="BA597" s="234"/>
      <c r="BB597" s="234"/>
      <c r="BC597" s="234"/>
      <c r="BD597" s="234"/>
      <c r="BE597" s="234"/>
      <c r="BF597" s="234"/>
      <c r="BG597" s="234"/>
      <c r="BH597" s="234"/>
      <c r="BI597" s="234"/>
      <c r="BJ597" s="234"/>
      <c r="BK597" s="234"/>
      <c r="BL597" s="234"/>
      <c r="BM597" s="234"/>
      <c r="BN597" s="234"/>
      <c r="BO597" s="235"/>
      <c r="BP597" s="234"/>
      <c r="BQ597" s="234"/>
      <c r="BR597" s="234"/>
      <c r="BS597" s="234"/>
      <c r="BT597" s="234"/>
      <c r="BU597" s="234"/>
      <c r="BV597" s="234"/>
      <c r="BW597" s="234"/>
      <c r="BX597" s="1"/>
      <c r="BY597" s="1"/>
      <c r="BZ597" s="1"/>
      <c r="CA597" s="1"/>
      <c r="CB597" s="1"/>
      <c r="CC597" s="1"/>
      <c r="CD597" s="1"/>
      <c r="CE597" s="1"/>
      <c r="CF597" s="1"/>
      <c r="CG597" s="1"/>
    </row>
    <row r="598" spans="1:85" ht="15.75" customHeight="1">
      <c r="A598" s="313"/>
      <c r="B598" s="418"/>
      <c r="E598" s="221"/>
      <c r="F598" s="234"/>
      <c r="G598" s="234"/>
      <c r="H598" s="234"/>
      <c r="I598" s="331"/>
      <c r="J598" s="331"/>
      <c r="K598" s="234"/>
      <c r="L598" s="332"/>
      <c r="M598" s="234"/>
      <c r="N598" s="234"/>
      <c r="O598" s="234"/>
      <c r="P598" s="234"/>
      <c r="Q598" s="234"/>
      <c r="R598" s="234"/>
      <c r="S598" s="234"/>
      <c r="T598" s="234"/>
      <c r="U598" s="388"/>
      <c r="V598" s="388"/>
      <c r="W598" s="388"/>
      <c r="X598" s="331"/>
      <c r="Y598" s="333"/>
      <c r="Z598" s="331"/>
      <c r="AA598" s="234"/>
      <c r="AB598" s="234"/>
      <c r="AC598" s="234"/>
      <c r="AD598" s="234"/>
      <c r="AE598" s="334"/>
      <c r="AF598" s="334"/>
      <c r="AG598" s="334"/>
      <c r="AH598" s="334"/>
      <c r="AI598" s="234"/>
      <c r="AJ598" s="234"/>
      <c r="AK598" s="234"/>
      <c r="AL598" s="234"/>
      <c r="AM598" s="234"/>
      <c r="AN598" s="234"/>
      <c r="AO598" s="234"/>
      <c r="AP598" s="234"/>
      <c r="AQ598" s="234"/>
      <c r="AR598" s="234"/>
      <c r="AS598" s="234"/>
      <c r="AT598" s="234"/>
      <c r="AU598" s="234"/>
      <c r="AV598" s="234"/>
      <c r="AW598" s="234"/>
      <c r="AX598" s="234"/>
      <c r="AY598" s="234"/>
      <c r="AZ598" s="234"/>
      <c r="BA598" s="234"/>
      <c r="BB598" s="234"/>
      <c r="BC598" s="234"/>
      <c r="BD598" s="234"/>
      <c r="BE598" s="234"/>
      <c r="BF598" s="234"/>
      <c r="BG598" s="234"/>
      <c r="BH598" s="234"/>
      <c r="BI598" s="234"/>
      <c r="BJ598" s="234"/>
      <c r="BK598" s="234"/>
      <c r="BL598" s="234"/>
      <c r="BM598" s="234"/>
      <c r="BN598" s="234"/>
      <c r="BO598" s="235"/>
      <c r="BP598" s="234"/>
      <c r="BQ598" s="234"/>
      <c r="BR598" s="234"/>
      <c r="BS598" s="234"/>
      <c r="BT598" s="234"/>
      <c r="BU598" s="234"/>
      <c r="BV598" s="234"/>
      <c r="BW598" s="234"/>
      <c r="BX598" s="1"/>
      <c r="BY598" s="1"/>
      <c r="BZ598" s="1"/>
      <c r="CA598" s="1"/>
      <c r="CB598" s="1"/>
      <c r="CC598" s="1"/>
      <c r="CD598" s="1"/>
      <c r="CE598" s="1"/>
      <c r="CF598" s="1"/>
      <c r="CG598" s="1"/>
    </row>
    <row r="599" spans="1:85" ht="15.75" customHeight="1">
      <c r="A599" s="313"/>
      <c r="B599" s="418"/>
      <c r="E599" s="221"/>
      <c r="F599" s="234"/>
      <c r="G599" s="234"/>
      <c r="H599" s="234"/>
      <c r="I599" s="331"/>
      <c r="J599" s="331"/>
      <c r="K599" s="234"/>
      <c r="L599" s="332"/>
      <c r="M599" s="234"/>
      <c r="N599" s="234"/>
      <c r="O599" s="234"/>
      <c r="P599" s="234"/>
      <c r="Q599" s="234"/>
      <c r="R599" s="234"/>
      <c r="S599" s="234"/>
      <c r="T599" s="234"/>
      <c r="U599" s="388"/>
      <c r="V599" s="388"/>
      <c r="W599" s="388"/>
      <c r="X599" s="331"/>
      <c r="Y599" s="333"/>
      <c r="Z599" s="331"/>
      <c r="AA599" s="234"/>
      <c r="AB599" s="234"/>
      <c r="AC599" s="234"/>
      <c r="AD599" s="234"/>
      <c r="AE599" s="334"/>
      <c r="AF599" s="334"/>
      <c r="AG599" s="334"/>
      <c r="AH599" s="334"/>
      <c r="AI599" s="234"/>
      <c r="AJ599" s="234"/>
      <c r="AK599" s="234"/>
      <c r="AL599" s="234"/>
      <c r="AM599" s="234"/>
      <c r="AN599" s="234"/>
      <c r="AO599" s="234"/>
      <c r="AP599" s="234"/>
      <c r="AQ599" s="234"/>
      <c r="AR599" s="234"/>
      <c r="AS599" s="234"/>
      <c r="AT599" s="234"/>
      <c r="AU599" s="234"/>
      <c r="AV599" s="234"/>
      <c r="AW599" s="234"/>
      <c r="AX599" s="234"/>
      <c r="AY599" s="234"/>
      <c r="AZ599" s="234"/>
      <c r="BA599" s="234"/>
      <c r="BB599" s="234"/>
      <c r="BC599" s="234"/>
      <c r="BD599" s="234"/>
      <c r="BE599" s="234"/>
      <c r="BF599" s="234"/>
      <c r="BG599" s="234"/>
      <c r="BH599" s="234"/>
      <c r="BI599" s="234"/>
      <c r="BJ599" s="234"/>
      <c r="BK599" s="234"/>
      <c r="BL599" s="234"/>
      <c r="BM599" s="234"/>
      <c r="BN599" s="234"/>
      <c r="BO599" s="235"/>
      <c r="BP599" s="234"/>
      <c r="BQ599" s="234"/>
      <c r="BR599" s="234"/>
      <c r="BS599" s="234"/>
      <c r="BT599" s="234"/>
      <c r="BU599" s="234"/>
      <c r="BV599" s="234"/>
      <c r="BW599" s="234"/>
      <c r="BX599" s="1"/>
      <c r="BY599" s="1"/>
      <c r="BZ599" s="1"/>
      <c r="CA599" s="1"/>
      <c r="CB599" s="1"/>
      <c r="CC599" s="1"/>
      <c r="CD599" s="1"/>
      <c r="CE599" s="1"/>
      <c r="CF599" s="1"/>
      <c r="CG599" s="1"/>
    </row>
    <row r="600" spans="1:85" ht="15.75" customHeight="1">
      <c r="A600" s="313"/>
      <c r="B600" s="418"/>
      <c r="E600" s="221"/>
      <c r="F600" s="234"/>
      <c r="G600" s="234"/>
      <c r="H600" s="234"/>
      <c r="I600" s="331"/>
      <c r="J600" s="331"/>
      <c r="K600" s="234"/>
      <c r="L600" s="332"/>
      <c r="M600" s="234"/>
      <c r="N600" s="234"/>
      <c r="O600" s="234"/>
      <c r="P600" s="234"/>
      <c r="Q600" s="234"/>
      <c r="R600" s="234"/>
      <c r="S600" s="234"/>
      <c r="T600" s="234"/>
      <c r="U600" s="388"/>
      <c r="V600" s="388"/>
      <c r="W600" s="388"/>
      <c r="X600" s="331"/>
      <c r="Y600" s="333"/>
      <c r="Z600" s="331"/>
      <c r="AA600" s="234"/>
      <c r="AB600" s="234"/>
      <c r="AC600" s="234"/>
      <c r="AD600" s="234"/>
      <c r="AE600" s="334"/>
      <c r="AF600" s="334"/>
      <c r="AG600" s="334"/>
      <c r="AH600" s="334"/>
      <c r="AI600" s="234"/>
      <c r="AJ600" s="234"/>
      <c r="AK600" s="234"/>
      <c r="AL600" s="234"/>
      <c r="AM600" s="234"/>
      <c r="AN600" s="234"/>
      <c r="AO600" s="234"/>
      <c r="AP600" s="234"/>
      <c r="AQ600" s="234"/>
      <c r="AR600" s="234"/>
      <c r="AS600" s="234"/>
      <c r="AT600" s="234"/>
      <c r="AU600" s="234"/>
      <c r="AV600" s="234"/>
      <c r="AW600" s="234"/>
      <c r="AX600" s="234"/>
      <c r="AY600" s="234"/>
      <c r="AZ600" s="234"/>
      <c r="BA600" s="234"/>
      <c r="BB600" s="234"/>
      <c r="BC600" s="234"/>
      <c r="BD600" s="234"/>
      <c r="BE600" s="234"/>
      <c r="BF600" s="234"/>
      <c r="BG600" s="234"/>
      <c r="BH600" s="234"/>
      <c r="BI600" s="234"/>
      <c r="BJ600" s="234"/>
      <c r="BK600" s="234"/>
      <c r="BL600" s="234"/>
      <c r="BM600" s="234"/>
      <c r="BN600" s="234"/>
      <c r="BO600" s="235"/>
      <c r="BP600" s="234"/>
      <c r="BQ600" s="234"/>
      <c r="BR600" s="234"/>
      <c r="BS600" s="234"/>
      <c r="BT600" s="234"/>
      <c r="BU600" s="234"/>
      <c r="BV600" s="234"/>
      <c r="BW600" s="234"/>
      <c r="BX600" s="1"/>
      <c r="BY600" s="1"/>
      <c r="BZ600" s="1"/>
      <c r="CA600" s="1"/>
      <c r="CB600" s="1"/>
      <c r="CC600" s="1"/>
      <c r="CD600" s="1"/>
      <c r="CE600" s="1"/>
      <c r="CF600" s="1"/>
      <c r="CG600" s="1"/>
    </row>
    <row r="601" spans="1:85" ht="15.75" customHeight="1">
      <c r="A601" s="313"/>
      <c r="B601" s="418"/>
      <c r="E601" s="221"/>
      <c r="F601" s="234"/>
      <c r="G601" s="234"/>
      <c r="H601" s="234"/>
      <c r="I601" s="331"/>
      <c r="J601" s="331"/>
      <c r="K601" s="234"/>
      <c r="L601" s="332"/>
      <c r="M601" s="234"/>
      <c r="N601" s="234"/>
      <c r="O601" s="234"/>
      <c r="P601" s="234"/>
      <c r="Q601" s="234"/>
      <c r="R601" s="234"/>
      <c r="S601" s="234"/>
      <c r="T601" s="234"/>
      <c r="U601" s="388"/>
      <c r="V601" s="388"/>
      <c r="W601" s="388"/>
      <c r="X601" s="331"/>
      <c r="Y601" s="333"/>
      <c r="Z601" s="331"/>
      <c r="AA601" s="234"/>
      <c r="AB601" s="234"/>
      <c r="AC601" s="234"/>
      <c r="AD601" s="234"/>
      <c r="AE601" s="334"/>
      <c r="AF601" s="334"/>
      <c r="AG601" s="334"/>
      <c r="AH601" s="334"/>
      <c r="AI601" s="234"/>
      <c r="AJ601" s="234"/>
      <c r="AK601" s="234"/>
      <c r="AL601" s="234"/>
      <c r="AM601" s="234"/>
      <c r="AN601" s="234"/>
      <c r="AO601" s="234"/>
      <c r="AP601" s="234"/>
      <c r="AQ601" s="234"/>
      <c r="AR601" s="234"/>
      <c r="AS601" s="234"/>
      <c r="AT601" s="234"/>
      <c r="AU601" s="234"/>
      <c r="AV601" s="234"/>
      <c r="AW601" s="234"/>
      <c r="AX601" s="234"/>
      <c r="AY601" s="234"/>
      <c r="AZ601" s="234"/>
      <c r="BA601" s="234"/>
      <c r="BB601" s="234"/>
      <c r="BC601" s="234"/>
      <c r="BD601" s="234"/>
      <c r="BE601" s="234"/>
      <c r="BF601" s="234"/>
      <c r="BG601" s="234"/>
      <c r="BH601" s="234"/>
      <c r="BI601" s="234"/>
      <c r="BJ601" s="234"/>
      <c r="BK601" s="234"/>
      <c r="BL601" s="234"/>
      <c r="BM601" s="234"/>
      <c r="BN601" s="234"/>
      <c r="BO601" s="235"/>
      <c r="BP601" s="234"/>
      <c r="BQ601" s="234"/>
      <c r="BR601" s="234"/>
      <c r="BS601" s="234"/>
      <c r="BT601" s="234"/>
      <c r="BU601" s="234"/>
      <c r="BV601" s="234"/>
      <c r="BW601" s="234"/>
      <c r="BX601" s="1"/>
      <c r="BY601" s="1"/>
      <c r="BZ601" s="1"/>
      <c r="CA601" s="1"/>
      <c r="CB601" s="1"/>
      <c r="CC601" s="1"/>
      <c r="CD601" s="1"/>
      <c r="CE601" s="1"/>
      <c r="CF601" s="1"/>
      <c r="CG601" s="1"/>
    </row>
    <row r="602" spans="1:85" ht="15.75" customHeight="1">
      <c r="A602" s="313"/>
      <c r="B602" s="418"/>
      <c r="E602" s="221"/>
      <c r="F602" s="234"/>
      <c r="G602" s="234"/>
      <c r="H602" s="234"/>
      <c r="I602" s="331"/>
      <c r="J602" s="331"/>
      <c r="K602" s="234"/>
      <c r="L602" s="332"/>
      <c r="M602" s="234"/>
      <c r="N602" s="234"/>
      <c r="O602" s="234"/>
      <c r="P602" s="234"/>
      <c r="Q602" s="234"/>
      <c r="R602" s="234"/>
      <c r="S602" s="234"/>
      <c r="T602" s="234"/>
      <c r="U602" s="388"/>
      <c r="V602" s="388"/>
      <c r="W602" s="388"/>
      <c r="X602" s="331"/>
      <c r="Y602" s="333"/>
      <c r="Z602" s="331"/>
      <c r="AA602" s="234"/>
      <c r="AB602" s="234"/>
      <c r="AC602" s="234"/>
      <c r="AD602" s="234"/>
      <c r="AE602" s="334"/>
      <c r="AF602" s="334"/>
      <c r="AG602" s="334"/>
      <c r="AH602" s="334"/>
      <c r="AI602" s="234"/>
      <c r="AJ602" s="234"/>
      <c r="AK602" s="234"/>
      <c r="AL602" s="234"/>
      <c r="AM602" s="234"/>
      <c r="AN602" s="234"/>
      <c r="AO602" s="234"/>
      <c r="AP602" s="234"/>
      <c r="AQ602" s="234"/>
      <c r="AR602" s="234"/>
      <c r="AS602" s="234"/>
      <c r="AT602" s="234"/>
      <c r="AU602" s="234"/>
      <c r="AV602" s="234"/>
      <c r="AW602" s="234"/>
      <c r="AX602" s="234"/>
      <c r="AY602" s="234"/>
      <c r="AZ602" s="234"/>
      <c r="BA602" s="234"/>
      <c r="BB602" s="234"/>
      <c r="BC602" s="234"/>
      <c r="BD602" s="234"/>
      <c r="BE602" s="234"/>
      <c r="BF602" s="234"/>
      <c r="BG602" s="234"/>
      <c r="BH602" s="234"/>
      <c r="BI602" s="234"/>
      <c r="BJ602" s="234"/>
      <c r="BK602" s="234"/>
      <c r="BL602" s="234"/>
      <c r="BM602" s="234"/>
      <c r="BN602" s="234"/>
      <c r="BO602" s="235"/>
      <c r="BP602" s="234"/>
      <c r="BQ602" s="234"/>
      <c r="BR602" s="234"/>
      <c r="BS602" s="234"/>
      <c r="BT602" s="234"/>
      <c r="BU602" s="234"/>
      <c r="BV602" s="234"/>
      <c r="BW602" s="234"/>
      <c r="BX602" s="1"/>
      <c r="BY602" s="1"/>
      <c r="BZ602" s="1"/>
      <c r="CA602" s="1"/>
      <c r="CB602" s="1"/>
      <c r="CC602" s="1"/>
      <c r="CD602" s="1"/>
      <c r="CE602" s="1"/>
      <c r="CF602" s="1"/>
      <c r="CG602" s="1"/>
    </row>
    <row r="603" spans="1:85" ht="15.75" customHeight="1">
      <c r="A603" s="313"/>
      <c r="B603" s="418"/>
      <c r="E603" s="221"/>
      <c r="F603" s="234"/>
      <c r="G603" s="234"/>
      <c r="H603" s="234"/>
      <c r="I603" s="331"/>
      <c r="J603" s="331"/>
      <c r="K603" s="234"/>
      <c r="L603" s="332"/>
      <c r="M603" s="234"/>
      <c r="N603" s="234"/>
      <c r="O603" s="234"/>
      <c r="P603" s="234"/>
      <c r="Q603" s="234"/>
      <c r="R603" s="234"/>
      <c r="S603" s="234"/>
      <c r="T603" s="234"/>
      <c r="U603" s="388"/>
      <c r="V603" s="388"/>
      <c r="W603" s="388"/>
      <c r="X603" s="331"/>
      <c r="Y603" s="333"/>
      <c r="Z603" s="331"/>
      <c r="AA603" s="234"/>
      <c r="AB603" s="234"/>
      <c r="AC603" s="234"/>
      <c r="AD603" s="234"/>
      <c r="AE603" s="334"/>
      <c r="AF603" s="334"/>
      <c r="AG603" s="334"/>
      <c r="AH603" s="334"/>
      <c r="AI603" s="234"/>
      <c r="AJ603" s="234"/>
      <c r="AK603" s="234"/>
      <c r="AL603" s="234"/>
      <c r="AM603" s="234"/>
      <c r="AN603" s="234"/>
      <c r="AO603" s="234"/>
      <c r="AP603" s="234"/>
      <c r="AQ603" s="234"/>
      <c r="AR603" s="234"/>
      <c r="AS603" s="234"/>
      <c r="AT603" s="234"/>
      <c r="AU603" s="234"/>
      <c r="AV603" s="234"/>
      <c r="AW603" s="234"/>
      <c r="AX603" s="234"/>
      <c r="AY603" s="234"/>
      <c r="AZ603" s="234"/>
      <c r="BA603" s="234"/>
      <c r="BB603" s="234"/>
      <c r="BC603" s="234"/>
      <c r="BD603" s="234"/>
      <c r="BE603" s="234"/>
      <c r="BF603" s="234"/>
      <c r="BG603" s="234"/>
      <c r="BH603" s="234"/>
      <c r="BI603" s="234"/>
      <c r="BJ603" s="234"/>
      <c r="BK603" s="234"/>
      <c r="BL603" s="234"/>
      <c r="BM603" s="234"/>
      <c r="BN603" s="234"/>
      <c r="BO603" s="235"/>
      <c r="BP603" s="234"/>
      <c r="BQ603" s="234"/>
      <c r="BR603" s="234"/>
      <c r="BS603" s="234"/>
      <c r="BT603" s="234"/>
      <c r="BU603" s="234"/>
      <c r="BV603" s="234"/>
      <c r="BW603" s="234"/>
      <c r="BX603" s="1"/>
      <c r="BY603" s="1"/>
      <c r="BZ603" s="1"/>
      <c r="CA603" s="1"/>
      <c r="CB603" s="1"/>
      <c r="CC603" s="1"/>
      <c r="CD603" s="1"/>
      <c r="CE603" s="1"/>
      <c r="CF603" s="1"/>
      <c r="CG603" s="1"/>
    </row>
    <row r="604" spans="1:85" ht="15.75" customHeight="1">
      <c r="A604" s="313"/>
      <c r="B604" s="418"/>
      <c r="C604" s="418"/>
      <c r="D604" s="221"/>
      <c r="E604" s="335"/>
      <c r="F604" s="234"/>
      <c r="G604" s="234"/>
      <c r="H604" s="234"/>
      <c r="I604" s="331"/>
      <c r="J604" s="331"/>
      <c r="K604" s="234"/>
      <c r="L604" s="332"/>
      <c r="M604" s="234"/>
      <c r="N604" s="234"/>
      <c r="O604" s="234"/>
      <c r="P604" s="234"/>
      <c r="Q604" s="234"/>
      <c r="R604" s="234"/>
      <c r="S604" s="234"/>
      <c r="T604" s="234"/>
      <c r="U604" s="388"/>
      <c r="V604" s="388"/>
      <c r="W604" s="388"/>
      <c r="X604" s="331"/>
      <c r="Y604" s="333"/>
      <c r="Z604" s="331"/>
      <c r="AA604" s="234"/>
      <c r="AB604" s="234"/>
      <c r="AC604" s="234"/>
      <c r="AD604" s="234"/>
      <c r="AE604" s="334"/>
      <c r="AF604" s="334"/>
      <c r="AG604" s="334"/>
      <c r="AH604" s="334"/>
      <c r="AI604" s="234"/>
      <c r="AJ604" s="234"/>
      <c r="AK604" s="234"/>
      <c r="AL604" s="234"/>
      <c r="AM604" s="234"/>
      <c r="AN604" s="234"/>
      <c r="AO604" s="234"/>
      <c r="AP604" s="234"/>
      <c r="AQ604" s="234"/>
      <c r="AR604" s="234"/>
      <c r="AS604" s="234"/>
      <c r="AT604" s="234"/>
      <c r="AU604" s="234"/>
      <c r="AV604" s="234"/>
      <c r="AW604" s="234"/>
      <c r="AX604" s="234"/>
      <c r="AY604" s="234"/>
      <c r="AZ604" s="234"/>
      <c r="BA604" s="234"/>
      <c r="BB604" s="234"/>
      <c r="BC604" s="234"/>
      <c r="BD604" s="234"/>
      <c r="BE604" s="234"/>
      <c r="BF604" s="234"/>
      <c r="BG604" s="234"/>
      <c r="BH604" s="234"/>
      <c r="BI604" s="234"/>
      <c r="BJ604" s="234"/>
      <c r="BK604" s="234"/>
      <c r="BL604" s="234"/>
      <c r="BM604" s="234"/>
      <c r="BN604" s="234"/>
      <c r="BO604" s="235"/>
      <c r="BP604" s="234"/>
      <c r="BQ604" s="234"/>
      <c r="BR604" s="234"/>
      <c r="BS604" s="234"/>
      <c r="BT604" s="234"/>
      <c r="BU604" s="234"/>
      <c r="BV604" s="234"/>
      <c r="BW604" s="234"/>
      <c r="BX604" s="1"/>
      <c r="BY604" s="1"/>
      <c r="BZ604" s="1"/>
      <c r="CA604" s="1"/>
      <c r="CB604" s="1"/>
      <c r="CC604" s="1"/>
      <c r="CD604" s="1"/>
      <c r="CE604" s="1"/>
      <c r="CF604" s="1"/>
      <c r="CG604" s="1"/>
    </row>
    <row r="605" spans="1:85" ht="15.75" customHeight="1">
      <c r="A605" s="313"/>
      <c r="B605" s="418"/>
      <c r="C605" s="418"/>
      <c r="D605" s="221"/>
      <c r="E605" s="335"/>
      <c r="F605" s="234"/>
      <c r="G605" s="234"/>
      <c r="H605" s="234"/>
      <c r="I605" s="331"/>
      <c r="J605" s="331"/>
      <c r="K605" s="234"/>
      <c r="L605" s="332"/>
      <c r="M605" s="234"/>
      <c r="N605" s="234"/>
      <c r="O605" s="234"/>
      <c r="P605" s="234"/>
      <c r="Q605" s="234"/>
      <c r="R605" s="234"/>
      <c r="S605" s="234"/>
      <c r="T605" s="234"/>
      <c r="U605" s="388"/>
      <c r="V605" s="388"/>
      <c r="W605" s="388"/>
      <c r="X605" s="331"/>
      <c r="Y605" s="333"/>
      <c r="Z605" s="331"/>
      <c r="AA605" s="234"/>
      <c r="AB605" s="234"/>
      <c r="AC605" s="234"/>
      <c r="AD605" s="234"/>
      <c r="AE605" s="334"/>
      <c r="AF605" s="334"/>
      <c r="AG605" s="334"/>
      <c r="AH605" s="334"/>
      <c r="AI605" s="234"/>
      <c r="AJ605" s="234"/>
      <c r="AK605" s="234"/>
      <c r="AL605" s="234"/>
      <c r="AM605" s="234"/>
      <c r="AN605" s="234"/>
      <c r="AO605" s="234"/>
      <c r="AP605" s="234"/>
      <c r="AQ605" s="234"/>
      <c r="AR605" s="234"/>
      <c r="AS605" s="234"/>
      <c r="AT605" s="234"/>
      <c r="AU605" s="234"/>
      <c r="AV605" s="234"/>
      <c r="AW605" s="234"/>
      <c r="AX605" s="234"/>
      <c r="AY605" s="234"/>
      <c r="AZ605" s="234"/>
      <c r="BA605" s="234"/>
      <c r="BB605" s="234"/>
      <c r="BC605" s="234"/>
      <c r="BD605" s="234"/>
      <c r="BE605" s="234"/>
      <c r="BF605" s="234"/>
      <c r="BG605" s="234"/>
      <c r="BH605" s="234"/>
      <c r="BI605" s="234"/>
      <c r="BJ605" s="234"/>
      <c r="BK605" s="234"/>
      <c r="BL605" s="234"/>
      <c r="BM605" s="234"/>
      <c r="BN605" s="234"/>
      <c r="BO605" s="235"/>
      <c r="BP605" s="234"/>
      <c r="BQ605" s="234"/>
      <c r="BR605" s="234"/>
      <c r="BS605" s="234"/>
      <c r="BT605" s="234"/>
      <c r="BU605" s="234"/>
      <c r="BV605" s="234"/>
      <c r="BW605" s="234"/>
      <c r="BX605" s="1"/>
      <c r="BY605" s="1"/>
      <c r="BZ605" s="1"/>
      <c r="CA605" s="1"/>
      <c r="CB605" s="1"/>
      <c r="CC605" s="1"/>
      <c r="CD605" s="1"/>
      <c r="CE605" s="1"/>
      <c r="CF605" s="1"/>
      <c r="CG605" s="1"/>
    </row>
    <row r="606" spans="1:85" ht="15.75" customHeight="1">
      <c r="A606" s="313"/>
      <c r="B606" s="418"/>
      <c r="C606" s="418"/>
      <c r="D606" s="221"/>
      <c r="E606" s="335"/>
      <c r="F606" s="234"/>
      <c r="G606" s="234"/>
      <c r="H606" s="234"/>
      <c r="I606" s="331"/>
      <c r="J606" s="331"/>
      <c r="K606" s="234"/>
      <c r="L606" s="332"/>
      <c r="M606" s="234"/>
      <c r="N606" s="234"/>
      <c r="O606" s="234"/>
      <c r="P606" s="234"/>
      <c r="Q606" s="234"/>
      <c r="R606" s="234"/>
      <c r="S606" s="234"/>
      <c r="T606" s="234"/>
      <c r="U606" s="388"/>
      <c r="V606" s="388"/>
      <c r="W606" s="388"/>
      <c r="X606" s="331"/>
      <c r="Y606" s="333"/>
      <c r="Z606" s="331"/>
      <c r="AA606" s="234"/>
      <c r="AB606" s="234"/>
      <c r="AC606" s="234"/>
      <c r="AD606" s="234"/>
      <c r="AE606" s="334"/>
      <c r="AF606" s="334"/>
      <c r="AG606" s="334"/>
      <c r="AH606" s="334"/>
      <c r="AI606" s="234"/>
      <c r="AJ606" s="234"/>
      <c r="AK606" s="234"/>
      <c r="AL606" s="234"/>
      <c r="AM606" s="234"/>
      <c r="AN606" s="234"/>
      <c r="AO606" s="234"/>
      <c r="AP606" s="234"/>
      <c r="AQ606" s="234"/>
      <c r="AR606" s="234"/>
      <c r="AS606" s="234"/>
      <c r="AT606" s="234"/>
      <c r="AU606" s="234"/>
      <c r="AV606" s="234"/>
      <c r="AW606" s="234"/>
      <c r="AX606" s="234"/>
      <c r="AY606" s="234"/>
      <c r="AZ606" s="234"/>
      <c r="BA606" s="234"/>
      <c r="BB606" s="234"/>
      <c r="BC606" s="234"/>
      <c r="BD606" s="234"/>
      <c r="BE606" s="234"/>
      <c r="BF606" s="234"/>
      <c r="BG606" s="234"/>
      <c r="BH606" s="234"/>
      <c r="BI606" s="234"/>
      <c r="BJ606" s="234"/>
      <c r="BK606" s="234"/>
      <c r="BL606" s="234"/>
      <c r="BM606" s="234"/>
      <c r="BN606" s="234"/>
      <c r="BO606" s="235"/>
      <c r="BP606" s="234"/>
      <c r="BQ606" s="234"/>
      <c r="BR606" s="234"/>
      <c r="BS606" s="234"/>
      <c r="BT606" s="234"/>
      <c r="BU606" s="234"/>
      <c r="BV606" s="234"/>
      <c r="BW606" s="234"/>
      <c r="BX606" s="1"/>
      <c r="BY606" s="1"/>
      <c r="BZ606" s="1"/>
      <c r="CA606" s="1"/>
      <c r="CB606" s="1"/>
      <c r="CC606" s="1"/>
      <c r="CD606" s="1"/>
      <c r="CE606" s="1"/>
      <c r="CF606" s="1"/>
      <c r="CG606" s="1"/>
    </row>
    <row r="607" spans="1:85" ht="15.75" customHeight="1">
      <c r="A607" s="313"/>
      <c r="B607" s="418"/>
      <c r="C607" s="418"/>
      <c r="D607" s="221"/>
      <c r="E607" s="335"/>
      <c r="F607" s="234"/>
      <c r="G607" s="234"/>
      <c r="H607" s="234"/>
      <c r="I607" s="331"/>
      <c r="J607" s="331"/>
      <c r="K607" s="234"/>
      <c r="L607" s="332"/>
      <c r="M607" s="234"/>
      <c r="N607" s="234"/>
      <c r="O607" s="234"/>
      <c r="P607" s="234"/>
      <c r="Q607" s="234"/>
      <c r="R607" s="234"/>
      <c r="S607" s="234"/>
      <c r="T607" s="234"/>
      <c r="U607" s="388"/>
      <c r="V607" s="388"/>
      <c r="W607" s="388"/>
      <c r="X607" s="331"/>
      <c r="Y607" s="333"/>
      <c r="Z607" s="331"/>
      <c r="AA607" s="234"/>
      <c r="AB607" s="234"/>
      <c r="AC607" s="234"/>
      <c r="AD607" s="234"/>
      <c r="AE607" s="334"/>
      <c r="AF607" s="334"/>
      <c r="AG607" s="334"/>
      <c r="AH607" s="334"/>
      <c r="AI607" s="234"/>
      <c r="AJ607" s="234"/>
      <c r="AK607" s="234"/>
      <c r="AL607" s="234"/>
      <c r="AM607" s="234"/>
      <c r="AN607" s="234"/>
      <c r="AO607" s="234"/>
      <c r="AP607" s="234"/>
      <c r="AQ607" s="234"/>
      <c r="AR607" s="234"/>
      <c r="AS607" s="234"/>
      <c r="AT607" s="234"/>
      <c r="AU607" s="234"/>
      <c r="AV607" s="234"/>
      <c r="AW607" s="234"/>
      <c r="AX607" s="234"/>
      <c r="AY607" s="234"/>
      <c r="AZ607" s="234"/>
      <c r="BA607" s="234"/>
      <c r="BB607" s="234"/>
      <c r="BC607" s="234"/>
      <c r="BD607" s="234"/>
      <c r="BE607" s="234"/>
      <c r="BF607" s="234"/>
      <c r="BG607" s="234"/>
      <c r="BH607" s="234"/>
      <c r="BI607" s="234"/>
      <c r="BJ607" s="234"/>
      <c r="BK607" s="234"/>
      <c r="BL607" s="234"/>
      <c r="BM607" s="234"/>
      <c r="BN607" s="234"/>
      <c r="BO607" s="235"/>
      <c r="BP607" s="234"/>
      <c r="BQ607" s="234"/>
      <c r="BR607" s="234"/>
      <c r="BS607" s="234"/>
      <c r="BT607" s="234"/>
      <c r="BU607" s="234"/>
      <c r="BV607" s="234"/>
      <c r="BW607" s="234"/>
      <c r="BX607" s="1"/>
      <c r="BY607" s="1"/>
      <c r="BZ607" s="1"/>
      <c r="CA607" s="1"/>
      <c r="CB607" s="1"/>
      <c r="CC607" s="1"/>
      <c r="CD607" s="1"/>
      <c r="CE607" s="1"/>
      <c r="CF607" s="1"/>
      <c r="CG607" s="1"/>
    </row>
    <row r="608" spans="1:85" ht="15.75" customHeight="1">
      <c r="A608" s="313"/>
      <c r="B608" s="418"/>
      <c r="C608" s="418"/>
      <c r="D608" s="221"/>
      <c r="E608" s="335"/>
      <c r="F608" s="234"/>
      <c r="G608" s="234"/>
      <c r="H608" s="234"/>
      <c r="I608" s="331"/>
      <c r="J608" s="331"/>
      <c r="K608" s="234"/>
      <c r="L608" s="332"/>
      <c r="M608" s="234"/>
      <c r="N608" s="234"/>
      <c r="O608" s="234"/>
      <c r="P608" s="234"/>
      <c r="Q608" s="234"/>
      <c r="R608" s="234"/>
      <c r="S608" s="234"/>
      <c r="T608" s="234"/>
      <c r="U608" s="388"/>
      <c r="V608" s="388"/>
      <c r="W608" s="388"/>
      <c r="X608" s="331"/>
      <c r="Y608" s="333"/>
      <c r="Z608" s="331"/>
      <c r="AA608" s="234"/>
      <c r="AB608" s="234"/>
      <c r="AC608" s="234"/>
      <c r="AD608" s="234"/>
      <c r="AE608" s="334"/>
      <c r="AF608" s="334"/>
      <c r="AG608" s="334"/>
      <c r="AH608" s="334"/>
      <c r="AI608" s="234"/>
      <c r="AJ608" s="234"/>
      <c r="AK608" s="234"/>
      <c r="AL608" s="234"/>
      <c r="AM608" s="234"/>
      <c r="AN608" s="234"/>
      <c r="AO608" s="234"/>
      <c r="AP608" s="234"/>
      <c r="AQ608" s="234"/>
      <c r="AR608" s="234"/>
      <c r="AS608" s="234"/>
      <c r="AT608" s="234"/>
      <c r="AU608" s="234"/>
      <c r="AV608" s="234"/>
      <c r="AW608" s="234"/>
      <c r="AX608" s="234"/>
      <c r="AY608" s="234"/>
      <c r="AZ608" s="234"/>
      <c r="BA608" s="234"/>
      <c r="BB608" s="234"/>
      <c r="BC608" s="234"/>
      <c r="BD608" s="234"/>
      <c r="BE608" s="234"/>
      <c r="BF608" s="234"/>
      <c r="BG608" s="234"/>
      <c r="BH608" s="234"/>
      <c r="BI608" s="234"/>
      <c r="BJ608" s="234"/>
      <c r="BK608" s="234"/>
      <c r="BL608" s="234"/>
      <c r="BM608" s="234"/>
      <c r="BN608" s="234"/>
      <c r="BO608" s="235"/>
      <c r="BP608" s="234"/>
      <c r="BQ608" s="234"/>
      <c r="BR608" s="234"/>
      <c r="BS608" s="234"/>
      <c r="BT608" s="234"/>
      <c r="BU608" s="234"/>
      <c r="BV608" s="234"/>
      <c r="BW608" s="234"/>
      <c r="BX608" s="1"/>
      <c r="BY608" s="1"/>
      <c r="BZ608" s="1"/>
      <c r="CA608" s="1"/>
      <c r="CB608" s="1"/>
      <c r="CC608" s="1"/>
      <c r="CD608" s="1"/>
      <c r="CE608" s="1"/>
      <c r="CF608" s="1"/>
      <c r="CG608" s="1"/>
    </row>
    <row r="609" spans="1:85" ht="15.75" customHeight="1">
      <c r="A609" s="313"/>
      <c r="B609" s="418"/>
      <c r="C609" s="418"/>
      <c r="D609" s="221"/>
      <c r="E609" s="335"/>
      <c r="F609" s="234"/>
      <c r="G609" s="234"/>
      <c r="H609" s="234"/>
      <c r="I609" s="331"/>
      <c r="J609" s="331"/>
      <c r="K609" s="234"/>
      <c r="L609" s="332"/>
      <c r="M609" s="234"/>
      <c r="N609" s="234"/>
      <c r="O609" s="234"/>
      <c r="P609" s="234"/>
      <c r="Q609" s="234"/>
      <c r="R609" s="234"/>
      <c r="S609" s="234"/>
      <c r="T609" s="234"/>
      <c r="U609" s="388"/>
      <c r="V609" s="388"/>
      <c r="W609" s="388"/>
      <c r="X609" s="331"/>
      <c r="Y609" s="333"/>
      <c r="Z609" s="331"/>
      <c r="AA609" s="234"/>
      <c r="AB609" s="234"/>
      <c r="AC609" s="234"/>
      <c r="AD609" s="234"/>
      <c r="AE609" s="334"/>
      <c r="AF609" s="334"/>
      <c r="AG609" s="334"/>
      <c r="AH609" s="334"/>
      <c r="AI609" s="234"/>
      <c r="AJ609" s="234"/>
      <c r="AK609" s="234"/>
      <c r="AL609" s="234"/>
      <c r="AM609" s="234"/>
      <c r="AN609" s="234"/>
      <c r="AO609" s="234"/>
      <c r="AP609" s="234"/>
      <c r="AQ609" s="234"/>
      <c r="AR609" s="234"/>
      <c r="AS609" s="234"/>
      <c r="AT609" s="234"/>
      <c r="AU609" s="234"/>
      <c r="AV609" s="234"/>
      <c r="AW609" s="234"/>
      <c r="AX609" s="234"/>
      <c r="AY609" s="234"/>
      <c r="AZ609" s="234"/>
      <c r="BA609" s="234"/>
      <c r="BB609" s="234"/>
      <c r="BC609" s="234"/>
      <c r="BD609" s="234"/>
      <c r="BE609" s="234"/>
      <c r="BF609" s="234"/>
      <c r="BG609" s="234"/>
      <c r="BH609" s="234"/>
      <c r="BI609" s="234"/>
      <c r="BJ609" s="234"/>
      <c r="BK609" s="234"/>
      <c r="BL609" s="234"/>
      <c r="BM609" s="234"/>
      <c r="BN609" s="234"/>
      <c r="BO609" s="235"/>
      <c r="BP609" s="234"/>
      <c r="BQ609" s="234"/>
      <c r="BR609" s="234"/>
      <c r="BS609" s="234"/>
      <c r="BT609" s="234"/>
      <c r="BU609" s="234"/>
      <c r="BV609" s="234"/>
      <c r="BW609" s="234"/>
      <c r="BX609" s="1"/>
      <c r="BY609" s="1"/>
      <c r="BZ609" s="1"/>
      <c r="CA609" s="1"/>
      <c r="CB609" s="1"/>
      <c r="CC609" s="1"/>
      <c r="CD609" s="1"/>
      <c r="CE609" s="1"/>
      <c r="CF609" s="1"/>
      <c r="CG609" s="1"/>
    </row>
    <row r="610" spans="1:85" ht="15.75" customHeight="1">
      <c r="A610" s="313"/>
      <c r="B610" s="418"/>
      <c r="C610" s="418"/>
      <c r="D610" s="221"/>
      <c r="E610" s="335"/>
      <c r="F610" s="234"/>
      <c r="G610" s="234"/>
      <c r="H610" s="234"/>
      <c r="I610" s="331"/>
      <c r="J610" s="331"/>
      <c r="K610" s="234"/>
      <c r="L610" s="332"/>
      <c r="M610" s="234"/>
      <c r="N610" s="234"/>
      <c r="O610" s="234"/>
      <c r="P610" s="234"/>
      <c r="Q610" s="234"/>
      <c r="R610" s="234"/>
      <c r="S610" s="234"/>
      <c r="T610" s="234"/>
      <c r="U610" s="388"/>
      <c r="V610" s="388"/>
      <c r="W610" s="388"/>
      <c r="X610" s="331"/>
      <c r="Y610" s="333"/>
      <c r="Z610" s="331"/>
      <c r="AA610" s="234"/>
      <c r="AB610" s="234"/>
      <c r="AC610" s="234"/>
      <c r="AD610" s="234"/>
      <c r="AE610" s="334"/>
      <c r="AF610" s="334"/>
      <c r="AG610" s="334"/>
      <c r="AH610" s="334"/>
      <c r="AI610" s="234"/>
      <c r="AJ610" s="234"/>
      <c r="AK610" s="234"/>
      <c r="AL610" s="234"/>
      <c r="AM610" s="234"/>
      <c r="AN610" s="234"/>
      <c r="AO610" s="234"/>
      <c r="AP610" s="234"/>
      <c r="AQ610" s="234"/>
      <c r="AR610" s="234"/>
      <c r="AS610" s="234"/>
      <c r="AT610" s="234"/>
      <c r="AU610" s="234"/>
      <c r="AV610" s="234"/>
      <c r="AW610" s="234"/>
      <c r="AX610" s="234"/>
      <c r="AY610" s="234"/>
      <c r="AZ610" s="234"/>
      <c r="BA610" s="234"/>
      <c r="BB610" s="234"/>
      <c r="BC610" s="234"/>
      <c r="BD610" s="234"/>
      <c r="BE610" s="234"/>
      <c r="BF610" s="234"/>
      <c r="BG610" s="234"/>
      <c r="BH610" s="234"/>
      <c r="BI610" s="234"/>
      <c r="BJ610" s="234"/>
      <c r="BK610" s="234"/>
      <c r="BL610" s="234"/>
      <c r="BM610" s="234"/>
      <c r="BN610" s="234"/>
      <c r="BO610" s="235"/>
      <c r="BP610" s="234"/>
      <c r="BQ610" s="234"/>
      <c r="BR610" s="234"/>
      <c r="BS610" s="234"/>
      <c r="BT610" s="234"/>
      <c r="BU610" s="234"/>
      <c r="BV610" s="234"/>
      <c r="BW610" s="234"/>
      <c r="BX610" s="1"/>
      <c r="BY610" s="1"/>
      <c r="BZ610" s="1"/>
      <c r="CA610" s="1"/>
      <c r="CB610" s="1"/>
      <c r="CC610" s="1"/>
      <c r="CD610" s="1"/>
      <c r="CE610" s="1"/>
      <c r="CF610" s="1"/>
      <c r="CG610" s="1"/>
    </row>
    <row r="611" spans="1:85" ht="15.75" customHeight="1">
      <c r="A611" s="313"/>
      <c r="B611" s="418"/>
      <c r="C611" s="418"/>
      <c r="D611" s="221"/>
      <c r="E611" s="335"/>
      <c r="F611" s="234"/>
      <c r="G611" s="234"/>
      <c r="H611" s="234"/>
      <c r="I611" s="331"/>
      <c r="J611" s="331"/>
      <c r="K611" s="234"/>
      <c r="L611" s="332"/>
      <c r="M611" s="234"/>
      <c r="N611" s="234"/>
      <c r="O611" s="234"/>
      <c r="P611" s="234"/>
      <c r="Q611" s="234"/>
      <c r="R611" s="234"/>
      <c r="S611" s="234"/>
      <c r="T611" s="234"/>
      <c r="U611" s="388"/>
      <c r="V611" s="388"/>
      <c r="W611" s="388"/>
      <c r="X611" s="331"/>
      <c r="Y611" s="333"/>
      <c r="Z611" s="331"/>
      <c r="AA611" s="234"/>
      <c r="AB611" s="234"/>
      <c r="AC611" s="234"/>
      <c r="AD611" s="234"/>
      <c r="AE611" s="334"/>
      <c r="AF611" s="334"/>
      <c r="AG611" s="334"/>
      <c r="AH611" s="334"/>
      <c r="AI611" s="234"/>
      <c r="AJ611" s="234"/>
      <c r="AK611" s="234"/>
      <c r="AL611" s="234"/>
      <c r="AM611" s="234"/>
      <c r="AN611" s="234"/>
      <c r="AO611" s="234"/>
      <c r="AP611" s="234"/>
      <c r="AQ611" s="234"/>
      <c r="AR611" s="234"/>
      <c r="AS611" s="234"/>
      <c r="AT611" s="234"/>
      <c r="AU611" s="234"/>
      <c r="AV611" s="234"/>
      <c r="AW611" s="234"/>
      <c r="AX611" s="234"/>
      <c r="AY611" s="234"/>
      <c r="AZ611" s="234"/>
      <c r="BA611" s="234"/>
      <c r="BB611" s="234"/>
      <c r="BC611" s="234"/>
      <c r="BD611" s="234"/>
      <c r="BE611" s="234"/>
      <c r="BF611" s="234"/>
      <c r="BG611" s="234"/>
      <c r="BH611" s="234"/>
      <c r="BI611" s="234"/>
      <c r="BJ611" s="234"/>
      <c r="BK611" s="234"/>
      <c r="BL611" s="234"/>
      <c r="BM611" s="234"/>
      <c r="BN611" s="234"/>
      <c r="BO611" s="235"/>
      <c r="BP611" s="234"/>
      <c r="BQ611" s="234"/>
      <c r="BR611" s="234"/>
      <c r="BS611" s="234"/>
      <c r="BT611" s="234"/>
      <c r="BU611" s="234"/>
      <c r="BV611" s="234"/>
      <c r="BW611" s="234"/>
      <c r="BX611" s="1"/>
      <c r="BY611" s="1"/>
      <c r="BZ611" s="1"/>
      <c r="CA611" s="1"/>
      <c r="CB611" s="1"/>
      <c r="CC611" s="1"/>
      <c r="CD611" s="1"/>
      <c r="CE611" s="1"/>
      <c r="CF611" s="1"/>
      <c r="CG611" s="1"/>
    </row>
    <row r="612" spans="1:85" ht="15.75" customHeight="1">
      <c r="A612" s="313"/>
      <c r="B612" s="418"/>
      <c r="C612" s="418"/>
      <c r="D612" s="221"/>
      <c r="E612" s="335"/>
      <c r="F612" s="234"/>
      <c r="G612" s="234"/>
      <c r="H612" s="234"/>
      <c r="I612" s="331"/>
      <c r="J612" s="331"/>
      <c r="K612" s="234"/>
      <c r="L612" s="332"/>
      <c r="M612" s="234"/>
      <c r="N612" s="234"/>
      <c r="O612" s="234"/>
      <c r="P612" s="234"/>
      <c r="Q612" s="234"/>
      <c r="R612" s="234"/>
      <c r="S612" s="234"/>
      <c r="T612" s="234"/>
      <c r="U612" s="388"/>
      <c r="V612" s="388"/>
      <c r="W612" s="388"/>
      <c r="X612" s="331"/>
      <c r="Y612" s="333"/>
      <c r="Z612" s="331"/>
      <c r="AA612" s="234"/>
      <c r="AB612" s="234"/>
      <c r="AC612" s="234"/>
      <c r="AD612" s="234"/>
      <c r="AE612" s="334"/>
      <c r="AF612" s="334"/>
      <c r="AG612" s="334"/>
      <c r="AH612" s="334"/>
      <c r="AI612" s="234"/>
      <c r="AJ612" s="234"/>
      <c r="AK612" s="234"/>
      <c r="AL612" s="234"/>
      <c r="AM612" s="234"/>
      <c r="AN612" s="234"/>
      <c r="AO612" s="234"/>
      <c r="AP612" s="234"/>
      <c r="AQ612" s="234"/>
      <c r="AR612" s="234"/>
      <c r="AS612" s="234"/>
      <c r="AT612" s="234"/>
      <c r="AU612" s="234"/>
      <c r="AV612" s="234"/>
      <c r="AW612" s="234"/>
      <c r="AX612" s="234"/>
      <c r="AY612" s="234"/>
      <c r="AZ612" s="234"/>
      <c r="BA612" s="234"/>
      <c r="BB612" s="234"/>
      <c r="BC612" s="234"/>
      <c r="BD612" s="234"/>
      <c r="BE612" s="234"/>
      <c r="BF612" s="234"/>
      <c r="BG612" s="234"/>
      <c r="BH612" s="234"/>
      <c r="BI612" s="234"/>
      <c r="BJ612" s="234"/>
      <c r="BK612" s="234"/>
      <c r="BL612" s="234"/>
      <c r="BM612" s="234"/>
      <c r="BN612" s="234"/>
      <c r="BO612" s="235"/>
      <c r="BP612" s="234"/>
      <c r="BQ612" s="234"/>
      <c r="BR612" s="234"/>
      <c r="BS612" s="234"/>
      <c r="BT612" s="234"/>
      <c r="BU612" s="234"/>
      <c r="BV612" s="234"/>
      <c r="BW612" s="234"/>
      <c r="BX612" s="1"/>
      <c r="BY612" s="1"/>
      <c r="BZ612" s="1"/>
      <c r="CA612" s="1"/>
      <c r="CB612" s="1"/>
      <c r="CC612" s="1"/>
      <c r="CD612" s="1"/>
      <c r="CE612" s="1"/>
      <c r="CF612" s="1"/>
      <c r="CG612" s="1"/>
    </row>
    <row r="613" spans="1:85" ht="15.75" customHeight="1">
      <c r="A613" s="313"/>
      <c r="B613" s="418"/>
      <c r="C613" s="418"/>
      <c r="D613" s="221"/>
      <c r="E613" s="335"/>
      <c r="F613" s="234"/>
      <c r="G613" s="234"/>
      <c r="H613" s="234"/>
      <c r="I613" s="331"/>
      <c r="J613" s="331"/>
      <c r="K613" s="234"/>
      <c r="L613" s="332"/>
      <c r="M613" s="234"/>
      <c r="N613" s="234"/>
      <c r="O613" s="234"/>
      <c r="P613" s="234"/>
      <c r="Q613" s="234"/>
      <c r="R613" s="234"/>
      <c r="S613" s="234"/>
      <c r="T613" s="234"/>
      <c r="U613" s="388"/>
      <c r="V613" s="388"/>
      <c r="W613" s="388"/>
      <c r="X613" s="331"/>
      <c r="Y613" s="333"/>
      <c r="Z613" s="331"/>
      <c r="AA613" s="234"/>
      <c r="AB613" s="234"/>
      <c r="AC613" s="234"/>
      <c r="AD613" s="234"/>
      <c r="AE613" s="334"/>
      <c r="AF613" s="334"/>
      <c r="AG613" s="334"/>
      <c r="AH613" s="334"/>
      <c r="AI613" s="234"/>
      <c r="AJ613" s="234"/>
      <c r="AK613" s="234"/>
      <c r="AL613" s="234"/>
      <c r="AM613" s="234"/>
      <c r="AN613" s="234"/>
      <c r="AO613" s="234"/>
      <c r="AP613" s="234"/>
      <c r="AQ613" s="234"/>
      <c r="AR613" s="234"/>
      <c r="AS613" s="234"/>
      <c r="AT613" s="234"/>
      <c r="AU613" s="234"/>
      <c r="AV613" s="234"/>
      <c r="AW613" s="234"/>
      <c r="AX613" s="234"/>
      <c r="AY613" s="234"/>
      <c r="AZ613" s="234"/>
      <c r="BA613" s="234"/>
      <c r="BB613" s="234"/>
      <c r="BC613" s="234"/>
      <c r="BD613" s="234"/>
      <c r="BE613" s="234"/>
      <c r="BF613" s="234"/>
      <c r="BG613" s="234"/>
      <c r="BH613" s="234"/>
      <c r="BI613" s="234"/>
      <c r="BJ613" s="234"/>
      <c r="BK613" s="234"/>
      <c r="BL613" s="234"/>
      <c r="BM613" s="234"/>
      <c r="BN613" s="234"/>
      <c r="BO613" s="235"/>
      <c r="BP613" s="234"/>
      <c r="BQ613" s="234"/>
      <c r="BR613" s="234"/>
      <c r="BS613" s="234"/>
      <c r="BT613" s="234"/>
      <c r="BU613" s="234"/>
      <c r="BV613" s="234"/>
      <c r="BW613" s="234"/>
      <c r="BX613" s="1"/>
      <c r="BY613" s="1"/>
      <c r="BZ613" s="1"/>
      <c r="CA613" s="1"/>
      <c r="CB613" s="1"/>
      <c r="CC613" s="1"/>
      <c r="CD613" s="1"/>
      <c r="CE613" s="1"/>
      <c r="CF613" s="1"/>
      <c r="CG613" s="1"/>
    </row>
    <row r="614" spans="1:85" ht="15.75" customHeight="1">
      <c r="A614" s="313"/>
      <c r="B614" s="418"/>
      <c r="C614" s="418"/>
      <c r="D614" s="221"/>
      <c r="E614" s="335"/>
      <c r="F614" s="234"/>
      <c r="G614" s="234"/>
      <c r="H614" s="234"/>
      <c r="I614" s="331"/>
      <c r="J614" s="331"/>
      <c r="K614" s="234"/>
      <c r="L614" s="332"/>
      <c r="M614" s="234"/>
      <c r="N614" s="234"/>
      <c r="O614" s="234"/>
      <c r="P614" s="234"/>
      <c r="Q614" s="234"/>
      <c r="R614" s="234"/>
      <c r="S614" s="234"/>
      <c r="T614" s="234"/>
      <c r="U614" s="388"/>
      <c r="V614" s="388"/>
      <c r="W614" s="388"/>
      <c r="X614" s="331"/>
      <c r="Y614" s="333"/>
      <c r="Z614" s="331"/>
      <c r="AA614" s="234"/>
      <c r="AB614" s="234"/>
      <c r="AC614" s="234"/>
      <c r="AD614" s="234"/>
      <c r="AE614" s="334"/>
      <c r="AF614" s="334"/>
      <c r="AG614" s="334"/>
      <c r="AH614" s="334"/>
      <c r="AI614" s="234"/>
      <c r="AJ614" s="234"/>
      <c r="AK614" s="234"/>
      <c r="AL614" s="234"/>
      <c r="AM614" s="234"/>
      <c r="AN614" s="234"/>
      <c r="AO614" s="234"/>
      <c r="AP614" s="234"/>
      <c r="AQ614" s="234"/>
      <c r="AR614" s="234"/>
      <c r="AS614" s="234"/>
      <c r="AT614" s="234"/>
      <c r="AU614" s="234"/>
      <c r="AV614" s="234"/>
      <c r="AW614" s="234"/>
      <c r="AX614" s="234"/>
      <c r="AY614" s="234"/>
      <c r="AZ614" s="234"/>
      <c r="BA614" s="234"/>
      <c r="BB614" s="234"/>
      <c r="BC614" s="234"/>
      <c r="BD614" s="234"/>
      <c r="BE614" s="234"/>
      <c r="BF614" s="234"/>
      <c r="BG614" s="234"/>
      <c r="BH614" s="234"/>
      <c r="BI614" s="234"/>
      <c r="BJ614" s="234"/>
      <c r="BK614" s="234"/>
      <c r="BL614" s="234"/>
      <c r="BM614" s="234"/>
      <c r="BN614" s="234"/>
      <c r="BO614" s="235"/>
      <c r="BP614" s="234"/>
      <c r="BQ614" s="234"/>
      <c r="BR614" s="234"/>
      <c r="BS614" s="234"/>
      <c r="BT614" s="234"/>
      <c r="BU614" s="234"/>
      <c r="BV614" s="234"/>
      <c r="BW614" s="234"/>
      <c r="BX614" s="1"/>
      <c r="BY614" s="1"/>
      <c r="BZ614" s="1"/>
      <c r="CA614" s="1"/>
      <c r="CB614" s="1"/>
      <c r="CC614" s="1"/>
      <c r="CD614" s="1"/>
      <c r="CE614" s="1"/>
      <c r="CF614" s="1"/>
      <c r="CG614" s="1"/>
    </row>
    <row r="615" spans="1:85" ht="15.75" customHeight="1">
      <c r="A615" s="313"/>
      <c r="B615" s="418"/>
      <c r="C615" s="418"/>
      <c r="D615" s="221"/>
      <c r="E615" s="335"/>
      <c r="F615" s="234"/>
      <c r="G615" s="234"/>
      <c r="H615" s="234"/>
      <c r="I615" s="331"/>
      <c r="J615" s="331"/>
      <c r="K615" s="234"/>
      <c r="L615" s="332"/>
      <c r="M615" s="234"/>
      <c r="N615" s="234"/>
      <c r="O615" s="234"/>
      <c r="P615" s="234"/>
      <c r="Q615" s="234"/>
      <c r="R615" s="234"/>
      <c r="S615" s="234"/>
      <c r="T615" s="234"/>
      <c r="U615" s="388"/>
      <c r="V615" s="388"/>
      <c r="W615" s="388"/>
      <c r="X615" s="331"/>
      <c r="Y615" s="333"/>
      <c r="Z615" s="331"/>
      <c r="AA615" s="234"/>
      <c r="AB615" s="234"/>
      <c r="AC615" s="234"/>
      <c r="AD615" s="234"/>
      <c r="AE615" s="334"/>
      <c r="AF615" s="334"/>
      <c r="AG615" s="334"/>
      <c r="AH615" s="334"/>
      <c r="AI615" s="234"/>
      <c r="AJ615" s="234"/>
      <c r="AK615" s="234"/>
      <c r="AL615" s="234"/>
      <c r="AM615" s="234"/>
      <c r="AN615" s="234"/>
      <c r="AO615" s="234"/>
      <c r="AP615" s="234"/>
      <c r="AQ615" s="234"/>
      <c r="AR615" s="234"/>
      <c r="AS615" s="234"/>
      <c r="AT615" s="234"/>
      <c r="AU615" s="234"/>
      <c r="AV615" s="234"/>
      <c r="AW615" s="234"/>
      <c r="AX615" s="234"/>
      <c r="AY615" s="234"/>
      <c r="AZ615" s="234"/>
      <c r="BA615" s="234"/>
      <c r="BB615" s="234"/>
      <c r="BC615" s="234"/>
      <c r="BD615" s="234"/>
      <c r="BE615" s="234"/>
      <c r="BF615" s="234"/>
      <c r="BG615" s="234"/>
      <c r="BH615" s="234"/>
      <c r="BI615" s="234"/>
      <c r="BJ615" s="234"/>
      <c r="BK615" s="234"/>
      <c r="BL615" s="234"/>
      <c r="BM615" s="234"/>
      <c r="BN615" s="234"/>
      <c r="BO615" s="235"/>
      <c r="BP615" s="234"/>
      <c r="BQ615" s="234"/>
      <c r="BR615" s="234"/>
      <c r="BS615" s="234"/>
      <c r="BT615" s="234"/>
      <c r="BU615" s="234"/>
      <c r="BV615" s="234"/>
      <c r="BW615" s="234"/>
      <c r="BX615" s="1"/>
      <c r="BY615" s="1"/>
      <c r="BZ615" s="1"/>
      <c r="CA615" s="1"/>
      <c r="CB615" s="1"/>
      <c r="CC615" s="1"/>
      <c r="CD615" s="1"/>
      <c r="CE615" s="1"/>
      <c r="CF615" s="1"/>
      <c r="CG615" s="1"/>
    </row>
    <row r="616" spans="1:85" ht="15.75" customHeight="1">
      <c r="A616" s="313"/>
      <c r="B616" s="418"/>
      <c r="C616" s="418"/>
      <c r="D616" s="221"/>
      <c r="E616" s="335"/>
      <c r="F616" s="234"/>
      <c r="G616" s="234"/>
      <c r="H616" s="234"/>
      <c r="I616" s="331"/>
      <c r="J616" s="331"/>
      <c r="K616" s="234"/>
      <c r="L616" s="332"/>
      <c r="M616" s="234"/>
      <c r="N616" s="234"/>
      <c r="O616" s="234"/>
      <c r="P616" s="234"/>
      <c r="Q616" s="234"/>
      <c r="R616" s="234"/>
      <c r="S616" s="234"/>
      <c r="T616" s="234"/>
      <c r="U616" s="388"/>
      <c r="V616" s="388"/>
      <c r="W616" s="388"/>
      <c r="X616" s="331"/>
      <c r="Y616" s="333"/>
      <c r="Z616" s="331"/>
      <c r="AA616" s="234"/>
      <c r="AB616" s="234"/>
      <c r="AC616" s="234"/>
      <c r="AD616" s="234"/>
      <c r="AE616" s="334"/>
      <c r="AF616" s="334"/>
      <c r="AG616" s="334"/>
      <c r="AH616" s="334"/>
      <c r="AI616" s="234"/>
      <c r="AJ616" s="234"/>
      <c r="AK616" s="234"/>
      <c r="AL616" s="234"/>
      <c r="AM616" s="234"/>
      <c r="AN616" s="234"/>
      <c r="AO616" s="234"/>
      <c r="AP616" s="234"/>
      <c r="AQ616" s="234"/>
      <c r="AR616" s="234"/>
      <c r="AS616" s="234"/>
      <c r="AT616" s="234"/>
      <c r="AU616" s="234"/>
      <c r="AV616" s="234"/>
      <c r="AW616" s="234"/>
      <c r="AX616" s="234"/>
      <c r="AY616" s="234"/>
      <c r="AZ616" s="234"/>
      <c r="BA616" s="234"/>
      <c r="BB616" s="234"/>
      <c r="BC616" s="234"/>
      <c r="BD616" s="234"/>
      <c r="BE616" s="234"/>
      <c r="BF616" s="234"/>
      <c r="BG616" s="234"/>
      <c r="BH616" s="234"/>
      <c r="BI616" s="234"/>
      <c r="BJ616" s="234"/>
      <c r="BK616" s="234"/>
      <c r="BL616" s="234"/>
      <c r="BM616" s="234"/>
      <c r="BN616" s="234"/>
      <c r="BO616" s="235"/>
      <c r="BP616" s="234"/>
      <c r="BQ616" s="234"/>
      <c r="BR616" s="234"/>
      <c r="BS616" s="234"/>
      <c r="BT616" s="234"/>
      <c r="BU616" s="234"/>
      <c r="BV616" s="234"/>
      <c r="BW616" s="234"/>
      <c r="BX616" s="1"/>
      <c r="BY616" s="1"/>
      <c r="BZ616" s="1"/>
      <c r="CA616" s="1"/>
      <c r="CB616" s="1"/>
      <c r="CC616" s="1"/>
      <c r="CD616" s="1"/>
      <c r="CE616" s="1"/>
      <c r="CF616" s="1"/>
      <c r="CG616" s="1"/>
    </row>
    <row r="617" spans="1:85" ht="15.75" customHeight="1">
      <c r="A617" s="313"/>
      <c r="B617" s="418"/>
      <c r="C617" s="418"/>
      <c r="D617" s="221"/>
      <c r="E617" s="335"/>
      <c r="F617" s="234"/>
      <c r="G617" s="234"/>
      <c r="H617" s="234"/>
      <c r="I617" s="331"/>
      <c r="J617" s="331"/>
      <c r="K617" s="234"/>
      <c r="L617" s="332"/>
      <c r="M617" s="234"/>
      <c r="N617" s="234"/>
      <c r="O617" s="234"/>
      <c r="P617" s="234"/>
      <c r="Q617" s="234"/>
      <c r="R617" s="234"/>
      <c r="S617" s="234"/>
      <c r="T617" s="234"/>
      <c r="U617" s="388"/>
      <c r="V617" s="388"/>
      <c r="W617" s="388"/>
      <c r="X617" s="331"/>
      <c r="Y617" s="333"/>
      <c r="Z617" s="331"/>
      <c r="AA617" s="234"/>
      <c r="AB617" s="234"/>
      <c r="AC617" s="234"/>
      <c r="AD617" s="234"/>
      <c r="AE617" s="334"/>
      <c r="AF617" s="334"/>
      <c r="AG617" s="334"/>
      <c r="AH617" s="334"/>
      <c r="AI617" s="234"/>
      <c r="AJ617" s="234"/>
      <c r="AK617" s="234"/>
      <c r="AL617" s="234"/>
      <c r="AM617" s="234"/>
      <c r="AN617" s="234"/>
      <c r="AO617" s="234"/>
      <c r="AP617" s="234"/>
      <c r="AQ617" s="234"/>
      <c r="AR617" s="234"/>
      <c r="AS617" s="234"/>
      <c r="AT617" s="234"/>
      <c r="AU617" s="234"/>
      <c r="AV617" s="234"/>
      <c r="AW617" s="234"/>
      <c r="AX617" s="234"/>
      <c r="AY617" s="234"/>
      <c r="AZ617" s="234"/>
      <c r="BA617" s="234"/>
      <c r="BB617" s="234"/>
      <c r="BC617" s="234"/>
      <c r="BD617" s="234"/>
      <c r="BE617" s="234"/>
      <c r="BF617" s="234"/>
      <c r="BG617" s="234"/>
      <c r="BH617" s="234"/>
      <c r="BI617" s="234"/>
      <c r="BJ617" s="234"/>
      <c r="BK617" s="234"/>
      <c r="BL617" s="234"/>
      <c r="BM617" s="234"/>
      <c r="BN617" s="234"/>
      <c r="BO617" s="235"/>
      <c r="BP617" s="234"/>
      <c r="BQ617" s="234"/>
      <c r="BR617" s="234"/>
      <c r="BS617" s="234"/>
      <c r="BT617" s="234"/>
      <c r="BU617" s="234"/>
      <c r="BV617" s="234"/>
      <c r="BW617" s="234"/>
      <c r="BX617" s="1"/>
      <c r="BY617" s="1"/>
      <c r="BZ617" s="1"/>
      <c r="CA617" s="1"/>
      <c r="CB617" s="1"/>
      <c r="CC617" s="1"/>
      <c r="CD617" s="1"/>
      <c r="CE617" s="1"/>
      <c r="CF617" s="1"/>
      <c r="CG617" s="1"/>
    </row>
    <row r="618" spans="1:85" ht="15.75" customHeight="1">
      <c r="A618" s="313"/>
      <c r="B618" s="418"/>
      <c r="C618" s="418"/>
      <c r="D618" s="221"/>
      <c r="E618" s="335"/>
      <c r="F618" s="234"/>
      <c r="G618" s="234"/>
      <c r="H618" s="234"/>
      <c r="I618" s="331"/>
      <c r="J618" s="331"/>
      <c r="K618" s="234"/>
      <c r="L618" s="332"/>
      <c r="M618" s="234"/>
      <c r="N618" s="234"/>
      <c r="O618" s="234"/>
      <c r="P618" s="234"/>
      <c r="Q618" s="234"/>
      <c r="R618" s="234"/>
      <c r="S618" s="234"/>
      <c r="T618" s="234"/>
      <c r="U618" s="388"/>
      <c r="V618" s="388"/>
      <c r="W618" s="388"/>
      <c r="X618" s="331"/>
      <c r="Y618" s="333"/>
      <c r="Z618" s="331"/>
      <c r="AA618" s="234"/>
      <c r="AB618" s="234"/>
      <c r="AC618" s="234"/>
      <c r="AD618" s="234"/>
      <c r="AE618" s="334"/>
      <c r="AF618" s="334"/>
      <c r="AG618" s="334"/>
      <c r="AH618" s="334"/>
      <c r="AI618" s="234"/>
      <c r="AJ618" s="234"/>
      <c r="AK618" s="234"/>
      <c r="AL618" s="234"/>
      <c r="AM618" s="234"/>
      <c r="AN618" s="234"/>
      <c r="AO618" s="234"/>
      <c r="AP618" s="234"/>
      <c r="AQ618" s="234"/>
      <c r="AR618" s="234"/>
      <c r="AS618" s="234"/>
      <c r="AT618" s="234"/>
      <c r="AU618" s="234"/>
      <c r="AV618" s="234"/>
      <c r="AW618" s="234"/>
      <c r="AX618" s="234"/>
      <c r="AY618" s="234"/>
      <c r="AZ618" s="234"/>
      <c r="BA618" s="234"/>
      <c r="BB618" s="234"/>
      <c r="BC618" s="234"/>
      <c r="BD618" s="234"/>
      <c r="BE618" s="234"/>
      <c r="BF618" s="234"/>
      <c r="BG618" s="234"/>
      <c r="BH618" s="234"/>
      <c r="BI618" s="234"/>
      <c r="BJ618" s="234"/>
      <c r="BK618" s="234"/>
      <c r="BL618" s="234"/>
      <c r="BM618" s="234"/>
      <c r="BN618" s="234"/>
      <c r="BO618" s="235"/>
      <c r="BP618" s="234"/>
      <c r="BQ618" s="234"/>
      <c r="BR618" s="234"/>
      <c r="BS618" s="234"/>
      <c r="BT618" s="234"/>
      <c r="BU618" s="234"/>
      <c r="BV618" s="234"/>
      <c r="BW618" s="234"/>
      <c r="BX618" s="1"/>
      <c r="BY618" s="1"/>
      <c r="BZ618" s="1"/>
      <c r="CA618" s="1"/>
      <c r="CB618" s="1"/>
      <c r="CC618" s="1"/>
      <c r="CD618" s="1"/>
      <c r="CE618" s="1"/>
      <c r="CF618" s="1"/>
      <c r="CG618" s="1"/>
    </row>
    <row r="619" spans="1:85" ht="15.75" customHeight="1">
      <c r="A619" s="313"/>
      <c r="B619" s="418"/>
      <c r="C619" s="418"/>
      <c r="D619" s="221"/>
      <c r="E619" s="335"/>
      <c r="F619" s="234"/>
      <c r="G619" s="234"/>
      <c r="H619" s="234"/>
      <c r="I619" s="331"/>
      <c r="J619" s="331"/>
      <c r="K619" s="234"/>
      <c r="L619" s="332"/>
      <c r="M619" s="234"/>
      <c r="N619" s="234"/>
      <c r="O619" s="234"/>
      <c r="P619" s="234"/>
      <c r="Q619" s="234"/>
      <c r="R619" s="234"/>
      <c r="S619" s="234"/>
      <c r="T619" s="234"/>
      <c r="U619" s="388"/>
      <c r="V619" s="388"/>
      <c r="W619" s="388"/>
      <c r="X619" s="331"/>
      <c r="Y619" s="333"/>
      <c r="Z619" s="331"/>
      <c r="AA619" s="234"/>
      <c r="AB619" s="234"/>
      <c r="AC619" s="234"/>
      <c r="AD619" s="234"/>
      <c r="AE619" s="334"/>
      <c r="AF619" s="334"/>
      <c r="AG619" s="334"/>
      <c r="AH619" s="334"/>
      <c r="AI619" s="234"/>
      <c r="AJ619" s="234"/>
      <c r="AK619" s="234"/>
      <c r="AL619" s="234"/>
      <c r="AM619" s="234"/>
      <c r="AN619" s="234"/>
      <c r="AO619" s="234"/>
      <c r="AP619" s="234"/>
      <c r="AQ619" s="234"/>
      <c r="AR619" s="234"/>
      <c r="AS619" s="234"/>
      <c r="AT619" s="234"/>
      <c r="AU619" s="234"/>
      <c r="AV619" s="234"/>
      <c r="AW619" s="234"/>
      <c r="AX619" s="234"/>
      <c r="AY619" s="234"/>
      <c r="AZ619" s="234"/>
      <c r="BA619" s="234"/>
      <c r="BB619" s="234"/>
      <c r="BC619" s="234"/>
      <c r="BD619" s="234"/>
      <c r="BE619" s="234"/>
      <c r="BF619" s="234"/>
      <c r="BG619" s="234"/>
      <c r="BH619" s="234"/>
      <c r="BI619" s="234"/>
      <c r="BJ619" s="234"/>
      <c r="BK619" s="234"/>
      <c r="BL619" s="234"/>
      <c r="BM619" s="234"/>
      <c r="BN619" s="234"/>
      <c r="BO619" s="235"/>
      <c r="BP619" s="234"/>
      <c r="BQ619" s="234"/>
      <c r="BR619" s="234"/>
      <c r="BS619" s="234"/>
      <c r="BT619" s="234"/>
      <c r="BU619" s="234"/>
      <c r="BV619" s="234"/>
      <c r="BW619" s="234"/>
      <c r="BX619" s="1"/>
      <c r="BY619" s="1"/>
      <c r="BZ619" s="1"/>
      <c r="CA619" s="1"/>
      <c r="CB619" s="1"/>
      <c r="CC619" s="1"/>
      <c r="CD619" s="1"/>
      <c r="CE619" s="1"/>
      <c r="CF619" s="1"/>
      <c r="CG619" s="1"/>
    </row>
    <row r="620" spans="1:85" ht="15.75" customHeight="1">
      <c r="A620" s="313"/>
      <c r="B620" s="418"/>
      <c r="C620" s="418"/>
      <c r="D620" s="221"/>
      <c r="E620" s="335"/>
      <c r="F620" s="234"/>
      <c r="G620" s="234"/>
      <c r="H620" s="234"/>
      <c r="I620" s="331"/>
      <c r="J620" s="331"/>
      <c r="K620" s="234"/>
      <c r="L620" s="332"/>
      <c r="M620" s="234"/>
      <c r="N620" s="234"/>
      <c r="O620" s="234"/>
      <c r="P620" s="234"/>
      <c r="Q620" s="234"/>
      <c r="R620" s="234"/>
      <c r="S620" s="234"/>
      <c r="T620" s="234"/>
      <c r="U620" s="388"/>
      <c r="V620" s="388"/>
      <c r="W620" s="388"/>
      <c r="X620" s="331"/>
      <c r="Y620" s="333"/>
      <c r="Z620" s="331"/>
      <c r="AA620" s="234"/>
      <c r="AB620" s="234"/>
      <c r="AC620" s="234"/>
      <c r="AD620" s="234"/>
      <c r="AE620" s="334"/>
      <c r="AF620" s="334"/>
      <c r="AG620" s="334"/>
      <c r="AH620" s="334"/>
      <c r="AI620" s="234"/>
      <c r="AJ620" s="234"/>
      <c r="AK620" s="234"/>
      <c r="AL620" s="234"/>
      <c r="AM620" s="234"/>
      <c r="AN620" s="234"/>
      <c r="AO620" s="234"/>
      <c r="AP620" s="234"/>
      <c r="AQ620" s="234"/>
      <c r="AR620" s="234"/>
      <c r="AS620" s="234"/>
      <c r="AT620" s="234"/>
      <c r="AU620" s="234"/>
      <c r="AV620" s="234"/>
      <c r="AW620" s="234"/>
      <c r="AX620" s="234"/>
      <c r="AY620" s="234"/>
      <c r="AZ620" s="234"/>
      <c r="BA620" s="234"/>
      <c r="BB620" s="234"/>
      <c r="BC620" s="234"/>
      <c r="BD620" s="234"/>
      <c r="BE620" s="234"/>
      <c r="BF620" s="234"/>
      <c r="BG620" s="234"/>
      <c r="BH620" s="234"/>
      <c r="BI620" s="234"/>
      <c r="BJ620" s="234"/>
      <c r="BK620" s="234"/>
      <c r="BL620" s="234"/>
      <c r="BM620" s="234"/>
      <c r="BN620" s="234"/>
      <c r="BO620" s="235"/>
      <c r="BP620" s="234"/>
      <c r="BQ620" s="234"/>
      <c r="BR620" s="234"/>
      <c r="BS620" s="234"/>
      <c r="BT620" s="234"/>
      <c r="BU620" s="234"/>
      <c r="BV620" s="234"/>
      <c r="BW620" s="234"/>
      <c r="BX620" s="1"/>
      <c r="BY620" s="1"/>
      <c r="BZ620" s="1"/>
      <c r="CA620" s="1"/>
      <c r="CB620" s="1"/>
      <c r="CC620" s="1"/>
      <c r="CD620" s="1"/>
      <c r="CE620" s="1"/>
      <c r="CF620" s="1"/>
      <c r="CG620" s="1"/>
    </row>
    <row r="621" spans="1:85" ht="15.75" customHeight="1">
      <c r="A621" s="313"/>
      <c r="B621" s="418"/>
      <c r="C621" s="418"/>
      <c r="D621" s="221"/>
      <c r="E621" s="335"/>
      <c r="F621" s="234"/>
      <c r="G621" s="234"/>
      <c r="H621" s="234"/>
      <c r="I621" s="331"/>
      <c r="J621" s="331"/>
      <c r="K621" s="234"/>
      <c r="L621" s="332"/>
      <c r="M621" s="234"/>
      <c r="N621" s="234"/>
      <c r="O621" s="234"/>
      <c r="P621" s="234"/>
      <c r="Q621" s="234"/>
      <c r="R621" s="234"/>
      <c r="S621" s="234"/>
      <c r="T621" s="234"/>
      <c r="U621" s="388"/>
      <c r="V621" s="388"/>
      <c r="W621" s="388"/>
      <c r="X621" s="331"/>
      <c r="Y621" s="333"/>
      <c r="Z621" s="331"/>
      <c r="AA621" s="234"/>
      <c r="AB621" s="234"/>
      <c r="AC621" s="234"/>
      <c r="AD621" s="234"/>
      <c r="AE621" s="334"/>
      <c r="AF621" s="334"/>
      <c r="AG621" s="334"/>
      <c r="AH621" s="334"/>
      <c r="AI621" s="234"/>
      <c r="AJ621" s="234"/>
      <c r="AK621" s="234"/>
      <c r="AL621" s="234"/>
      <c r="AM621" s="234"/>
      <c r="AN621" s="234"/>
      <c r="AO621" s="234"/>
      <c r="AP621" s="234"/>
      <c r="AQ621" s="234"/>
      <c r="AR621" s="234"/>
      <c r="AS621" s="234"/>
      <c r="AT621" s="234"/>
      <c r="AU621" s="234"/>
      <c r="AV621" s="234"/>
      <c r="AW621" s="234"/>
      <c r="AX621" s="234"/>
      <c r="AY621" s="234"/>
      <c r="AZ621" s="234"/>
      <c r="BA621" s="234"/>
      <c r="BB621" s="234"/>
      <c r="BC621" s="234"/>
      <c r="BD621" s="234"/>
      <c r="BE621" s="234"/>
      <c r="BF621" s="234"/>
      <c r="BG621" s="234"/>
      <c r="BH621" s="234"/>
      <c r="BI621" s="234"/>
      <c r="BJ621" s="234"/>
      <c r="BK621" s="234"/>
      <c r="BL621" s="234"/>
      <c r="BM621" s="234"/>
      <c r="BN621" s="234"/>
      <c r="BO621" s="235"/>
      <c r="BP621" s="234"/>
      <c r="BQ621" s="234"/>
      <c r="BR621" s="234"/>
      <c r="BS621" s="234"/>
      <c r="BT621" s="234"/>
      <c r="BU621" s="234"/>
      <c r="BV621" s="234"/>
      <c r="BW621" s="234"/>
      <c r="BX621" s="1"/>
      <c r="BY621" s="1"/>
      <c r="BZ621" s="1"/>
      <c r="CA621" s="1"/>
      <c r="CB621" s="1"/>
      <c r="CC621" s="1"/>
      <c r="CD621" s="1"/>
      <c r="CE621" s="1"/>
      <c r="CF621" s="1"/>
      <c r="CG621" s="1"/>
    </row>
    <row r="622" spans="1:85" ht="15.75" customHeight="1">
      <c r="A622" s="313"/>
      <c r="B622" s="418"/>
      <c r="C622" s="418"/>
      <c r="D622" s="221"/>
      <c r="E622" s="335"/>
      <c r="F622" s="234"/>
      <c r="G622" s="234"/>
      <c r="H622" s="234"/>
      <c r="I622" s="331"/>
      <c r="J622" s="331"/>
      <c r="K622" s="234"/>
      <c r="L622" s="332"/>
      <c r="M622" s="234"/>
      <c r="N622" s="234"/>
      <c r="O622" s="234"/>
      <c r="P622" s="234"/>
      <c r="Q622" s="234"/>
      <c r="R622" s="234"/>
      <c r="S622" s="234"/>
      <c r="T622" s="234"/>
      <c r="U622" s="388"/>
      <c r="V622" s="388"/>
      <c r="W622" s="388"/>
      <c r="X622" s="331"/>
      <c r="Y622" s="333"/>
      <c r="Z622" s="331"/>
      <c r="AA622" s="234"/>
      <c r="AB622" s="234"/>
      <c r="AC622" s="234"/>
      <c r="AD622" s="234"/>
      <c r="AE622" s="334"/>
      <c r="AF622" s="334"/>
      <c r="AG622" s="334"/>
      <c r="AH622" s="334"/>
      <c r="AI622" s="234"/>
      <c r="AJ622" s="234"/>
      <c r="AK622" s="234"/>
      <c r="AL622" s="234"/>
      <c r="AM622" s="234"/>
      <c r="AN622" s="234"/>
      <c r="AO622" s="234"/>
      <c r="AP622" s="234"/>
      <c r="AQ622" s="234"/>
      <c r="AR622" s="234"/>
      <c r="AS622" s="234"/>
      <c r="AT622" s="234"/>
      <c r="AU622" s="234"/>
      <c r="AV622" s="234"/>
      <c r="AW622" s="234"/>
      <c r="AX622" s="234"/>
      <c r="AY622" s="234"/>
      <c r="AZ622" s="234"/>
      <c r="BA622" s="234"/>
      <c r="BB622" s="234"/>
      <c r="BC622" s="234"/>
      <c r="BD622" s="234"/>
      <c r="BE622" s="234"/>
      <c r="BF622" s="234"/>
      <c r="BG622" s="234"/>
      <c r="BH622" s="234"/>
      <c r="BI622" s="234"/>
      <c r="BJ622" s="234"/>
      <c r="BK622" s="234"/>
      <c r="BL622" s="234"/>
      <c r="BM622" s="234"/>
      <c r="BN622" s="234"/>
      <c r="BO622" s="235"/>
      <c r="BP622" s="234"/>
      <c r="BQ622" s="234"/>
      <c r="BR622" s="234"/>
      <c r="BS622" s="234"/>
      <c r="BT622" s="234"/>
      <c r="BU622" s="234"/>
      <c r="BV622" s="234"/>
      <c r="BW622" s="234"/>
      <c r="BX622" s="1"/>
      <c r="BY622" s="1"/>
      <c r="BZ622" s="1"/>
      <c r="CA622" s="1"/>
      <c r="CB622" s="1"/>
      <c r="CC622" s="1"/>
      <c r="CD622" s="1"/>
      <c r="CE622" s="1"/>
      <c r="CF622" s="1"/>
      <c r="CG622" s="1"/>
    </row>
    <row r="623" spans="1:85" ht="15.75" customHeight="1">
      <c r="A623" s="313"/>
      <c r="B623" s="418"/>
      <c r="C623" s="418"/>
      <c r="D623" s="221"/>
      <c r="E623" s="335"/>
      <c r="F623" s="234"/>
      <c r="G623" s="234"/>
      <c r="H623" s="234"/>
      <c r="I623" s="331"/>
      <c r="J623" s="331"/>
      <c r="K623" s="234"/>
      <c r="L623" s="332"/>
      <c r="M623" s="234"/>
      <c r="N623" s="234"/>
      <c r="O623" s="234"/>
      <c r="P623" s="234"/>
      <c r="Q623" s="234"/>
      <c r="R623" s="234"/>
      <c r="S623" s="234"/>
      <c r="T623" s="234"/>
      <c r="U623" s="388"/>
      <c r="V623" s="388"/>
      <c r="W623" s="388"/>
      <c r="X623" s="331"/>
      <c r="Y623" s="333"/>
      <c r="Z623" s="331"/>
      <c r="AA623" s="234"/>
      <c r="AB623" s="234"/>
      <c r="AC623" s="234"/>
      <c r="AD623" s="234"/>
      <c r="AE623" s="334"/>
      <c r="AF623" s="334"/>
      <c r="AG623" s="334"/>
      <c r="AH623" s="334"/>
      <c r="AI623" s="234"/>
      <c r="AJ623" s="234"/>
      <c r="AK623" s="234"/>
      <c r="AL623" s="234"/>
      <c r="AM623" s="234"/>
      <c r="AN623" s="234"/>
      <c r="AO623" s="234"/>
      <c r="AP623" s="234"/>
      <c r="AQ623" s="234"/>
      <c r="AR623" s="234"/>
      <c r="AS623" s="234"/>
      <c r="AT623" s="234"/>
      <c r="AU623" s="234"/>
      <c r="AV623" s="234"/>
      <c r="AW623" s="234"/>
      <c r="AX623" s="234"/>
      <c r="AY623" s="234"/>
      <c r="AZ623" s="234"/>
      <c r="BA623" s="234"/>
      <c r="BB623" s="234"/>
      <c r="BC623" s="234"/>
      <c r="BD623" s="234"/>
      <c r="BE623" s="234"/>
      <c r="BF623" s="234"/>
      <c r="BG623" s="234"/>
      <c r="BH623" s="234"/>
      <c r="BI623" s="234"/>
      <c r="BJ623" s="234"/>
      <c r="BK623" s="234"/>
      <c r="BL623" s="234"/>
      <c r="BM623" s="234"/>
      <c r="BN623" s="234"/>
      <c r="BO623" s="235"/>
      <c r="BP623" s="234"/>
      <c r="BQ623" s="234"/>
      <c r="BR623" s="234"/>
      <c r="BS623" s="234"/>
      <c r="BT623" s="234"/>
      <c r="BU623" s="234"/>
      <c r="BV623" s="234"/>
      <c r="BW623" s="234"/>
      <c r="BX623" s="1"/>
      <c r="BY623" s="1"/>
      <c r="BZ623" s="1"/>
      <c r="CA623" s="1"/>
      <c r="CB623" s="1"/>
      <c r="CC623" s="1"/>
      <c r="CD623" s="1"/>
      <c r="CE623" s="1"/>
      <c r="CF623" s="1"/>
      <c r="CG623" s="1"/>
    </row>
    <row r="624" spans="1:85" ht="15.75" customHeight="1">
      <c r="A624" s="313"/>
      <c r="B624" s="418"/>
      <c r="C624" s="418"/>
      <c r="D624" s="221"/>
      <c r="E624" s="335"/>
      <c r="F624" s="234"/>
      <c r="G624" s="234"/>
      <c r="H624" s="234"/>
      <c r="I624" s="331"/>
      <c r="J624" s="331"/>
      <c r="K624" s="234"/>
      <c r="L624" s="332"/>
      <c r="M624" s="234"/>
      <c r="N624" s="234"/>
      <c r="O624" s="234"/>
      <c r="P624" s="234"/>
      <c r="Q624" s="234"/>
      <c r="R624" s="234"/>
      <c r="S624" s="234"/>
      <c r="T624" s="234"/>
      <c r="U624" s="388"/>
      <c r="V624" s="388"/>
      <c r="W624" s="388"/>
      <c r="X624" s="331"/>
      <c r="Y624" s="333"/>
      <c r="Z624" s="331"/>
      <c r="AA624" s="234"/>
      <c r="AB624" s="234"/>
      <c r="AC624" s="234"/>
      <c r="AD624" s="234"/>
      <c r="AE624" s="334"/>
      <c r="AF624" s="334"/>
      <c r="AG624" s="334"/>
      <c r="AH624" s="334"/>
      <c r="AI624" s="234"/>
      <c r="AJ624" s="234"/>
      <c r="AK624" s="234"/>
      <c r="AL624" s="234"/>
      <c r="AM624" s="234"/>
      <c r="AN624" s="234"/>
      <c r="AO624" s="234"/>
      <c r="AP624" s="234"/>
      <c r="AQ624" s="234"/>
      <c r="AR624" s="234"/>
      <c r="AS624" s="234"/>
      <c r="AT624" s="234"/>
      <c r="AU624" s="234"/>
      <c r="AV624" s="234"/>
      <c r="AW624" s="234"/>
      <c r="AX624" s="234"/>
      <c r="AY624" s="234"/>
      <c r="AZ624" s="234"/>
      <c r="BA624" s="234"/>
      <c r="BB624" s="234"/>
      <c r="BC624" s="234"/>
      <c r="BD624" s="234"/>
      <c r="BE624" s="234"/>
      <c r="BF624" s="234"/>
      <c r="BG624" s="234"/>
      <c r="BH624" s="234"/>
      <c r="BI624" s="234"/>
      <c r="BJ624" s="234"/>
      <c r="BK624" s="234"/>
      <c r="BL624" s="234"/>
      <c r="BM624" s="234"/>
      <c r="BN624" s="234"/>
      <c r="BO624" s="235"/>
      <c r="BP624" s="234"/>
      <c r="BQ624" s="234"/>
      <c r="BR624" s="234"/>
      <c r="BS624" s="234"/>
      <c r="BT624" s="234"/>
      <c r="BU624" s="234"/>
      <c r="BV624" s="234"/>
      <c r="BW624" s="234"/>
      <c r="BX624" s="1"/>
      <c r="BY624" s="1"/>
      <c r="BZ624" s="1"/>
      <c r="CA624" s="1"/>
      <c r="CB624" s="1"/>
      <c r="CC624" s="1"/>
      <c r="CD624" s="1"/>
      <c r="CE624" s="1"/>
      <c r="CF624" s="1"/>
      <c r="CG624" s="1"/>
    </row>
    <row r="625" spans="1:85" ht="15.75" customHeight="1">
      <c r="A625" s="313"/>
      <c r="B625" s="418"/>
      <c r="C625" s="418"/>
      <c r="D625" s="221"/>
      <c r="E625" s="335"/>
      <c r="F625" s="234"/>
      <c r="G625" s="234"/>
      <c r="H625" s="234"/>
      <c r="I625" s="331"/>
      <c r="J625" s="331"/>
      <c r="K625" s="234"/>
      <c r="L625" s="332"/>
      <c r="M625" s="234"/>
      <c r="N625" s="234"/>
      <c r="O625" s="234"/>
      <c r="P625" s="234"/>
      <c r="Q625" s="234"/>
      <c r="R625" s="234"/>
      <c r="S625" s="234"/>
      <c r="T625" s="234"/>
      <c r="U625" s="388"/>
      <c r="V625" s="388"/>
      <c r="W625" s="388"/>
      <c r="X625" s="331"/>
      <c r="Y625" s="333"/>
      <c r="Z625" s="331"/>
      <c r="AA625" s="234"/>
      <c r="AB625" s="234"/>
      <c r="AC625" s="234"/>
      <c r="AD625" s="234"/>
      <c r="AE625" s="334"/>
      <c r="AF625" s="334"/>
      <c r="AG625" s="334"/>
      <c r="AH625" s="334"/>
      <c r="AI625" s="234"/>
      <c r="AJ625" s="234"/>
      <c r="AK625" s="234"/>
      <c r="AL625" s="234"/>
      <c r="AM625" s="234"/>
      <c r="AN625" s="234"/>
      <c r="AO625" s="234"/>
      <c r="AP625" s="234"/>
      <c r="AQ625" s="234"/>
      <c r="AR625" s="234"/>
      <c r="AS625" s="234"/>
      <c r="AT625" s="234"/>
      <c r="AU625" s="234"/>
      <c r="AV625" s="234"/>
      <c r="AW625" s="234"/>
      <c r="AX625" s="234"/>
      <c r="AY625" s="234"/>
      <c r="AZ625" s="234"/>
      <c r="BA625" s="234"/>
      <c r="BB625" s="234"/>
      <c r="BC625" s="234"/>
      <c r="BD625" s="234"/>
      <c r="BE625" s="234"/>
      <c r="BF625" s="234"/>
      <c r="BG625" s="234"/>
      <c r="BH625" s="234"/>
      <c r="BI625" s="234"/>
      <c r="BJ625" s="234"/>
      <c r="BK625" s="234"/>
      <c r="BL625" s="234"/>
      <c r="BM625" s="234"/>
      <c r="BN625" s="234"/>
      <c r="BO625" s="235"/>
      <c r="BP625" s="234"/>
      <c r="BQ625" s="234"/>
      <c r="BR625" s="234"/>
      <c r="BS625" s="234"/>
      <c r="BT625" s="234"/>
      <c r="BU625" s="234"/>
      <c r="BV625" s="234"/>
      <c r="BW625" s="234"/>
      <c r="BX625" s="1"/>
      <c r="BY625" s="1"/>
      <c r="BZ625" s="1"/>
      <c r="CA625" s="1"/>
      <c r="CB625" s="1"/>
      <c r="CC625" s="1"/>
      <c r="CD625" s="1"/>
      <c r="CE625" s="1"/>
      <c r="CF625" s="1"/>
      <c r="CG625" s="1"/>
    </row>
    <row r="626" spans="1:85" ht="15.75" customHeight="1">
      <c r="A626" s="313"/>
      <c r="B626" s="418"/>
      <c r="C626" s="418"/>
      <c r="D626" s="221"/>
      <c r="E626" s="335"/>
      <c r="F626" s="234"/>
      <c r="G626" s="234"/>
      <c r="H626" s="234"/>
      <c r="I626" s="331"/>
      <c r="J626" s="331"/>
      <c r="K626" s="234"/>
      <c r="L626" s="332"/>
      <c r="M626" s="234"/>
      <c r="N626" s="234"/>
      <c r="O626" s="234"/>
      <c r="P626" s="234"/>
      <c r="Q626" s="234"/>
      <c r="R626" s="234"/>
      <c r="S626" s="234"/>
      <c r="T626" s="234"/>
      <c r="U626" s="388"/>
      <c r="V626" s="388"/>
      <c r="W626" s="388"/>
      <c r="X626" s="331"/>
      <c r="Y626" s="333"/>
      <c r="Z626" s="331"/>
      <c r="AA626" s="234"/>
      <c r="AB626" s="234"/>
      <c r="AC626" s="234"/>
      <c r="AD626" s="234"/>
      <c r="AE626" s="334"/>
      <c r="AF626" s="334"/>
      <c r="AG626" s="334"/>
      <c r="AH626" s="334"/>
      <c r="AI626" s="234"/>
      <c r="AJ626" s="234"/>
      <c r="AK626" s="234"/>
      <c r="AL626" s="234"/>
      <c r="AM626" s="234"/>
      <c r="AN626" s="234"/>
      <c r="AO626" s="234"/>
      <c r="AP626" s="234"/>
      <c r="AQ626" s="234"/>
      <c r="AR626" s="234"/>
      <c r="AS626" s="234"/>
      <c r="AT626" s="234"/>
      <c r="AU626" s="234"/>
      <c r="AV626" s="234"/>
      <c r="AW626" s="234"/>
      <c r="AX626" s="234"/>
      <c r="AY626" s="234"/>
      <c r="AZ626" s="234"/>
      <c r="BA626" s="234"/>
      <c r="BB626" s="234"/>
      <c r="BC626" s="234"/>
      <c r="BD626" s="234"/>
      <c r="BE626" s="234"/>
      <c r="BF626" s="234"/>
      <c r="BG626" s="234"/>
      <c r="BH626" s="234"/>
      <c r="BI626" s="234"/>
      <c r="BJ626" s="234"/>
      <c r="BK626" s="234"/>
      <c r="BL626" s="234"/>
      <c r="BM626" s="234"/>
      <c r="BN626" s="234"/>
      <c r="BO626" s="235"/>
      <c r="BP626" s="234"/>
      <c r="BQ626" s="234"/>
      <c r="BR626" s="234"/>
      <c r="BS626" s="234"/>
      <c r="BT626" s="234"/>
      <c r="BU626" s="234"/>
      <c r="BV626" s="234"/>
      <c r="BW626" s="234"/>
      <c r="BX626" s="1"/>
      <c r="BY626" s="1"/>
      <c r="BZ626" s="1"/>
      <c r="CA626" s="1"/>
      <c r="CB626" s="1"/>
      <c r="CC626" s="1"/>
      <c r="CD626" s="1"/>
      <c r="CE626" s="1"/>
      <c r="CF626" s="1"/>
      <c r="CG626" s="1"/>
    </row>
    <row r="627" spans="1:85" ht="15.75" customHeight="1">
      <c r="A627" s="313"/>
      <c r="B627" s="418"/>
      <c r="C627" s="418"/>
      <c r="D627" s="221"/>
      <c r="E627" s="335"/>
      <c r="F627" s="234"/>
      <c r="G627" s="234"/>
      <c r="H627" s="234"/>
      <c r="I627" s="331"/>
      <c r="J627" s="331"/>
      <c r="K627" s="234"/>
      <c r="L627" s="332"/>
      <c r="M627" s="234"/>
      <c r="N627" s="234"/>
      <c r="O627" s="234"/>
      <c r="P627" s="234"/>
      <c r="Q627" s="234"/>
      <c r="R627" s="234"/>
      <c r="S627" s="234"/>
      <c r="T627" s="234"/>
      <c r="U627" s="388"/>
      <c r="V627" s="388"/>
      <c r="W627" s="388"/>
      <c r="X627" s="331"/>
      <c r="Y627" s="333"/>
      <c r="Z627" s="331"/>
      <c r="AA627" s="234"/>
      <c r="AB627" s="234"/>
      <c r="AC627" s="234"/>
      <c r="AD627" s="234"/>
      <c r="AE627" s="334"/>
      <c r="AF627" s="334"/>
      <c r="AG627" s="334"/>
      <c r="AH627" s="334"/>
      <c r="AI627" s="234"/>
      <c r="AJ627" s="234"/>
      <c r="AK627" s="234"/>
      <c r="AL627" s="234"/>
      <c r="AM627" s="234"/>
      <c r="AN627" s="234"/>
      <c r="AO627" s="234"/>
      <c r="AP627" s="234"/>
      <c r="AQ627" s="234"/>
      <c r="AR627" s="234"/>
      <c r="AS627" s="234"/>
      <c r="AT627" s="234"/>
      <c r="AU627" s="234"/>
      <c r="AV627" s="234"/>
      <c r="AW627" s="234"/>
      <c r="AX627" s="234"/>
      <c r="AY627" s="234"/>
      <c r="AZ627" s="234"/>
      <c r="BA627" s="234"/>
      <c r="BB627" s="234"/>
      <c r="BC627" s="234"/>
      <c r="BD627" s="234"/>
      <c r="BE627" s="234"/>
      <c r="BF627" s="234"/>
      <c r="BG627" s="234"/>
      <c r="BH627" s="234"/>
      <c r="BI627" s="234"/>
      <c r="BJ627" s="234"/>
      <c r="BK627" s="234"/>
      <c r="BL627" s="234"/>
      <c r="BM627" s="234"/>
      <c r="BN627" s="234"/>
      <c r="BO627" s="235"/>
      <c r="BP627" s="234"/>
      <c r="BQ627" s="234"/>
      <c r="BR627" s="234"/>
      <c r="BS627" s="234"/>
      <c r="BT627" s="234"/>
      <c r="BU627" s="234"/>
      <c r="BV627" s="234"/>
      <c r="BW627" s="234"/>
      <c r="BX627" s="1"/>
      <c r="BY627" s="1"/>
      <c r="BZ627" s="1"/>
      <c r="CA627" s="1"/>
      <c r="CB627" s="1"/>
      <c r="CC627" s="1"/>
      <c r="CD627" s="1"/>
      <c r="CE627" s="1"/>
      <c r="CF627" s="1"/>
      <c r="CG627" s="1"/>
    </row>
    <row r="628" spans="1:85" ht="15.75" customHeight="1">
      <c r="A628" s="313"/>
      <c r="B628" s="418"/>
      <c r="C628" s="418"/>
      <c r="D628" s="221"/>
      <c r="E628" s="335"/>
      <c r="F628" s="234"/>
      <c r="G628" s="234"/>
      <c r="H628" s="234"/>
      <c r="I628" s="331"/>
      <c r="J628" s="331"/>
      <c r="K628" s="234"/>
      <c r="L628" s="332"/>
      <c r="M628" s="234"/>
      <c r="N628" s="234"/>
      <c r="O628" s="234"/>
      <c r="P628" s="234"/>
      <c r="Q628" s="234"/>
      <c r="R628" s="234"/>
      <c r="S628" s="234"/>
      <c r="T628" s="234"/>
      <c r="U628" s="388"/>
      <c r="V628" s="388"/>
      <c r="W628" s="388"/>
      <c r="X628" s="331"/>
      <c r="Y628" s="333"/>
      <c r="Z628" s="331"/>
      <c r="AA628" s="234"/>
      <c r="AB628" s="234"/>
      <c r="AC628" s="234"/>
      <c r="AD628" s="234"/>
      <c r="AE628" s="334"/>
      <c r="AF628" s="334"/>
      <c r="AG628" s="334"/>
      <c r="AH628" s="334"/>
      <c r="AI628" s="234"/>
      <c r="AJ628" s="234"/>
      <c r="AK628" s="234"/>
      <c r="AL628" s="234"/>
      <c r="AM628" s="234"/>
      <c r="AN628" s="234"/>
      <c r="AO628" s="234"/>
      <c r="AP628" s="234"/>
      <c r="AQ628" s="234"/>
      <c r="AR628" s="234"/>
      <c r="AS628" s="234"/>
      <c r="AT628" s="234"/>
      <c r="AU628" s="234"/>
      <c r="AV628" s="234"/>
      <c r="AW628" s="234"/>
      <c r="AX628" s="234"/>
      <c r="AY628" s="234"/>
      <c r="AZ628" s="234"/>
      <c r="BA628" s="234"/>
      <c r="BB628" s="234"/>
      <c r="BC628" s="234"/>
      <c r="BD628" s="234"/>
      <c r="BE628" s="234"/>
      <c r="BF628" s="234"/>
      <c r="BG628" s="234"/>
      <c r="BH628" s="234"/>
      <c r="BI628" s="234"/>
      <c r="BJ628" s="234"/>
      <c r="BK628" s="234"/>
      <c r="BL628" s="234"/>
      <c r="BM628" s="234"/>
      <c r="BN628" s="234"/>
      <c r="BO628" s="235"/>
      <c r="BP628" s="234"/>
      <c r="BQ628" s="234"/>
      <c r="BR628" s="234"/>
      <c r="BS628" s="234"/>
      <c r="BT628" s="234"/>
      <c r="BU628" s="234"/>
      <c r="BV628" s="234"/>
      <c r="BW628" s="234"/>
      <c r="BX628" s="1"/>
      <c r="BY628" s="1"/>
      <c r="BZ628" s="1"/>
      <c r="CA628" s="1"/>
      <c r="CB628" s="1"/>
      <c r="CC628" s="1"/>
      <c r="CD628" s="1"/>
      <c r="CE628" s="1"/>
      <c r="CF628" s="1"/>
      <c r="CG628" s="1"/>
    </row>
    <row r="629" spans="1:85" ht="15.75" customHeight="1">
      <c r="A629" s="313"/>
      <c r="B629" s="418"/>
      <c r="C629" s="418"/>
      <c r="D629" s="221"/>
      <c r="E629" s="335"/>
      <c r="F629" s="234"/>
      <c r="G629" s="234"/>
      <c r="H629" s="234"/>
      <c r="I629" s="331"/>
      <c r="J629" s="331"/>
      <c r="K629" s="234"/>
      <c r="L629" s="332"/>
      <c r="M629" s="234"/>
      <c r="N629" s="234"/>
      <c r="O629" s="234"/>
      <c r="P629" s="234"/>
      <c r="Q629" s="234"/>
      <c r="R629" s="234"/>
      <c r="S629" s="234"/>
      <c r="T629" s="234"/>
      <c r="U629" s="388"/>
      <c r="V629" s="388"/>
      <c r="W629" s="388"/>
      <c r="X629" s="331"/>
      <c r="Y629" s="333"/>
      <c r="Z629" s="331"/>
      <c r="AA629" s="234"/>
      <c r="AB629" s="234"/>
      <c r="AC629" s="234"/>
      <c r="AD629" s="234"/>
      <c r="AE629" s="334"/>
      <c r="AF629" s="334"/>
      <c r="AG629" s="334"/>
      <c r="AH629" s="334"/>
      <c r="AI629" s="234"/>
      <c r="AJ629" s="234"/>
      <c r="AK629" s="234"/>
      <c r="AL629" s="234"/>
      <c r="AM629" s="234"/>
      <c r="AN629" s="234"/>
      <c r="AO629" s="234"/>
      <c r="AP629" s="234"/>
      <c r="AQ629" s="234"/>
      <c r="AR629" s="234"/>
      <c r="AS629" s="234"/>
      <c r="AT629" s="234"/>
      <c r="AU629" s="234"/>
      <c r="AV629" s="234"/>
      <c r="AW629" s="234"/>
      <c r="AX629" s="234"/>
      <c r="AY629" s="234"/>
      <c r="AZ629" s="234"/>
      <c r="BA629" s="234"/>
      <c r="BB629" s="234"/>
      <c r="BC629" s="234"/>
      <c r="BD629" s="234"/>
      <c r="BE629" s="234"/>
      <c r="BF629" s="234"/>
      <c r="BG629" s="234"/>
      <c r="BH629" s="234"/>
      <c r="BI629" s="234"/>
      <c r="BJ629" s="234"/>
      <c r="BK629" s="234"/>
      <c r="BL629" s="234"/>
      <c r="BM629" s="234"/>
      <c r="BN629" s="234"/>
      <c r="BO629" s="235"/>
      <c r="BP629" s="234"/>
      <c r="BQ629" s="234"/>
      <c r="BR629" s="234"/>
      <c r="BS629" s="234"/>
      <c r="BT629" s="234"/>
      <c r="BU629" s="234"/>
      <c r="BV629" s="234"/>
      <c r="BW629" s="234"/>
      <c r="BX629" s="1"/>
      <c r="BY629" s="1"/>
      <c r="BZ629" s="1"/>
      <c r="CA629" s="1"/>
      <c r="CB629" s="1"/>
      <c r="CC629" s="1"/>
      <c r="CD629" s="1"/>
      <c r="CE629" s="1"/>
      <c r="CF629" s="1"/>
      <c r="CG629" s="1"/>
    </row>
    <row r="630" spans="1:85" ht="15.75" customHeight="1">
      <c r="A630" s="313"/>
      <c r="B630" s="418"/>
      <c r="C630" s="418"/>
      <c r="D630" s="221"/>
      <c r="E630" s="335"/>
      <c r="F630" s="234"/>
      <c r="G630" s="234"/>
      <c r="H630" s="234"/>
      <c r="I630" s="331"/>
      <c r="J630" s="331"/>
      <c r="K630" s="234"/>
      <c r="L630" s="332"/>
      <c r="M630" s="234"/>
      <c r="N630" s="234"/>
      <c r="O630" s="234"/>
      <c r="P630" s="234"/>
      <c r="Q630" s="234"/>
      <c r="R630" s="234"/>
      <c r="S630" s="234"/>
      <c r="T630" s="234"/>
      <c r="U630" s="388"/>
      <c r="V630" s="388"/>
      <c r="W630" s="388"/>
      <c r="X630" s="331"/>
      <c r="Y630" s="333"/>
      <c r="Z630" s="331"/>
      <c r="AA630" s="234"/>
      <c r="AB630" s="234"/>
      <c r="AC630" s="234"/>
      <c r="AD630" s="234"/>
      <c r="AE630" s="334"/>
      <c r="AF630" s="334"/>
      <c r="AG630" s="334"/>
      <c r="AH630" s="334"/>
      <c r="AI630" s="234"/>
      <c r="AJ630" s="234"/>
      <c r="AK630" s="234"/>
      <c r="AL630" s="234"/>
      <c r="AM630" s="234"/>
      <c r="AN630" s="234"/>
      <c r="AO630" s="234"/>
      <c r="AP630" s="234"/>
      <c r="AQ630" s="234"/>
      <c r="AR630" s="234"/>
      <c r="AS630" s="234"/>
      <c r="AT630" s="234"/>
      <c r="AU630" s="234"/>
      <c r="AV630" s="234"/>
      <c r="AW630" s="234"/>
      <c r="AX630" s="234"/>
      <c r="AY630" s="234"/>
      <c r="AZ630" s="234"/>
      <c r="BA630" s="234"/>
      <c r="BB630" s="234"/>
      <c r="BC630" s="234"/>
      <c r="BD630" s="234"/>
      <c r="BE630" s="234"/>
      <c r="BF630" s="234"/>
      <c r="BG630" s="234"/>
      <c r="BH630" s="234"/>
      <c r="BI630" s="234"/>
      <c r="BJ630" s="234"/>
      <c r="BK630" s="234"/>
      <c r="BL630" s="234"/>
      <c r="BM630" s="234"/>
      <c r="BN630" s="234"/>
      <c r="BO630" s="235"/>
      <c r="BP630" s="234"/>
      <c r="BQ630" s="234"/>
      <c r="BR630" s="234"/>
      <c r="BS630" s="234"/>
      <c r="BT630" s="234"/>
      <c r="BU630" s="234"/>
      <c r="BV630" s="234"/>
      <c r="BW630" s="234"/>
      <c r="BX630" s="1"/>
      <c r="BY630" s="1"/>
      <c r="BZ630" s="1"/>
      <c r="CA630" s="1"/>
      <c r="CB630" s="1"/>
      <c r="CC630" s="1"/>
      <c r="CD630" s="1"/>
      <c r="CE630" s="1"/>
      <c r="CF630" s="1"/>
      <c r="CG630" s="1"/>
    </row>
    <row r="631" spans="1:85" ht="15.75" customHeight="1">
      <c r="A631" s="313"/>
      <c r="B631" s="418"/>
      <c r="C631" s="418"/>
      <c r="D631" s="221"/>
      <c r="E631" s="335"/>
      <c r="F631" s="234"/>
      <c r="G631" s="234"/>
      <c r="H631" s="234"/>
      <c r="I631" s="331"/>
      <c r="J631" s="331"/>
      <c r="K631" s="234"/>
      <c r="L631" s="332"/>
      <c r="M631" s="234"/>
      <c r="N631" s="234"/>
      <c r="O631" s="234"/>
      <c r="P631" s="234"/>
      <c r="Q631" s="234"/>
      <c r="R631" s="234"/>
      <c r="S631" s="234"/>
      <c r="T631" s="234"/>
      <c r="U631" s="388"/>
      <c r="V631" s="388"/>
      <c r="W631" s="388"/>
      <c r="X631" s="331"/>
      <c r="Y631" s="333"/>
      <c r="Z631" s="331"/>
      <c r="AA631" s="234"/>
      <c r="AB631" s="234"/>
      <c r="AC631" s="234"/>
      <c r="AD631" s="234"/>
      <c r="AE631" s="334"/>
      <c r="AF631" s="334"/>
      <c r="AG631" s="334"/>
      <c r="AH631" s="334"/>
      <c r="AI631" s="234"/>
      <c r="AJ631" s="234"/>
      <c r="AK631" s="234"/>
      <c r="AL631" s="234"/>
      <c r="AM631" s="234"/>
      <c r="AN631" s="234"/>
      <c r="AO631" s="234"/>
      <c r="AP631" s="234"/>
      <c r="AQ631" s="234"/>
      <c r="AR631" s="234"/>
      <c r="AS631" s="234"/>
      <c r="AT631" s="234"/>
      <c r="AU631" s="234"/>
      <c r="AV631" s="234"/>
      <c r="AW631" s="234"/>
      <c r="AX631" s="234"/>
      <c r="AY631" s="234"/>
      <c r="AZ631" s="234"/>
      <c r="BA631" s="234"/>
      <c r="BB631" s="234"/>
      <c r="BC631" s="234"/>
      <c r="BD631" s="234"/>
      <c r="BE631" s="234"/>
      <c r="BF631" s="234"/>
      <c r="BG631" s="234"/>
      <c r="BH631" s="234"/>
      <c r="BI631" s="234"/>
      <c r="BJ631" s="234"/>
      <c r="BK631" s="234"/>
      <c r="BL631" s="234"/>
      <c r="BM631" s="234"/>
      <c r="BN631" s="234"/>
      <c r="BO631" s="235"/>
      <c r="BP631" s="234"/>
      <c r="BQ631" s="234"/>
      <c r="BR631" s="234"/>
      <c r="BS631" s="234"/>
      <c r="BT631" s="234"/>
      <c r="BU631" s="234"/>
      <c r="BV631" s="234"/>
      <c r="BW631" s="234"/>
      <c r="BX631" s="1"/>
      <c r="BY631" s="1"/>
      <c r="BZ631" s="1"/>
      <c r="CA631" s="1"/>
      <c r="CB631" s="1"/>
      <c r="CC631" s="1"/>
      <c r="CD631" s="1"/>
      <c r="CE631" s="1"/>
      <c r="CF631" s="1"/>
      <c r="CG631" s="1"/>
    </row>
    <row r="632" spans="1:85" ht="15.75" customHeight="1">
      <c r="A632" s="313"/>
      <c r="B632" s="418"/>
      <c r="C632" s="418"/>
      <c r="D632" s="221"/>
      <c r="E632" s="335"/>
      <c r="F632" s="234"/>
      <c r="G632" s="234"/>
      <c r="H632" s="234"/>
      <c r="I632" s="331"/>
      <c r="J632" s="331"/>
      <c r="K632" s="234"/>
      <c r="L632" s="332"/>
      <c r="M632" s="234"/>
      <c r="N632" s="234"/>
      <c r="O632" s="234"/>
      <c r="P632" s="234"/>
      <c r="Q632" s="234"/>
      <c r="R632" s="234"/>
      <c r="S632" s="234"/>
      <c r="T632" s="234"/>
      <c r="U632" s="388"/>
      <c r="V632" s="388"/>
      <c r="W632" s="388"/>
      <c r="X632" s="331"/>
      <c r="Y632" s="333"/>
      <c r="Z632" s="331"/>
      <c r="AA632" s="234"/>
      <c r="AB632" s="234"/>
      <c r="AC632" s="234"/>
      <c r="AD632" s="234"/>
      <c r="AE632" s="334"/>
      <c r="AF632" s="334"/>
      <c r="AG632" s="334"/>
      <c r="AH632" s="334"/>
      <c r="AI632" s="234"/>
      <c r="AJ632" s="234"/>
      <c r="AK632" s="234"/>
      <c r="AL632" s="234"/>
      <c r="AM632" s="234"/>
      <c r="AN632" s="234"/>
      <c r="AO632" s="234"/>
      <c r="AP632" s="234"/>
      <c r="AQ632" s="234"/>
      <c r="AR632" s="234"/>
      <c r="AS632" s="234"/>
      <c r="AT632" s="234"/>
      <c r="AU632" s="234"/>
      <c r="AV632" s="234"/>
      <c r="AW632" s="234"/>
      <c r="AX632" s="234"/>
      <c r="AY632" s="234"/>
      <c r="AZ632" s="234"/>
      <c r="BA632" s="234"/>
      <c r="BB632" s="234"/>
      <c r="BC632" s="234"/>
      <c r="BD632" s="234"/>
      <c r="BE632" s="234"/>
      <c r="BF632" s="234"/>
      <c r="BG632" s="234"/>
      <c r="BH632" s="234"/>
      <c r="BI632" s="234"/>
      <c r="BJ632" s="234"/>
      <c r="BK632" s="234"/>
      <c r="BL632" s="234"/>
      <c r="BM632" s="234"/>
      <c r="BN632" s="234"/>
      <c r="BO632" s="235"/>
      <c r="BP632" s="234"/>
      <c r="BQ632" s="234"/>
      <c r="BR632" s="234"/>
      <c r="BS632" s="234"/>
      <c r="BT632" s="234"/>
      <c r="BU632" s="234"/>
      <c r="BV632" s="234"/>
      <c r="BW632" s="234"/>
      <c r="BX632" s="1"/>
      <c r="BY632" s="1"/>
      <c r="BZ632" s="1"/>
      <c r="CA632" s="1"/>
      <c r="CB632" s="1"/>
      <c r="CC632" s="1"/>
      <c r="CD632" s="1"/>
      <c r="CE632" s="1"/>
      <c r="CF632" s="1"/>
      <c r="CG632" s="1"/>
    </row>
    <row r="633" spans="1:85" ht="15.75" customHeight="1">
      <c r="A633" s="313"/>
      <c r="B633" s="418"/>
      <c r="C633" s="418"/>
      <c r="D633" s="221"/>
      <c r="E633" s="335"/>
      <c r="F633" s="234"/>
      <c r="G633" s="234"/>
      <c r="H633" s="234"/>
      <c r="I633" s="331"/>
      <c r="J633" s="331"/>
      <c r="K633" s="234"/>
      <c r="L633" s="332"/>
      <c r="M633" s="234"/>
      <c r="N633" s="234"/>
      <c r="O633" s="234"/>
      <c r="P633" s="234"/>
      <c r="Q633" s="234"/>
      <c r="R633" s="234"/>
      <c r="S633" s="234"/>
      <c r="T633" s="234"/>
      <c r="U633" s="388"/>
      <c r="V633" s="388"/>
      <c r="W633" s="388"/>
      <c r="X633" s="331"/>
      <c r="Y633" s="333"/>
      <c r="Z633" s="331"/>
      <c r="AA633" s="234"/>
      <c r="AB633" s="234"/>
      <c r="AC633" s="234"/>
      <c r="AD633" s="234"/>
      <c r="AE633" s="334"/>
      <c r="AF633" s="334"/>
      <c r="AG633" s="334"/>
      <c r="AH633" s="334"/>
      <c r="AI633" s="234"/>
      <c r="AJ633" s="234"/>
      <c r="AK633" s="234"/>
      <c r="AL633" s="234"/>
      <c r="AM633" s="234"/>
      <c r="AN633" s="234"/>
      <c r="AO633" s="234"/>
      <c r="AP633" s="234"/>
      <c r="AQ633" s="234"/>
      <c r="AR633" s="234"/>
      <c r="AS633" s="234"/>
      <c r="AT633" s="234"/>
      <c r="AU633" s="234"/>
      <c r="AV633" s="234"/>
      <c r="AW633" s="234"/>
      <c r="AX633" s="234"/>
      <c r="AY633" s="234"/>
      <c r="AZ633" s="234"/>
      <c r="BA633" s="234"/>
      <c r="BB633" s="234"/>
      <c r="BC633" s="234"/>
      <c r="BD633" s="234"/>
      <c r="BE633" s="234"/>
      <c r="BF633" s="234"/>
      <c r="BG633" s="234"/>
      <c r="BH633" s="234"/>
      <c r="BI633" s="234"/>
      <c r="BJ633" s="234"/>
      <c r="BK633" s="234"/>
      <c r="BL633" s="234"/>
      <c r="BM633" s="234"/>
      <c r="BN633" s="234"/>
      <c r="BO633" s="235"/>
      <c r="BP633" s="234"/>
      <c r="BQ633" s="234"/>
      <c r="BR633" s="234"/>
      <c r="BS633" s="234"/>
      <c r="BT633" s="234"/>
      <c r="BU633" s="234"/>
      <c r="BV633" s="234"/>
      <c r="BW633" s="234"/>
      <c r="BX633" s="1"/>
      <c r="BY633" s="1"/>
      <c r="BZ633" s="1"/>
      <c r="CA633" s="1"/>
      <c r="CB633" s="1"/>
      <c r="CC633" s="1"/>
      <c r="CD633" s="1"/>
      <c r="CE633" s="1"/>
      <c r="CF633" s="1"/>
      <c r="CG633" s="1"/>
    </row>
    <row r="634" spans="1:85" ht="15.75" customHeight="1">
      <c r="A634" s="313"/>
      <c r="B634" s="418"/>
      <c r="C634" s="418"/>
      <c r="D634" s="221"/>
      <c r="E634" s="335"/>
      <c r="F634" s="234"/>
      <c r="G634" s="234"/>
      <c r="H634" s="234"/>
      <c r="I634" s="331"/>
      <c r="J634" s="331"/>
      <c r="K634" s="234"/>
      <c r="L634" s="332"/>
      <c r="M634" s="234"/>
      <c r="N634" s="234"/>
      <c r="O634" s="234"/>
      <c r="P634" s="234"/>
      <c r="Q634" s="234"/>
      <c r="R634" s="234"/>
      <c r="S634" s="234"/>
      <c r="T634" s="234"/>
      <c r="U634" s="388"/>
      <c r="V634" s="388"/>
      <c r="W634" s="388"/>
      <c r="X634" s="331"/>
      <c r="Y634" s="333"/>
      <c r="Z634" s="331"/>
      <c r="AA634" s="234"/>
      <c r="AB634" s="234"/>
      <c r="AC634" s="234"/>
      <c r="AD634" s="234"/>
      <c r="AE634" s="334"/>
      <c r="AF634" s="334"/>
      <c r="AG634" s="334"/>
      <c r="AH634" s="334"/>
      <c r="AI634" s="234"/>
      <c r="AJ634" s="234"/>
      <c r="AK634" s="234"/>
      <c r="AL634" s="234"/>
      <c r="AM634" s="234"/>
      <c r="AN634" s="234"/>
      <c r="AO634" s="234"/>
      <c r="AP634" s="234"/>
      <c r="AQ634" s="234"/>
      <c r="AR634" s="234"/>
      <c r="AS634" s="234"/>
      <c r="AT634" s="234"/>
      <c r="AU634" s="234"/>
      <c r="AV634" s="234"/>
      <c r="AW634" s="234"/>
      <c r="AX634" s="234"/>
      <c r="AY634" s="234"/>
      <c r="AZ634" s="234"/>
      <c r="BA634" s="234"/>
      <c r="BB634" s="234"/>
      <c r="BC634" s="234"/>
      <c r="BD634" s="234"/>
      <c r="BE634" s="234"/>
      <c r="BF634" s="234"/>
      <c r="BG634" s="234"/>
      <c r="BH634" s="234"/>
      <c r="BI634" s="234"/>
      <c r="BJ634" s="234"/>
      <c r="BK634" s="234"/>
      <c r="BL634" s="234"/>
      <c r="BM634" s="234"/>
      <c r="BN634" s="234"/>
      <c r="BO634" s="235"/>
      <c r="BP634" s="234"/>
      <c r="BQ634" s="234"/>
      <c r="BR634" s="234"/>
      <c r="BS634" s="234"/>
      <c r="BT634" s="234"/>
      <c r="BU634" s="234"/>
      <c r="BV634" s="234"/>
      <c r="BW634" s="234"/>
      <c r="BX634" s="1"/>
      <c r="BY634" s="1"/>
      <c r="BZ634" s="1"/>
      <c r="CA634" s="1"/>
      <c r="CB634" s="1"/>
      <c r="CC634" s="1"/>
      <c r="CD634" s="1"/>
      <c r="CE634" s="1"/>
      <c r="CF634" s="1"/>
      <c r="CG634" s="1"/>
    </row>
    <row r="635" spans="1:85" ht="15.75" customHeight="1">
      <c r="A635" s="313"/>
      <c r="B635" s="418"/>
      <c r="C635" s="418"/>
      <c r="D635" s="221"/>
      <c r="E635" s="335"/>
      <c r="F635" s="234"/>
      <c r="G635" s="234"/>
      <c r="H635" s="234"/>
      <c r="I635" s="331"/>
      <c r="J635" s="331"/>
      <c r="K635" s="234"/>
      <c r="L635" s="332"/>
      <c r="M635" s="234"/>
      <c r="N635" s="234"/>
      <c r="O635" s="234"/>
      <c r="P635" s="234"/>
      <c r="Q635" s="234"/>
      <c r="R635" s="234"/>
      <c r="S635" s="234"/>
      <c r="T635" s="234"/>
      <c r="U635" s="388"/>
      <c r="V635" s="388"/>
      <c r="W635" s="388"/>
      <c r="X635" s="331"/>
      <c r="Y635" s="333"/>
      <c r="Z635" s="331"/>
      <c r="AA635" s="234"/>
      <c r="AB635" s="234"/>
      <c r="AC635" s="234"/>
      <c r="AD635" s="234"/>
      <c r="AE635" s="334"/>
      <c r="AF635" s="334"/>
      <c r="AG635" s="334"/>
      <c r="AH635" s="334"/>
      <c r="AI635" s="234"/>
      <c r="AJ635" s="234"/>
      <c r="AK635" s="234"/>
      <c r="AL635" s="234"/>
      <c r="AM635" s="234"/>
      <c r="AN635" s="234"/>
      <c r="AO635" s="234"/>
      <c r="AP635" s="234"/>
      <c r="AQ635" s="234"/>
      <c r="AR635" s="234"/>
      <c r="AS635" s="234"/>
      <c r="AT635" s="234"/>
      <c r="AU635" s="234"/>
      <c r="AV635" s="234"/>
      <c r="AW635" s="234"/>
      <c r="AX635" s="234"/>
      <c r="AY635" s="234"/>
      <c r="AZ635" s="234"/>
      <c r="BA635" s="234"/>
      <c r="BB635" s="234"/>
      <c r="BC635" s="234"/>
      <c r="BD635" s="234"/>
      <c r="BE635" s="234"/>
      <c r="BF635" s="234"/>
      <c r="BG635" s="234"/>
      <c r="BH635" s="234"/>
      <c r="BI635" s="234"/>
      <c r="BJ635" s="234"/>
      <c r="BK635" s="234"/>
      <c r="BL635" s="234"/>
      <c r="BM635" s="234"/>
      <c r="BN635" s="234"/>
      <c r="BO635" s="235"/>
      <c r="BP635" s="234"/>
      <c r="BQ635" s="234"/>
      <c r="BR635" s="234"/>
      <c r="BS635" s="234"/>
      <c r="BT635" s="234"/>
      <c r="BU635" s="234"/>
      <c r="BV635" s="234"/>
      <c r="BW635" s="234"/>
      <c r="BX635" s="1"/>
      <c r="BY635" s="1"/>
      <c r="BZ635" s="1"/>
      <c r="CA635" s="1"/>
      <c r="CB635" s="1"/>
      <c r="CC635" s="1"/>
      <c r="CD635" s="1"/>
      <c r="CE635" s="1"/>
      <c r="CF635" s="1"/>
      <c r="CG635" s="1"/>
    </row>
    <row r="636" spans="1:85" ht="15.75" customHeight="1">
      <c r="A636" s="313"/>
      <c r="B636" s="418"/>
      <c r="C636" s="418"/>
      <c r="D636" s="221"/>
      <c r="E636" s="335"/>
      <c r="F636" s="234"/>
      <c r="G636" s="234"/>
      <c r="H636" s="234"/>
      <c r="I636" s="331"/>
      <c r="J636" s="331"/>
      <c r="K636" s="234"/>
      <c r="L636" s="332"/>
      <c r="M636" s="234"/>
      <c r="N636" s="234"/>
      <c r="O636" s="234"/>
      <c r="P636" s="234"/>
      <c r="Q636" s="234"/>
      <c r="R636" s="234"/>
      <c r="S636" s="234"/>
      <c r="T636" s="234"/>
      <c r="U636" s="388"/>
      <c r="V636" s="388"/>
      <c r="W636" s="388"/>
      <c r="X636" s="331"/>
      <c r="Y636" s="333"/>
      <c r="Z636" s="331"/>
      <c r="AA636" s="234"/>
      <c r="AB636" s="234"/>
      <c r="AC636" s="234"/>
      <c r="AD636" s="234"/>
      <c r="AE636" s="334"/>
      <c r="AF636" s="334"/>
      <c r="AG636" s="334"/>
      <c r="AH636" s="334"/>
      <c r="AI636" s="234"/>
      <c r="AJ636" s="234"/>
      <c r="AK636" s="234"/>
      <c r="AL636" s="234"/>
      <c r="AM636" s="234"/>
      <c r="AN636" s="234"/>
      <c r="AO636" s="234"/>
      <c r="AP636" s="234"/>
      <c r="AQ636" s="234"/>
      <c r="AR636" s="234"/>
      <c r="AS636" s="234"/>
      <c r="AT636" s="234"/>
      <c r="AU636" s="234"/>
      <c r="AV636" s="234"/>
      <c r="AW636" s="234"/>
      <c r="AX636" s="234"/>
      <c r="AY636" s="234"/>
      <c r="AZ636" s="234"/>
      <c r="BA636" s="234"/>
      <c r="BB636" s="234"/>
      <c r="BC636" s="234"/>
      <c r="BD636" s="234"/>
      <c r="BE636" s="234"/>
      <c r="BF636" s="234"/>
      <c r="BG636" s="234"/>
      <c r="BH636" s="234"/>
      <c r="BI636" s="234"/>
      <c r="BJ636" s="234"/>
      <c r="BK636" s="234"/>
      <c r="BL636" s="234"/>
      <c r="BM636" s="234"/>
      <c r="BN636" s="234"/>
      <c r="BO636" s="235"/>
      <c r="BP636" s="234"/>
      <c r="BQ636" s="234"/>
      <c r="BR636" s="234"/>
      <c r="BS636" s="234"/>
      <c r="BT636" s="234"/>
      <c r="BU636" s="234"/>
      <c r="BV636" s="234"/>
      <c r="BW636" s="234"/>
      <c r="BX636" s="1"/>
      <c r="BY636" s="1"/>
      <c r="BZ636" s="1"/>
      <c r="CA636" s="1"/>
      <c r="CB636" s="1"/>
      <c r="CC636" s="1"/>
      <c r="CD636" s="1"/>
      <c r="CE636" s="1"/>
      <c r="CF636" s="1"/>
      <c r="CG636" s="1"/>
    </row>
    <row r="637" spans="1:85" ht="15.75" customHeight="1">
      <c r="A637" s="313"/>
      <c r="B637" s="418"/>
      <c r="C637" s="418"/>
      <c r="D637" s="221"/>
      <c r="E637" s="335"/>
      <c r="F637" s="234"/>
      <c r="G637" s="234"/>
      <c r="H637" s="234"/>
      <c r="I637" s="331"/>
      <c r="J637" s="331"/>
      <c r="K637" s="234"/>
      <c r="L637" s="332"/>
      <c r="M637" s="234"/>
      <c r="N637" s="234"/>
      <c r="O637" s="234"/>
      <c r="P637" s="234"/>
      <c r="Q637" s="234"/>
      <c r="R637" s="234"/>
      <c r="S637" s="234"/>
      <c r="T637" s="234"/>
      <c r="U637" s="388"/>
      <c r="V637" s="388"/>
      <c r="W637" s="388"/>
      <c r="X637" s="331"/>
      <c r="Y637" s="333"/>
      <c r="Z637" s="331"/>
      <c r="AA637" s="234"/>
      <c r="AB637" s="234"/>
      <c r="AC637" s="234"/>
      <c r="AD637" s="234"/>
      <c r="AE637" s="334"/>
      <c r="AF637" s="334"/>
      <c r="AG637" s="334"/>
      <c r="AH637" s="334"/>
      <c r="AI637" s="234"/>
      <c r="AJ637" s="234"/>
      <c r="AK637" s="234"/>
      <c r="AL637" s="234"/>
      <c r="AM637" s="234"/>
      <c r="AN637" s="234"/>
      <c r="AO637" s="234"/>
      <c r="AP637" s="234"/>
      <c r="AQ637" s="234"/>
      <c r="AR637" s="234"/>
      <c r="AS637" s="234"/>
      <c r="AT637" s="234"/>
      <c r="AU637" s="234"/>
      <c r="AV637" s="234"/>
      <c r="AW637" s="234"/>
      <c r="AX637" s="234"/>
      <c r="AY637" s="234"/>
      <c r="AZ637" s="234"/>
      <c r="BA637" s="234"/>
      <c r="BB637" s="234"/>
      <c r="BC637" s="234"/>
      <c r="BD637" s="234"/>
      <c r="BE637" s="234"/>
      <c r="BF637" s="234"/>
      <c r="BG637" s="234"/>
      <c r="BH637" s="234"/>
      <c r="BI637" s="234"/>
      <c r="BJ637" s="234"/>
      <c r="BK637" s="234"/>
      <c r="BL637" s="234"/>
      <c r="BM637" s="234"/>
      <c r="BN637" s="234"/>
      <c r="BO637" s="235"/>
      <c r="BP637" s="234"/>
      <c r="BQ637" s="234"/>
      <c r="BR637" s="234"/>
      <c r="BS637" s="234"/>
      <c r="BT637" s="234"/>
      <c r="BU637" s="234"/>
      <c r="BV637" s="234"/>
      <c r="BW637" s="234"/>
      <c r="BX637" s="1"/>
      <c r="BY637" s="1"/>
      <c r="BZ637" s="1"/>
      <c r="CA637" s="1"/>
      <c r="CB637" s="1"/>
      <c r="CC637" s="1"/>
      <c r="CD637" s="1"/>
      <c r="CE637" s="1"/>
      <c r="CF637" s="1"/>
      <c r="CG637" s="1"/>
    </row>
    <row r="638" spans="1:85" ht="15.75" customHeight="1">
      <c r="A638" s="313"/>
      <c r="B638" s="418"/>
      <c r="C638" s="418"/>
      <c r="D638" s="221"/>
      <c r="E638" s="335"/>
      <c r="F638" s="234"/>
      <c r="G638" s="234"/>
      <c r="H638" s="234"/>
      <c r="I638" s="331"/>
      <c r="J638" s="331"/>
      <c r="K638" s="234"/>
      <c r="L638" s="332"/>
      <c r="M638" s="234"/>
      <c r="N638" s="234"/>
      <c r="O638" s="234"/>
      <c r="P638" s="234"/>
      <c r="Q638" s="234"/>
      <c r="R638" s="234"/>
      <c r="S638" s="234"/>
      <c r="T638" s="234"/>
      <c r="U638" s="388"/>
      <c r="V638" s="388"/>
      <c r="W638" s="388"/>
      <c r="X638" s="331"/>
      <c r="Y638" s="333"/>
      <c r="Z638" s="331"/>
      <c r="AA638" s="234"/>
      <c r="AB638" s="234"/>
      <c r="AC638" s="234"/>
      <c r="AD638" s="234"/>
      <c r="AE638" s="334"/>
      <c r="AF638" s="334"/>
      <c r="AG638" s="334"/>
      <c r="AH638" s="334"/>
      <c r="AI638" s="234"/>
      <c r="AJ638" s="234"/>
      <c r="AK638" s="234"/>
      <c r="AL638" s="234"/>
      <c r="AM638" s="234"/>
      <c r="AN638" s="234"/>
      <c r="AO638" s="234"/>
      <c r="AP638" s="234"/>
      <c r="AQ638" s="234"/>
      <c r="AR638" s="234"/>
      <c r="AS638" s="234"/>
      <c r="AT638" s="234"/>
      <c r="AU638" s="234"/>
      <c r="AV638" s="234"/>
      <c r="AW638" s="234"/>
      <c r="AX638" s="234"/>
      <c r="AY638" s="234"/>
      <c r="AZ638" s="234"/>
      <c r="BA638" s="234"/>
      <c r="BB638" s="234"/>
      <c r="BC638" s="234"/>
      <c r="BD638" s="234"/>
      <c r="BE638" s="234"/>
      <c r="BF638" s="234"/>
      <c r="BG638" s="234"/>
      <c r="BH638" s="234"/>
      <c r="BI638" s="234"/>
      <c r="BJ638" s="234"/>
      <c r="BK638" s="234"/>
      <c r="BL638" s="234"/>
      <c r="BM638" s="234"/>
      <c r="BN638" s="234"/>
      <c r="BO638" s="235"/>
      <c r="BP638" s="234"/>
      <c r="BQ638" s="234"/>
      <c r="BR638" s="234"/>
      <c r="BS638" s="234"/>
      <c r="BT638" s="234"/>
      <c r="BU638" s="234"/>
      <c r="BV638" s="234"/>
      <c r="BW638" s="234"/>
      <c r="BX638" s="1"/>
      <c r="BY638" s="1"/>
      <c r="BZ638" s="1"/>
      <c r="CA638" s="1"/>
      <c r="CB638" s="1"/>
      <c r="CC638" s="1"/>
      <c r="CD638" s="1"/>
      <c r="CE638" s="1"/>
      <c r="CF638" s="1"/>
      <c r="CG638" s="1"/>
    </row>
    <row r="639" spans="1:85" ht="15.75" customHeight="1">
      <c r="A639" s="313"/>
      <c r="B639" s="418"/>
      <c r="C639" s="418"/>
      <c r="D639" s="221"/>
      <c r="E639" s="335"/>
      <c r="F639" s="234"/>
      <c r="G639" s="234"/>
      <c r="H639" s="234"/>
      <c r="I639" s="331"/>
      <c r="J639" s="331"/>
      <c r="K639" s="234"/>
      <c r="L639" s="332"/>
      <c r="M639" s="234"/>
      <c r="N639" s="234"/>
      <c r="O639" s="234"/>
      <c r="P639" s="234"/>
      <c r="Q639" s="234"/>
      <c r="R639" s="234"/>
      <c r="S639" s="234"/>
      <c r="T639" s="234"/>
      <c r="U639" s="388"/>
      <c r="V639" s="388"/>
      <c r="W639" s="388"/>
      <c r="X639" s="331"/>
      <c r="Y639" s="333"/>
      <c r="Z639" s="331"/>
      <c r="AA639" s="234"/>
      <c r="AB639" s="234"/>
      <c r="AC639" s="234"/>
      <c r="AD639" s="234"/>
      <c r="AE639" s="334"/>
      <c r="AF639" s="334"/>
      <c r="AG639" s="334"/>
      <c r="AH639" s="334"/>
      <c r="AI639" s="234"/>
      <c r="AJ639" s="234"/>
      <c r="AK639" s="234"/>
      <c r="AL639" s="234"/>
      <c r="AM639" s="234"/>
      <c r="AN639" s="234"/>
      <c r="AO639" s="234"/>
      <c r="AP639" s="234"/>
      <c r="AQ639" s="234"/>
      <c r="AR639" s="234"/>
      <c r="AS639" s="234"/>
      <c r="AT639" s="234"/>
      <c r="AU639" s="234"/>
      <c r="AV639" s="234"/>
      <c r="AW639" s="234"/>
      <c r="AX639" s="234"/>
      <c r="AY639" s="234"/>
      <c r="AZ639" s="234"/>
      <c r="BA639" s="234"/>
      <c r="BB639" s="234"/>
      <c r="BC639" s="234"/>
      <c r="BD639" s="234"/>
      <c r="BE639" s="234"/>
      <c r="BF639" s="234"/>
      <c r="BG639" s="234"/>
      <c r="BH639" s="234"/>
      <c r="BI639" s="234"/>
      <c r="BJ639" s="234"/>
      <c r="BK639" s="234"/>
      <c r="BL639" s="234"/>
      <c r="BM639" s="234"/>
      <c r="BN639" s="234"/>
      <c r="BO639" s="235"/>
      <c r="BP639" s="234"/>
      <c r="BQ639" s="234"/>
      <c r="BR639" s="234"/>
      <c r="BS639" s="234"/>
      <c r="BT639" s="234"/>
      <c r="BU639" s="234"/>
      <c r="BV639" s="234"/>
      <c r="BW639" s="234"/>
      <c r="BX639" s="1"/>
      <c r="BY639" s="1"/>
      <c r="BZ639" s="1"/>
      <c r="CA639" s="1"/>
      <c r="CB639" s="1"/>
      <c r="CC639" s="1"/>
      <c r="CD639" s="1"/>
      <c r="CE639" s="1"/>
      <c r="CF639" s="1"/>
      <c r="CG639" s="1"/>
    </row>
    <row r="640" spans="1:85" ht="15.75" customHeight="1">
      <c r="A640" s="313"/>
      <c r="B640" s="418"/>
      <c r="C640" s="418"/>
      <c r="D640" s="221"/>
      <c r="E640" s="335"/>
      <c r="F640" s="234"/>
      <c r="G640" s="234"/>
      <c r="H640" s="234"/>
      <c r="I640" s="331"/>
      <c r="J640" s="331"/>
      <c r="K640" s="234"/>
      <c r="L640" s="332"/>
      <c r="M640" s="234"/>
      <c r="N640" s="234"/>
      <c r="O640" s="234"/>
      <c r="P640" s="234"/>
      <c r="Q640" s="234"/>
      <c r="R640" s="234"/>
      <c r="S640" s="234"/>
      <c r="T640" s="234"/>
      <c r="U640" s="388"/>
      <c r="V640" s="388"/>
      <c r="W640" s="388"/>
      <c r="X640" s="331"/>
      <c r="Y640" s="333"/>
      <c r="Z640" s="331"/>
      <c r="AA640" s="234"/>
      <c r="AB640" s="234"/>
      <c r="AC640" s="234"/>
      <c r="AD640" s="234"/>
      <c r="AE640" s="334"/>
      <c r="AF640" s="334"/>
      <c r="AG640" s="334"/>
      <c r="AH640" s="334"/>
      <c r="AI640" s="234"/>
      <c r="AJ640" s="234"/>
      <c r="AK640" s="234"/>
      <c r="AL640" s="234"/>
      <c r="AM640" s="234"/>
      <c r="AN640" s="234"/>
      <c r="AO640" s="234"/>
      <c r="AP640" s="234"/>
      <c r="AQ640" s="234"/>
      <c r="AR640" s="234"/>
      <c r="AS640" s="234"/>
      <c r="AT640" s="234"/>
      <c r="AU640" s="234"/>
      <c r="AV640" s="234"/>
      <c r="AW640" s="234"/>
      <c r="AX640" s="234"/>
      <c r="AY640" s="234"/>
      <c r="AZ640" s="234"/>
      <c r="BA640" s="234"/>
      <c r="BB640" s="234"/>
      <c r="BC640" s="234"/>
      <c r="BD640" s="234"/>
      <c r="BE640" s="234"/>
      <c r="BF640" s="234"/>
      <c r="BG640" s="234"/>
      <c r="BH640" s="234"/>
      <c r="BI640" s="234"/>
      <c r="BJ640" s="234"/>
      <c r="BK640" s="234"/>
      <c r="BL640" s="234"/>
      <c r="BM640" s="234"/>
      <c r="BN640" s="234"/>
      <c r="BO640" s="235"/>
      <c r="BP640" s="234"/>
      <c r="BQ640" s="234"/>
      <c r="BR640" s="234"/>
      <c r="BS640" s="234"/>
      <c r="BT640" s="234"/>
      <c r="BU640" s="234"/>
      <c r="BV640" s="234"/>
      <c r="BW640" s="234"/>
      <c r="BX640" s="1"/>
      <c r="BY640" s="1"/>
      <c r="BZ640" s="1"/>
      <c r="CA640" s="1"/>
      <c r="CB640" s="1"/>
      <c r="CC640" s="1"/>
      <c r="CD640" s="1"/>
      <c r="CE640" s="1"/>
      <c r="CF640" s="1"/>
      <c r="CG640" s="1"/>
    </row>
    <row r="641" spans="1:85" ht="15.75" customHeight="1">
      <c r="A641" s="313"/>
      <c r="B641" s="418"/>
      <c r="C641" s="418"/>
      <c r="D641" s="221"/>
      <c r="E641" s="335"/>
      <c r="F641" s="234"/>
      <c r="G641" s="234"/>
      <c r="H641" s="234"/>
      <c r="I641" s="331"/>
      <c r="J641" s="331"/>
      <c r="K641" s="234"/>
      <c r="L641" s="332"/>
      <c r="M641" s="234"/>
      <c r="N641" s="234"/>
      <c r="O641" s="234"/>
      <c r="P641" s="234"/>
      <c r="Q641" s="234"/>
      <c r="R641" s="234"/>
      <c r="S641" s="234"/>
      <c r="T641" s="234"/>
      <c r="U641" s="388"/>
      <c r="V641" s="388"/>
      <c r="W641" s="388"/>
      <c r="X641" s="331"/>
      <c r="Y641" s="333"/>
      <c r="Z641" s="331"/>
      <c r="AA641" s="234"/>
      <c r="AB641" s="234"/>
      <c r="AC641" s="234"/>
      <c r="AD641" s="234"/>
      <c r="AE641" s="334"/>
      <c r="AF641" s="334"/>
      <c r="AG641" s="334"/>
      <c r="AH641" s="334"/>
      <c r="AI641" s="234"/>
      <c r="AJ641" s="234"/>
      <c r="AK641" s="234"/>
      <c r="AL641" s="234"/>
      <c r="AM641" s="234"/>
      <c r="AN641" s="234"/>
      <c r="AO641" s="234"/>
      <c r="AP641" s="234"/>
      <c r="AQ641" s="234"/>
      <c r="AR641" s="234"/>
      <c r="AS641" s="234"/>
      <c r="AT641" s="234"/>
      <c r="AU641" s="234"/>
      <c r="AV641" s="234"/>
      <c r="AW641" s="234"/>
      <c r="AX641" s="234"/>
      <c r="AY641" s="234"/>
      <c r="AZ641" s="234"/>
      <c r="BA641" s="234"/>
      <c r="BB641" s="234"/>
      <c r="BC641" s="234"/>
      <c r="BD641" s="234"/>
      <c r="BE641" s="234"/>
      <c r="BF641" s="234"/>
      <c r="BG641" s="234"/>
      <c r="BH641" s="234"/>
      <c r="BI641" s="234"/>
      <c r="BJ641" s="234"/>
      <c r="BK641" s="234"/>
      <c r="BL641" s="234"/>
      <c r="BM641" s="234"/>
      <c r="BN641" s="234"/>
      <c r="BO641" s="235"/>
      <c r="BP641" s="234"/>
      <c r="BQ641" s="234"/>
      <c r="BR641" s="234"/>
      <c r="BS641" s="234"/>
      <c r="BT641" s="234"/>
      <c r="BU641" s="234"/>
      <c r="BV641" s="234"/>
      <c r="BW641" s="234"/>
      <c r="BX641" s="1"/>
      <c r="BY641" s="1"/>
      <c r="BZ641" s="1"/>
      <c r="CA641" s="1"/>
      <c r="CB641" s="1"/>
      <c r="CC641" s="1"/>
      <c r="CD641" s="1"/>
      <c r="CE641" s="1"/>
      <c r="CF641" s="1"/>
      <c r="CG641" s="1"/>
    </row>
    <row r="642" spans="1:85" ht="15.75" customHeight="1">
      <c r="A642" s="313"/>
      <c r="B642" s="418"/>
      <c r="C642" s="418"/>
      <c r="D642" s="221"/>
      <c r="E642" s="335"/>
      <c r="F642" s="234"/>
      <c r="G642" s="234"/>
      <c r="H642" s="234"/>
      <c r="I642" s="331"/>
      <c r="J642" s="331"/>
      <c r="K642" s="234"/>
      <c r="L642" s="332"/>
      <c r="M642" s="234"/>
      <c r="N642" s="234"/>
      <c r="O642" s="234"/>
      <c r="P642" s="234"/>
      <c r="Q642" s="234"/>
      <c r="R642" s="234"/>
      <c r="S642" s="234"/>
      <c r="T642" s="234"/>
      <c r="U642" s="388"/>
      <c r="V642" s="388"/>
      <c r="W642" s="388"/>
      <c r="X642" s="331"/>
      <c r="Y642" s="333"/>
      <c r="Z642" s="331"/>
      <c r="AA642" s="234"/>
      <c r="AB642" s="234"/>
      <c r="AC642" s="234"/>
      <c r="AD642" s="234"/>
      <c r="AE642" s="334"/>
      <c r="AF642" s="334"/>
      <c r="AG642" s="334"/>
      <c r="AH642" s="334"/>
      <c r="AI642" s="234"/>
      <c r="AJ642" s="234"/>
      <c r="AK642" s="234"/>
      <c r="AL642" s="234"/>
      <c r="AM642" s="234"/>
      <c r="AN642" s="234"/>
      <c r="AO642" s="234"/>
      <c r="AP642" s="234"/>
      <c r="AQ642" s="234"/>
      <c r="AR642" s="234"/>
      <c r="AS642" s="234"/>
      <c r="AT642" s="234"/>
      <c r="AU642" s="234"/>
      <c r="AV642" s="234"/>
      <c r="AW642" s="234"/>
      <c r="AX642" s="234"/>
      <c r="AY642" s="234"/>
      <c r="AZ642" s="234"/>
      <c r="BA642" s="234"/>
      <c r="BB642" s="234"/>
      <c r="BC642" s="234"/>
      <c r="BD642" s="234"/>
      <c r="BE642" s="234"/>
      <c r="BF642" s="234"/>
      <c r="BG642" s="234"/>
      <c r="BH642" s="234"/>
      <c r="BI642" s="234"/>
      <c r="BJ642" s="234"/>
      <c r="BK642" s="234"/>
      <c r="BL642" s="234"/>
      <c r="BM642" s="234"/>
      <c r="BN642" s="234"/>
      <c r="BO642" s="235"/>
      <c r="BP642" s="234"/>
      <c r="BQ642" s="234"/>
      <c r="BR642" s="234"/>
      <c r="BS642" s="234"/>
      <c r="BT642" s="234"/>
      <c r="BU642" s="234"/>
      <c r="BV642" s="234"/>
      <c r="BW642" s="234"/>
      <c r="BX642" s="1"/>
      <c r="BY642" s="1"/>
      <c r="BZ642" s="1"/>
      <c r="CA642" s="1"/>
      <c r="CB642" s="1"/>
      <c r="CC642" s="1"/>
      <c r="CD642" s="1"/>
      <c r="CE642" s="1"/>
      <c r="CF642" s="1"/>
      <c r="CG642" s="1"/>
    </row>
    <row r="643" spans="1:85" ht="15.75" customHeight="1">
      <c r="A643" s="313"/>
      <c r="B643" s="418"/>
      <c r="C643" s="418"/>
      <c r="D643" s="221"/>
      <c r="E643" s="335"/>
      <c r="F643" s="234"/>
      <c r="G643" s="234"/>
      <c r="H643" s="234"/>
      <c r="I643" s="331"/>
      <c r="J643" s="331"/>
      <c r="K643" s="234"/>
      <c r="L643" s="332"/>
      <c r="M643" s="234"/>
      <c r="N643" s="234"/>
      <c r="O643" s="234"/>
      <c r="P643" s="234"/>
      <c r="Q643" s="234"/>
      <c r="R643" s="234"/>
      <c r="S643" s="234"/>
      <c r="T643" s="234"/>
      <c r="U643" s="388"/>
      <c r="V643" s="388"/>
      <c r="W643" s="388"/>
      <c r="X643" s="331"/>
      <c r="Y643" s="333"/>
      <c r="Z643" s="331"/>
      <c r="AA643" s="234"/>
      <c r="AB643" s="234"/>
      <c r="AC643" s="234"/>
      <c r="AD643" s="234"/>
      <c r="AE643" s="334"/>
      <c r="AF643" s="334"/>
      <c r="AG643" s="334"/>
      <c r="AH643" s="334"/>
      <c r="AI643" s="234"/>
      <c r="AJ643" s="234"/>
      <c r="AK643" s="234"/>
      <c r="AL643" s="234"/>
      <c r="AM643" s="234"/>
      <c r="AN643" s="234"/>
      <c r="AO643" s="234"/>
      <c r="AP643" s="234"/>
      <c r="AQ643" s="234"/>
      <c r="AR643" s="234"/>
      <c r="AS643" s="234"/>
      <c r="AT643" s="234"/>
      <c r="AU643" s="234"/>
      <c r="AV643" s="234"/>
      <c r="AW643" s="234"/>
      <c r="AX643" s="234"/>
      <c r="AY643" s="234"/>
      <c r="AZ643" s="234"/>
      <c r="BA643" s="234"/>
      <c r="BB643" s="234"/>
      <c r="BC643" s="234"/>
      <c r="BD643" s="234"/>
      <c r="BE643" s="234"/>
      <c r="BF643" s="234"/>
      <c r="BG643" s="234"/>
      <c r="BH643" s="234"/>
      <c r="BI643" s="234"/>
      <c r="BJ643" s="234"/>
      <c r="BK643" s="234"/>
      <c r="BL643" s="234"/>
      <c r="BM643" s="234"/>
      <c r="BN643" s="234"/>
      <c r="BO643" s="235"/>
      <c r="BP643" s="234"/>
      <c r="BQ643" s="234"/>
      <c r="BR643" s="234"/>
      <c r="BS643" s="234"/>
      <c r="BT643" s="234"/>
      <c r="BU643" s="234"/>
      <c r="BV643" s="234"/>
      <c r="BW643" s="234"/>
      <c r="BX643" s="1"/>
      <c r="BY643" s="1"/>
      <c r="BZ643" s="1"/>
      <c r="CA643" s="1"/>
      <c r="CB643" s="1"/>
      <c r="CC643" s="1"/>
      <c r="CD643" s="1"/>
      <c r="CE643" s="1"/>
      <c r="CF643" s="1"/>
      <c r="CG643" s="1"/>
    </row>
    <row r="644" spans="1:85" ht="15.75" customHeight="1">
      <c r="A644" s="313"/>
      <c r="B644" s="418"/>
      <c r="C644" s="418"/>
      <c r="D644" s="221"/>
      <c r="E644" s="335"/>
      <c r="F644" s="234"/>
      <c r="G644" s="234"/>
      <c r="H644" s="234"/>
      <c r="I644" s="331"/>
      <c r="J644" s="331"/>
      <c r="K644" s="234"/>
      <c r="L644" s="332"/>
      <c r="M644" s="234"/>
      <c r="N644" s="234"/>
      <c r="O644" s="234"/>
      <c r="P644" s="234"/>
      <c r="Q644" s="234"/>
      <c r="R644" s="234"/>
      <c r="S644" s="234"/>
      <c r="T644" s="234"/>
      <c r="U644" s="388"/>
      <c r="V644" s="388"/>
      <c r="W644" s="388"/>
      <c r="X644" s="331"/>
      <c r="Y644" s="333"/>
      <c r="Z644" s="331"/>
      <c r="AA644" s="234"/>
      <c r="AB644" s="234"/>
      <c r="AC644" s="234"/>
      <c r="AD644" s="234"/>
      <c r="AE644" s="334"/>
      <c r="AF644" s="334"/>
      <c r="AG644" s="334"/>
      <c r="AH644" s="334"/>
      <c r="AI644" s="234"/>
      <c r="AJ644" s="234"/>
      <c r="AK644" s="234"/>
      <c r="AL644" s="234"/>
      <c r="AM644" s="234"/>
      <c r="AN644" s="234"/>
      <c r="AO644" s="234"/>
      <c r="AP644" s="234"/>
      <c r="AQ644" s="234"/>
      <c r="AR644" s="234"/>
      <c r="AS644" s="234"/>
      <c r="AT644" s="234"/>
      <c r="AU644" s="234"/>
      <c r="AV644" s="234"/>
      <c r="AW644" s="234"/>
      <c r="AX644" s="234"/>
      <c r="AY644" s="234"/>
      <c r="AZ644" s="234"/>
      <c r="BA644" s="234"/>
      <c r="BB644" s="234"/>
      <c r="BC644" s="234"/>
      <c r="BD644" s="234"/>
      <c r="BE644" s="234"/>
      <c r="BF644" s="234"/>
      <c r="BG644" s="234"/>
      <c r="BH644" s="234"/>
      <c r="BI644" s="234"/>
      <c r="BJ644" s="234"/>
      <c r="BK644" s="234"/>
      <c r="BL644" s="234"/>
      <c r="BM644" s="234"/>
      <c r="BN644" s="234"/>
      <c r="BO644" s="235"/>
      <c r="BP644" s="234"/>
      <c r="BQ644" s="234"/>
      <c r="BR644" s="234"/>
      <c r="BS644" s="234"/>
      <c r="BT644" s="234"/>
      <c r="BU644" s="234"/>
      <c r="BV644" s="234"/>
      <c r="BW644" s="234"/>
      <c r="BX644" s="1"/>
      <c r="BY644" s="1"/>
      <c r="BZ644" s="1"/>
      <c r="CA644" s="1"/>
      <c r="CB644" s="1"/>
      <c r="CC644" s="1"/>
      <c r="CD644" s="1"/>
      <c r="CE644" s="1"/>
      <c r="CF644" s="1"/>
      <c r="CG644" s="1"/>
    </row>
    <row r="645" spans="1:85" ht="15.75" customHeight="1">
      <c r="A645" s="313"/>
      <c r="B645" s="418"/>
      <c r="C645" s="418"/>
      <c r="D645" s="221"/>
      <c r="E645" s="335"/>
      <c r="F645" s="234"/>
      <c r="G645" s="234"/>
      <c r="H645" s="234"/>
      <c r="I645" s="331"/>
      <c r="J645" s="331"/>
      <c r="K645" s="234"/>
      <c r="L645" s="332"/>
      <c r="M645" s="234"/>
      <c r="N645" s="234"/>
      <c r="O645" s="234"/>
      <c r="P645" s="234"/>
      <c r="Q645" s="234"/>
      <c r="R645" s="234"/>
      <c r="S645" s="234"/>
      <c r="T645" s="234"/>
      <c r="U645" s="388"/>
      <c r="V645" s="388"/>
      <c r="W645" s="388"/>
      <c r="X645" s="331"/>
      <c r="Y645" s="333"/>
      <c r="Z645" s="331"/>
      <c r="AA645" s="234"/>
      <c r="AB645" s="234"/>
      <c r="AC645" s="234"/>
      <c r="AD645" s="234"/>
      <c r="AE645" s="334"/>
      <c r="AF645" s="334"/>
      <c r="AG645" s="334"/>
      <c r="AH645" s="334"/>
      <c r="AI645" s="234"/>
      <c r="AJ645" s="234"/>
      <c r="AK645" s="234"/>
      <c r="AL645" s="234"/>
      <c r="AM645" s="234"/>
      <c r="AN645" s="234"/>
      <c r="AO645" s="234"/>
      <c r="AP645" s="234"/>
      <c r="AQ645" s="234"/>
      <c r="AR645" s="234"/>
      <c r="AS645" s="234"/>
      <c r="AT645" s="234"/>
      <c r="AU645" s="234"/>
      <c r="AV645" s="234"/>
      <c r="AW645" s="234"/>
      <c r="AX645" s="234"/>
      <c r="AY645" s="234"/>
      <c r="AZ645" s="234"/>
      <c r="BA645" s="234"/>
      <c r="BB645" s="234"/>
      <c r="BC645" s="234"/>
      <c r="BD645" s="234"/>
      <c r="BE645" s="234"/>
      <c r="BF645" s="234"/>
      <c r="BG645" s="234"/>
      <c r="BH645" s="234"/>
      <c r="BI645" s="234"/>
      <c r="BJ645" s="234"/>
      <c r="BK645" s="234"/>
      <c r="BL645" s="234"/>
      <c r="BM645" s="234"/>
      <c r="BN645" s="234"/>
      <c r="BO645" s="235"/>
      <c r="BP645" s="234"/>
      <c r="BQ645" s="234"/>
      <c r="BR645" s="234"/>
      <c r="BS645" s="234"/>
      <c r="BT645" s="234"/>
      <c r="BU645" s="234"/>
      <c r="BV645" s="234"/>
      <c r="BW645" s="234"/>
      <c r="BX645" s="1"/>
      <c r="BY645" s="1"/>
      <c r="BZ645" s="1"/>
      <c r="CA645" s="1"/>
      <c r="CB645" s="1"/>
      <c r="CC645" s="1"/>
      <c r="CD645" s="1"/>
      <c r="CE645" s="1"/>
      <c r="CF645" s="1"/>
      <c r="CG645" s="1"/>
    </row>
    <row r="646" spans="1:85" ht="15.75" customHeight="1">
      <c r="A646" s="313"/>
      <c r="B646" s="418"/>
      <c r="C646" s="418"/>
      <c r="D646" s="221"/>
      <c r="E646" s="335"/>
      <c r="F646" s="234"/>
      <c r="G646" s="234"/>
      <c r="H646" s="234"/>
      <c r="I646" s="331"/>
      <c r="J646" s="331"/>
      <c r="K646" s="234"/>
      <c r="L646" s="332"/>
      <c r="M646" s="234"/>
      <c r="N646" s="234"/>
      <c r="O646" s="234"/>
      <c r="P646" s="234"/>
      <c r="Q646" s="234"/>
      <c r="R646" s="234"/>
      <c r="S646" s="234"/>
      <c r="T646" s="234"/>
      <c r="U646" s="388"/>
      <c r="V646" s="388"/>
      <c r="W646" s="388"/>
      <c r="X646" s="331"/>
      <c r="Y646" s="333"/>
      <c r="Z646" s="331"/>
      <c r="AA646" s="234"/>
      <c r="AB646" s="234"/>
      <c r="AC646" s="234"/>
      <c r="AD646" s="234"/>
      <c r="AE646" s="334"/>
      <c r="AF646" s="334"/>
      <c r="AG646" s="334"/>
      <c r="AH646" s="334"/>
      <c r="AI646" s="234"/>
      <c r="AJ646" s="234"/>
      <c r="AK646" s="234"/>
      <c r="AL646" s="234"/>
      <c r="AM646" s="234"/>
      <c r="AN646" s="234"/>
      <c r="AO646" s="234"/>
      <c r="AP646" s="234"/>
      <c r="AQ646" s="234"/>
      <c r="AR646" s="234"/>
      <c r="AS646" s="234"/>
      <c r="AT646" s="234"/>
      <c r="AU646" s="234"/>
      <c r="AV646" s="234"/>
      <c r="AW646" s="234"/>
      <c r="AX646" s="234"/>
      <c r="AY646" s="234"/>
      <c r="AZ646" s="234"/>
      <c r="BA646" s="234"/>
      <c r="BB646" s="234"/>
      <c r="BC646" s="234"/>
      <c r="BD646" s="234"/>
      <c r="BE646" s="234"/>
      <c r="BF646" s="234"/>
      <c r="BG646" s="234"/>
      <c r="BH646" s="234"/>
      <c r="BI646" s="234"/>
      <c r="BJ646" s="234"/>
      <c r="BK646" s="234"/>
      <c r="BL646" s="234"/>
      <c r="BM646" s="234"/>
      <c r="BN646" s="234"/>
      <c r="BO646" s="235"/>
      <c r="BP646" s="234"/>
      <c r="BQ646" s="234"/>
      <c r="BR646" s="234"/>
      <c r="BS646" s="234"/>
      <c r="BT646" s="234"/>
      <c r="BU646" s="234"/>
      <c r="BV646" s="234"/>
      <c r="BW646" s="234"/>
      <c r="BX646" s="1"/>
      <c r="BY646" s="1"/>
      <c r="BZ646" s="1"/>
      <c r="CA646" s="1"/>
      <c r="CB646" s="1"/>
      <c r="CC646" s="1"/>
      <c r="CD646" s="1"/>
      <c r="CE646" s="1"/>
      <c r="CF646" s="1"/>
      <c r="CG646" s="1"/>
    </row>
    <row r="647" spans="1:85" ht="15.75" customHeight="1">
      <c r="A647" s="313"/>
      <c r="B647" s="418"/>
      <c r="C647" s="418"/>
      <c r="D647" s="221"/>
      <c r="E647" s="335"/>
      <c r="F647" s="234"/>
      <c r="G647" s="234"/>
      <c r="H647" s="234"/>
      <c r="I647" s="331"/>
      <c r="J647" s="331"/>
      <c r="K647" s="234"/>
      <c r="L647" s="332"/>
      <c r="M647" s="234"/>
      <c r="N647" s="234"/>
      <c r="O647" s="234"/>
      <c r="P647" s="234"/>
      <c r="Q647" s="234"/>
      <c r="R647" s="234"/>
      <c r="S647" s="234"/>
      <c r="T647" s="234"/>
      <c r="U647" s="388"/>
      <c r="V647" s="388"/>
      <c r="W647" s="388"/>
      <c r="X647" s="331"/>
      <c r="Y647" s="333"/>
      <c r="Z647" s="331"/>
      <c r="AA647" s="234"/>
      <c r="AB647" s="234"/>
      <c r="AC647" s="234"/>
      <c r="AD647" s="234"/>
      <c r="AE647" s="334"/>
      <c r="AF647" s="334"/>
      <c r="AG647" s="334"/>
      <c r="AH647" s="334"/>
      <c r="AI647" s="234"/>
      <c r="AJ647" s="234"/>
      <c r="AK647" s="234"/>
      <c r="AL647" s="234"/>
      <c r="AM647" s="234"/>
      <c r="AN647" s="234"/>
      <c r="AO647" s="234"/>
      <c r="AP647" s="234"/>
      <c r="AQ647" s="234"/>
      <c r="AR647" s="234"/>
      <c r="AS647" s="234"/>
      <c r="AT647" s="234"/>
      <c r="AU647" s="234"/>
      <c r="AV647" s="234"/>
      <c r="AW647" s="234"/>
      <c r="AX647" s="234"/>
      <c r="AY647" s="234"/>
      <c r="AZ647" s="234"/>
      <c r="BA647" s="234"/>
      <c r="BB647" s="234"/>
      <c r="BC647" s="234"/>
      <c r="BD647" s="234"/>
      <c r="BE647" s="234"/>
      <c r="BF647" s="234"/>
      <c r="BG647" s="234"/>
      <c r="BH647" s="234"/>
      <c r="BI647" s="234"/>
      <c r="BJ647" s="234"/>
      <c r="BK647" s="234"/>
      <c r="BL647" s="234"/>
      <c r="BM647" s="234"/>
      <c r="BN647" s="234"/>
      <c r="BO647" s="235"/>
      <c r="BP647" s="234"/>
      <c r="BQ647" s="234"/>
      <c r="BR647" s="234"/>
      <c r="BS647" s="234"/>
      <c r="BT647" s="234"/>
      <c r="BU647" s="234"/>
      <c r="BV647" s="234"/>
      <c r="BW647" s="234"/>
      <c r="BX647" s="1"/>
      <c r="BY647" s="1"/>
      <c r="BZ647" s="1"/>
      <c r="CA647" s="1"/>
      <c r="CB647" s="1"/>
      <c r="CC647" s="1"/>
      <c r="CD647" s="1"/>
      <c r="CE647" s="1"/>
      <c r="CF647" s="1"/>
      <c r="CG647" s="1"/>
    </row>
    <row r="648" spans="1:85" ht="15.75" customHeight="1">
      <c r="A648" s="313"/>
      <c r="B648" s="418"/>
      <c r="C648" s="418"/>
      <c r="D648" s="221"/>
      <c r="E648" s="335"/>
      <c r="F648" s="234"/>
      <c r="G648" s="234"/>
      <c r="H648" s="234"/>
      <c r="I648" s="331"/>
      <c r="J648" s="331"/>
      <c r="K648" s="234"/>
      <c r="L648" s="332"/>
      <c r="M648" s="234"/>
      <c r="N648" s="234"/>
      <c r="O648" s="234"/>
      <c r="P648" s="234"/>
      <c r="Q648" s="234"/>
      <c r="R648" s="234"/>
      <c r="S648" s="234"/>
      <c r="T648" s="234"/>
      <c r="U648" s="388"/>
      <c r="V648" s="388"/>
      <c r="W648" s="388"/>
      <c r="X648" s="331"/>
      <c r="Y648" s="333"/>
      <c r="Z648" s="331"/>
      <c r="AA648" s="234"/>
      <c r="AB648" s="234"/>
      <c r="AC648" s="234"/>
      <c r="AD648" s="234"/>
      <c r="AE648" s="334"/>
      <c r="AF648" s="334"/>
      <c r="AG648" s="334"/>
      <c r="AH648" s="334"/>
      <c r="AI648" s="234"/>
      <c r="AJ648" s="234"/>
      <c r="AK648" s="234"/>
      <c r="AL648" s="234"/>
      <c r="AM648" s="234"/>
      <c r="AN648" s="234"/>
      <c r="AO648" s="234"/>
      <c r="AP648" s="234"/>
      <c r="AQ648" s="234"/>
      <c r="AR648" s="234"/>
      <c r="AS648" s="234"/>
      <c r="AT648" s="234"/>
      <c r="AU648" s="234"/>
      <c r="AV648" s="234"/>
      <c r="AW648" s="234"/>
      <c r="AX648" s="234"/>
      <c r="AY648" s="234"/>
      <c r="AZ648" s="234"/>
      <c r="BA648" s="234"/>
      <c r="BB648" s="234"/>
      <c r="BC648" s="234"/>
      <c r="BD648" s="234"/>
      <c r="BE648" s="234"/>
      <c r="BF648" s="234"/>
      <c r="BG648" s="234"/>
      <c r="BH648" s="234"/>
      <c r="BI648" s="234"/>
      <c r="BJ648" s="234"/>
      <c r="BK648" s="234"/>
      <c r="BL648" s="234"/>
      <c r="BM648" s="234"/>
      <c r="BN648" s="234"/>
      <c r="BO648" s="235"/>
      <c r="BP648" s="234"/>
      <c r="BQ648" s="234"/>
      <c r="BR648" s="234"/>
      <c r="BS648" s="234"/>
      <c r="BT648" s="234"/>
      <c r="BU648" s="234"/>
      <c r="BV648" s="234"/>
      <c r="BW648" s="234"/>
      <c r="BX648" s="1"/>
      <c r="BY648" s="1"/>
      <c r="BZ648" s="1"/>
      <c r="CA648" s="1"/>
      <c r="CB648" s="1"/>
      <c r="CC648" s="1"/>
      <c r="CD648" s="1"/>
      <c r="CE648" s="1"/>
      <c r="CF648" s="1"/>
      <c r="CG648" s="1"/>
    </row>
    <row r="649" spans="1:85" ht="15.75" customHeight="1">
      <c r="A649" s="313"/>
      <c r="B649" s="418"/>
      <c r="C649" s="418"/>
      <c r="D649" s="221"/>
      <c r="E649" s="335"/>
      <c r="F649" s="234"/>
      <c r="G649" s="234"/>
      <c r="H649" s="234"/>
      <c r="I649" s="331"/>
      <c r="J649" s="331"/>
      <c r="K649" s="234"/>
      <c r="L649" s="332"/>
      <c r="M649" s="234"/>
      <c r="N649" s="234"/>
      <c r="O649" s="234"/>
      <c r="P649" s="234"/>
      <c r="Q649" s="234"/>
      <c r="R649" s="234"/>
      <c r="S649" s="234"/>
      <c r="T649" s="234"/>
      <c r="U649" s="388"/>
      <c r="V649" s="388"/>
      <c r="W649" s="388"/>
      <c r="X649" s="331"/>
      <c r="Y649" s="333"/>
      <c r="Z649" s="331"/>
      <c r="AA649" s="234"/>
      <c r="AB649" s="234"/>
      <c r="AC649" s="234"/>
      <c r="AD649" s="234"/>
      <c r="AE649" s="334"/>
      <c r="AF649" s="334"/>
      <c r="AG649" s="334"/>
      <c r="AH649" s="334"/>
      <c r="AI649" s="234"/>
      <c r="AJ649" s="234"/>
      <c r="AK649" s="234"/>
      <c r="AL649" s="234"/>
      <c r="AM649" s="234"/>
      <c r="AN649" s="234"/>
      <c r="AO649" s="234"/>
      <c r="AP649" s="234"/>
      <c r="AQ649" s="234"/>
      <c r="AR649" s="234"/>
      <c r="AS649" s="234"/>
      <c r="AT649" s="234"/>
      <c r="AU649" s="234"/>
      <c r="AV649" s="234"/>
      <c r="AW649" s="234"/>
      <c r="AX649" s="234"/>
      <c r="AY649" s="234"/>
      <c r="AZ649" s="234"/>
      <c r="BA649" s="234"/>
      <c r="BB649" s="234"/>
      <c r="BC649" s="234"/>
      <c r="BD649" s="234"/>
      <c r="BE649" s="234"/>
      <c r="BF649" s="234"/>
      <c r="BG649" s="234"/>
      <c r="BH649" s="234"/>
      <c r="BI649" s="234"/>
      <c r="BJ649" s="234"/>
      <c r="BK649" s="234"/>
      <c r="BL649" s="234"/>
      <c r="BM649" s="234"/>
      <c r="BN649" s="234"/>
      <c r="BO649" s="235"/>
      <c r="BP649" s="234"/>
      <c r="BQ649" s="234"/>
      <c r="BR649" s="234"/>
      <c r="BS649" s="234"/>
      <c r="BT649" s="234"/>
      <c r="BU649" s="234"/>
      <c r="BV649" s="234"/>
      <c r="BW649" s="234"/>
      <c r="BX649" s="1"/>
      <c r="BY649" s="1"/>
      <c r="BZ649" s="1"/>
      <c r="CA649" s="1"/>
      <c r="CB649" s="1"/>
      <c r="CC649" s="1"/>
      <c r="CD649" s="1"/>
      <c r="CE649" s="1"/>
      <c r="CF649" s="1"/>
      <c r="CG649" s="1"/>
    </row>
    <row r="650" spans="1:85" ht="15.75" customHeight="1">
      <c r="A650" s="313"/>
      <c r="B650" s="418"/>
      <c r="C650" s="418"/>
      <c r="D650" s="221"/>
      <c r="E650" s="335"/>
      <c r="F650" s="234"/>
      <c r="G650" s="234"/>
      <c r="H650" s="234"/>
      <c r="I650" s="331"/>
      <c r="J650" s="331"/>
      <c r="K650" s="234"/>
      <c r="L650" s="332"/>
      <c r="M650" s="234"/>
      <c r="N650" s="234"/>
      <c r="O650" s="234"/>
      <c r="P650" s="234"/>
      <c r="Q650" s="234"/>
      <c r="R650" s="234"/>
      <c r="S650" s="234"/>
      <c r="T650" s="234"/>
      <c r="U650" s="388"/>
      <c r="V650" s="388"/>
      <c r="W650" s="388"/>
      <c r="X650" s="331"/>
      <c r="Y650" s="333"/>
      <c r="Z650" s="331"/>
      <c r="AA650" s="234"/>
      <c r="AB650" s="234"/>
      <c r="AC650" s="234"/>
      <c r="AD650" s="234"/>
      <c r="AE650" s="334"/>
      <c r="AF650" s="334"/>
      <c r="AG650" s="334"/>
      <c r="AH650" s="334"/>
      <c r="AI650" s="234"/>
      <c r="AJ650" s="234"/>
      <c r="AK650" s="234"/>
      <c r="AL650" s="234"/>
      <c r="AM650" s="234"/>
      <c r="AN650" s="234"/>
      <c r="AO650" s="234"/>
      <c r="AP650" s="234"/>
      <c r="AQ650" s="234"/>
      <c r="AR650" s="234"/>
      <c r="AS650" s="234"/>
      <c r="AT650" s="234"/>
      <c r="AU650" s="234"/>
      <c r="AV650" s="234"/>
      <c r="AW650" s="234"/>
      <c r="AX650" s="234"/>
      <c r="AY650" s="234"/>
      <c r="AZ650" s="234"/>
      <c r="BA650" s="234"/>
      <c r="BB650" s="234"/>
      <c r="BC650" s="234"/>
      <c r="BD650" s="234"/>
      <c r="BE650" s="234"/>
      <c r="BF650" s="234"/>
      <c r="BG650" s="234"/>
      <c r="BH650" s="234"/>
      <c r="BI650" s="234"/>
      <c r="BJ650" s="234"/>
      <c r="BK650" s="234"/>
      <c r="BL650" s="234"/>
      <c r="BM650" s="234"/>
      <c r="BN650" s="234"/>
      <c r="BO650" s="235"/>
      <c r="BP650" s="234"/>
      <c r="BQ650" s="234"/>
      <c r="BR650" s="234"/>
      <c r="BS650" s="234"/>
      <c r="BT650" s="234"/>
      <c r="BU650" s="234"/>
      <c r="BV650" s="234"/>
      <c r="BW650" s="234"/>
      <c r="BX650" s="1"/>
      <c r="BY650" s="1"/>
      <c r="BZ650" s="1"/>
      <c r="CA650" s="1"/>
      <c r="CB650" s="1"/>
      <c r="CC650" s="1"/>
      <c r="CD650" s="1"/>
      <c r="CE650" s="1"/>
      <c r="CF650" s="1"/>
      <c r="CG650" s="1"/>
    </row>
    <row r="651" spans="1:85" ht="15.75" customHeight="1">
      <c r="A651" s="313"/>
      <c r="B651" s="418"/>
      <c r="C651" s="418"/>
      <c r="D651" s="221"/>
      <c r="E651" s="335"/>
      <c r="F651" s="234"/>
      <c r="G651" s="234"/>
      <c r="H651" s="234"/>
      <c r="I651" s="331"/>
      <c r="J651" s="331"/>
      <c r="K651" s="234"/>
      <c r="L651" s="332"/>
      <c r="M651" s="234"/>
      <c r="N651" s="234"/>
      <c r="O651" s="234"/>
      <c r="P651" s="234"/>
      <c r="Q651" s="234"/>
      <c r="R651" s="234"/>
      <c r="S651" s="234"/>
      <c r="T651" s="234"/>
      <c r="U651" s="388"/>
      <c r="V651" s="388"/>
      <c r="W651" s="388"/>
      <c r="X651" s="331"/>
      <c r="Y651" s="333"/>
      <c r="Z651" s="331"/>
      <c r="AA651" s="234"/>
      <c r="AB651" s="234"/>
      <c r="AC651" s="234"/>
      <c r="AD651" s="234"/>
      <c r="AE651" s="334"/>
      <c r="AF651" s="334"/>
      <c r="AG651" s="334"/>
      <c r="AH651" s="334"/>
      <c r="AI651" s="234"/>
      <c r="AJ651" s="234"/>
      <c r="AK651" s="234"/>
      <c r="AL651" s="234"/>
      <c r="AM651" s="234"/>
      <c r="AN651" s="234"/>
      <c r="AO651" s="234"/>
      <c r="AP651" s="234"/>
      <c r="AQ651" s="234"/>
      <c r="AR651" s="234"/>
      <c r="AS651" s="234"/>
      <c r="AT651" s="234"/>
      <c r="AU651" s="234"/>
      <c r="AV651" s="234"/>
      <c r="AW651" s="234"/>
      <c r="AX651" s="234"/>
      <c r="AY651" s="234"/>
      <c r="AZ651" s="234"/>
      <c r="BA651" s="234"/>
      <c r="BB651" s="234"/>
      <c r="BC651" s="234"/>
      <c r="BD651" s="234"/>
      <c r="BE651" s="234"/>
      <c r="BF651" s="234"/>
      <c r="BG651" s="234"/>
      <c r="BH651" s="234"/>
      <c r="BI651" s="234"/>
      <c r="BJ651" s="234"/>
      <c r="BK651" s="234"/>
      <c r="BL651" s="234"/>
      <c r="BM651" s="234"/>
      <c r="BN651" s="234"/>
      <c r="BO651" s="235"/>
      <c r="BP651" s="234"/>
      <c r="BQ651" s="234"/>
      <c r="BR651" s="234"/>
      <c r="BS651" s="234"/>
      <c r="BT651" s="234"/>
      <c r="BU651" s="234"/>
      <c r="BV651" s="234"/>
      <c r="BW651" s="234"/>
      <c r="BX651" s="1"/>
      <c r="BY651" s="1"/>
      <c r="BZ651" s="1"/>
      <c r="CA651" s="1"/>
      <c r="CB651" s="1"/>
      <c r="CC651" s="1"/>
      <c r="CD651" s="1"/>
      <c r="CE651" s="1"/>
      <c r="CF651" s="1"/>
      <c r="CG651" s="1"/>
    </row>
    <row r="652" spans="1:85" ht="15.75" customHeight="1">
      <c r="A652" s="313"/>
      <c r="B652" s="418"/>
      <c r="C652" s="418"/>
      <c r="D652" s="221"/>
      <c r="E652" s="335"/>
      <c r="F652" s="234"/>
      <c r="G652" s="234"/>
      <c r="H652" s="234"/>
      <c r="I652" s="331"/>
      <c r="J652" s="331"/>
      <c r="K652" s="234"/>
      <c r="L652" s="332"/>
      <c r="M652" s="234"/>
      <c r="N652" s="234"/>
      <c r="O652" s="234"/>
      <c r="P652" s="234"/>
      <c r="Q652" s="234"/>
      <c r="R652" s="234"/>
      <c r="S652" s="234"/>
      <c r="T652" s="234"/>
      <c r="U652" s="388"/>
      <c r="V652" s="388"/>
      <c r="W652" s="388"/>
      <c r="X652" s="331"/>
      <c r="Y652" s="333"/>
      <c r="Z652" s="331"/>
      <c r="AA652" s="234"/>
      <c r="AB652" s="234"/>
      <c r="AC652" s="234"/>
      <c r="AD652" s="234"/>
      <c r="AE652" s="334"/>
      <c r="AF652" s="334"/>
      <c r="AG652" s="334"/>
      <c r="AH652" s="334"/>
      <c r="AI652" s="234"/>
      <c r="AJ652" s="234"/>
      <c r="AK652" s="234"/>
      <c r="AL652" s="234"/>
      <c r="AM652" s="234"/>
      <c r="AN652" s="234"/>
      <c r="AO652" s="234"/>
      <c r="AP652" s="234"/>
      <c r="AQ652" s="234"/>
      <c r="AR652" s="234"/>
      <c r="AS652" s="234"/>
      <c r="AT652" s="234"/>
      <c r="AU652" s="234"/>
      <c r="AV652" s="234"/>
      <c r="AW652" s="234"/>
      <c r="AX652" s="234"/>
      <c r="AY652" s="234"/>
      <c r="AZ652" s="234"/>
      <c r="BA652" s="234"/>
      <c r="BB652" s="234"/>
      <c r="BC652" s="234"/>
      <c r="BD652" s="234"/>
      <c r="BE652" s="234"/>
      <c r="BF652" s="234"/>
      <c r="BG652" s="234"/>
      <c r="BH652" s="234"/>
      <c r="BI652" s="234"/>
      <c r="BJ652" s="234"/>
      <c r="BK652" s="234"/>
      <c r="BL652" s="234"/>
      <c r="BM652" s="234"/>
      <c r="BN652" s="234"/>
      <c r="BO652" s="235"/>
      <c r="BP652" s="234"/>
      <c r="BQ652" s="234"/>
      <c r="BR652" s="234"/>
      <c r="BS652" s="234"/>
      <c r="BT652" s="234"/>
      <c r="BU652" s="234"/>
      <c r="BV652" s="234"/>
      <c r="BW652" s="234"/>
      <c r="BX652" s="1"/>
      <c r="BY652" s="1"/>
      <c r="BZ652" s="1"/>
      <c r="CA652" s="1"/>
      <c r="CB652" s="1"/>
      <c r="CC652" s="1"/>
      <c r="CD652" s="1"/>
      <c r="CE652" s="1"/>
      <c r="CF652" s="1"/>
      <c r="CG652" s="1"/>
    </row>
    <row r="653" spans="1:85" ht="15.75" customHeight="1">
      <c r="A653" s="313"/>
      <c r="B653" s="418"/>
      <c r="C653" s="418"/>
      <c r="D653" s="221"/>
      <c r="E653" s="335"/>
      <c r="F653" s="234"/>
      <c r="G653" s="234"/>
      <c r="H653" s="234"/>
      <c r="I653" s="331"/>
      <c r="J653" s="331"/>
      <c r="K653" s="234"/>
      <c r="L653" s="332"/>
      <c r="M653" s="234"/>
      <c r="N653" s="234"/>
      <c r="O653" s="234"/>
      <c r="P653" s="234"/>
      <c r="Q653" s="234"/>
      <c r="R653" s="234"/>
      <c r="S653" s="234"/>
      <c r="T653" s="234"/>
      <c r="U653" s="388"/>
      <c r="V653" s="388"/>
      <c r="W653" s="388"/>
      <c r="X653" s="331"/>
      <c r="Y653" s="331"/>
      <c r="Z653" s="331"/>
      <c r="AA653" s="234"/>
      <c r="AB653" s="234"/>
      <c r="AC653" s="234"/>
      <c r="AD653" s="234"/>
      <c r="AE653" s="334"/>
      <c r="AF653" s="334"/>
      <c r="AG653" s="334"/>
      <c r="AH653" s="334"/>
      <c r="AI653" s="234"/>
      <c r="AJ653" s="234"/>
      <c r="AK653" s="234"/>
      <c r="AL653" s="234"/>
      <c r="AM653" s="234"/>
      <c r="AN653" s="234"/>
      <c r="AO653" s="234"/>
      <c r="AP653" s="234"/>
      <c r="AQ653" s="234"/>
      <c r="AR653" s="234"/>
      <c r="AS653" s="234"/>
      <c r="AT653" s="234"/>
      <c r="AU653" s="234"/>
      <c r="AV653" s="234"/>
      <c r="AW653" s="234"/>
      <c r="AX653" s="234"/>
      <c r="AY653" s="234"/>
      <c r="AZ653" s="234"/>
      <c r="BA653" s="234"/>
      <c r="BB653" s="234"/>
      <c r="BC653" s="234"/>
      <c r="BD653" s="234"/>
      <c r="BE653" s="234"/>
      <c r="BF653" s="234"/>
      <c r="BG653" s="234"/>
      <c r="BH653" s="234"/>
      <c r="BI653" s="234"/>
      <c r="BJ653" s="234"/>
      <c r="BK653" s="234"/>
      <c r="BL653" s="234"/>
      <c r="BM653" s="234"/>
      <c r="BN653" s="234"/>
      <c r="BO653" s="235"/>
      <c r="BP653" s="234"/>
      <c r="BQ653" s="234"/>
      <c r="BR653" s="234"/>
      <c r="BS653" s="234"/>
      <c r="BT653" s="234"/>
      <c r="BU653" s="234"/>
      <c r="BV653" s="234"/>
      <c r="BW653" s="234"/>
      <c r="BX653" s="1"/>
      <c r="BY653" s="1"/>
      <c r="BZ653" s="1"/>
      <c r="CA653" s="1"/>
      <c r="CB653" s="1"/>
      <c r="CC653" s="1"/>
      <c r="CD653" s="1"/>
      <c r="CE653" s="1"/>
      <c r="CF653" s="1"/>
      <c r="CG653" s="1"/>
    </row>
    <row r="654" spans="1:85" ht="15.75" customHeight="1">
      <c r="A654" s="313"/>
      <c r="B654" s="418"/>
      <c r="C654" s="418"/>
      <c r="D654" s="221"/>
      <c r="E654" s="335"/>
      <c r="F654" s="234"/>
      <c r="G654" s="234"/>
      <c r="H654" s="234"/>
      <c r="I654" s="331"/>
      <c r="J654" s="331"/>
      <c r="K654" s="234"/>
      <c r="L654" s="332"/>
      <c r="M654" s="234"/>
      <c r="N654" s="234"/>
      <c r="O654" s="234"/>
      <c r="P654" s="234"/>
      <c r="Q654" s="234"/>
      <c r="R654" s="234"/>
      <c r="S654" s="234"/>
      <c r="T654" s="234"/>
      <c r="U654" s="388"/>
      <c r="V654" s="388"/>
      <c r="W654" s="388"/>
      <c r="X654" s="331"/>
      <c r="Y654" s="331"/>
      <c r="Z654" s="331"/>
      <c r="AA654" s="234"/>
      <c r="AB654" s="234"/>
      <c r="AC654" s="234"/>
      <c r="AD654" s="234"/>
      <c r="AE654" s="334"/>
      <c r="AF654" s="334"/>
      <c r="AG654" s="334"/>
      <c r="AH654" s="334"/>
      <c r="AI654" s="234"/>
      <c r="AJ654" s="234"/>
      <c r="AK654" s="234"/>
      <c r="AL654" s="234"/>
      <c r="AM654" s="234"/>
      <c r="AN654" s="234"/>
      <c r="AO654" s="234"/>
      <c r="AP654" s="234"/>
      <c r="AQ654" s="234"/>
      <c r="AR654" s="234"/>
      <c r="AS654" s="234"/>
      <c r="AT654" s="234"/>
      <c r="AU654" s="234"/>
      <c r="AV654" s="234"/>
      <c r="AW654" s="234"/>
      <c r="AX654" s="234"/>
      <c r="AY654" s="234"/>
      <c r="AZ654" s="234"/>
      <c r="BA654" s="234"/>
      <c r="BB654" s="234"/>
      <c r="BC654" s="234"/>
      <c r="BD654" s="234"/>
      <c r="BE654" s="234"/>
      <c r="BF654" s="234"/>
      <c r="BG654" s="234"/>
      <c r="BH654" s="234"/>
      <c r="BI654" s="234"/>
      <c r="BJ654" s="234"/>
      <c r="BK654" s="234"/>
      <c r="BL654" s="234"/>
      <c r="BM654" s="234"/>
      <c r="BN654" s="234"/>
      <c r="BO654" s="235"/>
      <c r="BP654" s="234"/>
      <c r="BQ654" s="234"/>
      <c r="BR654" s="234"/>
      <c r="BS654" s="234"/>
      <c r="BT654" s="234"/>
      <c r="BU654" s="234"/>
      <c r="BV654" s="234"/>
      <c r="BW654" s="234"/>
      <c r="BX654" s="1"/>
      <c r="BY654" s="1"/>
      <c r="BZ654" s="1"/>
      <c r="CA654" s="1"/>
      <c r="CB654" s="1"/>
      <c r="CC654" s="1"/>
      <c r="CD654" s="1"/>
      <c r="CE654" s="1"/>
      <c r="CF654" s="1"/>
      <c r="CG654" s="1"/>
    </row>
    <row r="655" spans="1:85" ht="15.75" customHeight="1">
      <c r="A655" s="313"/>
      <c r="B655" s="418"/>
      <c r="C655" s="418"/>
      <c r="D655" s="221"/>
      <c r="E655" s="335"/>
      <c r="F655" s="234"/>
      <c r="G655" s="234"/>
      <c r="H655" s="234"/>
      <c r="I655" s="331"/>
      <c r="J655" s="331"/>
      <c r="K655" s="234"/>
      <c r="L655" s="332"/>
      <c r="M655" s="234"/>
      <c r="N655" s="234"/>
      <c r="O655" s="234"/>
      <c r="P655" s="234"/>
      <c r="Q655" s="234"/>
      <c r="R655" s="234"/>
      <c r="S655" s="234"/>
      <c r="T655" s="234"/>
      <c r="U655" s="388"/>
      <c r="V655" s="388"/>
      <c r="W655" s="388"/>
      <c r="X655" s="331"/>
      <c r="Y655" s="331"/>
      <c r="Z655" s="331"/>
      <c r="AA655" s="234"/>
      <c r="AB655" s="234"/>
      <c r="AC655" s="234"/>
      <c r="AD655" s="234"/>
      <c r="AE655" s="334"/>
      <c r="AF655" s="334"/>
      <c r="AG655" s="334"/>
      <c r="AH655" s="334"/>
      <c r="AI655" s="234"/>
      <c r="AJ655" s="234"/>
      <c r="AK655" s="234"/>
      <c r="AL655" s="234"/>
      <c r="AM655" s="234"/>
      <c r="AN655" s="234"/>
      <c r="AO655" s="234"/>
      <c r="AP655" s="234"/>
      <c r="AQ655" s="234"/>
      <c r="AR655" s="234"/>
      <c r="AS655" s="234"/>
      <c r="AT655" s="234"/>
      <c r="AU655" s="234"/>
      <c r="AV655" s="234"/>
      <c r="AW655" s="234"/>
      <c r="AX655" s="234"/>
      <c r="AY655" s="234"/>
      <c r="AZ655" s="234"/>
      <c r="BA655" s="234"/>
      <c r="BB655" s="234"/>
      <c r="BC655" s="234"/>
      <c r="BD655" s="234"/>
      <c r="BE655" s="234"/>
      <c r="BF655" s="234"/>
      <c r="BG655" s="234"/>
      <c r="BH655" s="234"/>
      <c r="BI655" s="234"/>
      <c r="BJ655" s="234"/>
      <c r="BK655" s="234"/>
      <c r="BL655" s="234"/>
      <c r="BM655" s="234"/>
      <c r="BN655" s="234"/>
      <c r="BO655" s="235"/>
      <c r="BP655" s="234"/>
      <c r="BQ655" s="234"/>
      <c r="BR655" s="234"/>
      <c r="BS655" s="234"/>
      <c r="BT655" s="234"/>
      <c r="BU655" s="234"/>
      <c r="BV655" s="234"/>
      <c r="BW655" s="234"/>
      <c r="BX655" s="1"/>
      <c r="BY655" s="1"/>
      <c r="BZ655" s="1"/>
      <c r="CA655" s="1"/>
      <c r="CB655" s="1"/>
      <c r="CC655" s="1"/>
      <c r="CD655" s="1"/>
      <c r="CE655" s="1"/>
      <c r="CF655" s="1"/>
      <c r="CG655" s="1"/>
    </row>
    <row r="656" spans="1:85" ht="15.75" customHeight="1">
      <c r="A656" s="313"/>
      <c r="B656" s="418"/>
      <c r="C656" s="418"/>
      <c r="D656" s="221"/>
      <c r="E656" s="335"/>
      <c r="F656" s="234"/>
      <c r="G656" s="234"/>
      <c r="H656" s="234"/>
      <c r="I656" s="331"/>
      <c r="J656" s="331"/>
      <c r="K656" s="234"/>
      <c r="L656" s="332"/>
      <c r="M656" s="234"/>
      <c r="N656" s="234"/>
      <c r="O656" s="234"/>
      <c r="P656" s="234"/>
      <c r="Q656" s="234"/>
      <c r="R656" s="234"/>
      <c r="S656" s="234"/>
      <c r="T656" s="234"/>
      <c r="U656" s="388"/>
      <c r="V656" s="388"/>
      <c r="W656" s="388"/>
      <c r="X656" s="331"/>
      <c r="Y656" s="331"/>
      <c r="Z656" s="331"/>
      <c r="AA656" s="234"/>
      <c r="AB656" s="234"/>
      <c r="AC656" s="234"/>
      <c r="AD656" s="234"/>
      <c r="AE656" s="334"/>
      <c r="AF656" s="334"/>
      <c r="AG656" s="334"/>
      <c r="AH656" s="334"/>
      <c r="AI656" s="234"/>
      <c r="AJ656" s="234"/>
      <c r="AK656" s="234"/>
      <c r="AL656" s="234"/>
      <c r="AM656" s="234"/>
      <c r="AN656" s="234"/>
      <c r="AO656" s="234"/>
      <c r="AP656" s="234"/>
      <c r="AQ656" s="234"/>
      <c r="AR656" s="234"/>
      <c r="AS656" s="234"/>
      <c r="AT656" s="234"/>
      <c r="AU656" s="234"/>
      <c r="AV656" s="234"/>
      <c r="AW656" s="234"/>
      <c r="AX656" s="234"/>
      <c r="AY656" s="234"/>
      <c r="AZ656" s="234"/>
      <c r="BA656" s="234"/>
      <c r="BB656" s="234"/>
      <c r="BC656" s="234"/>
      <c r="BD656" s="234"/>
      <c r="BE656" s="234"/>
      <c r="BF656" s="234"/>
      <c r="BG656" s="234"/>
      <c r="BH656" s="234"/>
      <c r="BI656" s="234"/>
      <c r="BJ656" s="234"/>
      <c r="BK656" s="234"/>
      <c r="BL656" s="234"/>
      <c r="BM656" s="234"/>
      <c r="BN656" s="234"/>
      <c r="BO656" s="235"/>
      <c r="BP656" s="234"/>
      <c r="BQ656" s="234"/>
      <c r="BR656" s="234"/>
      <c r="BS656" s="234"/>
      <c r="BT656" s="234"/>
      <c r="BU656" s="234"/>
      <c r="BV656" s="234"/>
      <c r="BW656" s="234"/>
      <c r="BX656" s="1"/>
      <c r="BY656" s="1"/>
      <c r="BZ656" s="1"/>
      <c r="CA656" s="1"/>
      <c r="CB656" s="1"/>
      <c r="CC656" s="1"/>
      <c r="CD656" s="1"/>
      <c r="CE656" s="1"/>
      <c r="CF656" s="1"/>
      <c r="CG656" s="1"/>
    </row>
    <row r="657" spans="1:85" ht="15.75" customHeight="1">
      <c r="A657" s="313"/>
      <c r="B657" s="418"/>
      <c r="C657" s="418"/>
      <c r="D657" s="221"/>
      <c r="E657" s="335"/>
      <c r="F657" s="234"/>
      <c r="G657" s="234"/>
      <c r="H657" s="234"/>
      <c r="I657" s="331"/>
      <c r="J657" s="331"/>
      <c r="K657" s="234"/>
      <c r="L657" s="332"/>
      <c r="M657" s="234"/>
      <c r="N657" s="234"/>
      <c r="O657" s="234"/>
      <c r="P657" s="234"/>
      <c r="Q657" s="234"/>
      <c r="R657" s="234"/>
      <c r="S657" s="234"/>
      <c r="T657" s="234"/>
      <c r="U657" s="388"/>
      <c r="V657" s="388"/>
      <c r="W657" s="388"/>
      <c r="X657" s="331"/>
      <c r="Y657" s="331"/>
      <c r="Z657" s="331"/>
      <c r="AA657" s="234"/>
      <c r="AB657" s="234"/>
      <c r="AC657" s="234"/>
      <c r="AD657" s="234"/>
      <c r="AE657" s="334"/>
      <c r="AF657" s="334"/>
      <c r="AG657" s="334"/>
      <c r="AH657" s="334"/>
      <c r="AI657" s="234"/>
      <c r="AJ657" s="234"/>
      <c r="AK657" s="234"/>
      <c r="AL657" s="234"/>
      <c r="AM657" s="234"/>
      <c r="AN657" s="234"/>
      <c r="AO657" s="234"/>
      <c r="AP657" s="234"/>
      <c r="AQ657" s="234"/>
      <c r="AR657" s="234"/>
      <c r="AS657" s="234"/>
      <c r="AT657" s="234"/>
      <c r="AU657" s="234"/>
      <c r="AV657" s="234"/>
      <c r="AW657" s="234"/>
      <c r="AX657" s="234"/>
      <c r="AY657" s="234"/>
      <c r="AZ657" s="234"/>
      <c r="BA657" s="234"/>
      <c r="BB657" s="234"/>
      <c r="BC657" s="234"/>
      <c r="BD657" s="234"/>
      <c r="BE657" s="234"/>
      <c r="BF657" s="234"/>
      <c r="BG657" s="234"/>
      <c r="BH657" s="234"/>
      <c r="BI657" s="234"/>
      <c r="BJ657" s="234"/>
      <c r="BK657" s="234"/>
      <c r="BL657" s="234"/>
      <c r="BM657" s="234"/>
      <c r="BN657" s="234"/>
      <c r="BO657" s="235"/>
      <c r="BP657" s="234"/>
      <c r="BQ657" s="234"/>
      <c r="BR657" s="234"/>
      <c r="BS657" s="234"/>
      <c r="BT657" s="234"/>
      <c r="BU657" s="234"/>
      <c r="BV657" s="234"/>
      <c r="BW657" s="234"/>
      <c r="BX657" s="1"/>
      <c r="BY657" s="1"/>
      <c r="BZ657" s="1"/>
      <c r="CA657" s="1"/>
      <c r="CB657" s="1"/>
      <c r="CC657" s="1"/>
      <c r="CD657" s="1"/>
      <c r="CE657" s="1"/>
      <c r="CF657" s="1"/>
      <c r="CG657" s="1"/>
    </row>
    <row r="658" spans="1:85" ht="15.75" customHeight="1">
      <c r="A658" s="313"/>
      <c r="B658" s="418"/>
      <c r="C658" s="418"/>
      <c r="D658" s="221"/>
      <c r="E658" s="335"/>
      <c r="F658" s="234"/>
      <c r="G658" s="234"/>
      <c r="H658" s="234"/>
      <c r="I658" s="331"/>
      <c r="J658" s="331"/>
      <c r="K658" s="234"/>
      <c r="L658" s="332"/>
      <c r="M658" s="234"/>
      <c r="N658" s="234"/>
      <c r="O658" s="234"/>
      <c r="P658" s="234"/>
      <c r="Q658" s="234"/>
      <c r="R658" s="234"/>
      <c r="S658" s="234"/>
      <c r="T658" s="234"/>
      <c r="U658" s="388"/>
      <c r="V658" s="388"/>
      <c r="W658" s="388"/>
      <c r="X658" s="331"/>
      <c r="Y658" s="331"/>
      <c r="Z658" s="331"/>
      <c r="AA658" s="234"/>
      <c r="AB658" s="234"/>
      <c r="AC658" s="234"/>
      <c r="AD658" s="234"/>
      <c r="AE658" s="334"/>
      <c r="AF658" s="334"/>
      <c r="AG658" s="334"/>
      <c r="AH658" s="334"/>
      <c r="AI658" s="234"/>
      <c r="AJ658" s="234"/>
      <c r="AK658" s="234"/>
      <c r="AL658" s="234"/>
      <c r="AM658" s="234"/>
      <c r="AN658" s="234"/>
      <c r="AO658" s="234"/>
      <c r="AP658" s="234"/>
      <c r="AQ658" s="234"/>
      <c r="AR658" s="234"/>
      <c r="AS658" s="234"/>
      <c r="AT658" s="234"/>
      <c r="AU658" s="234"/>
      <c r="AV658" s="234"/>
      <c r="AW658" s="234"/>
      <c r="AX658" s="234"/>
      <c r="AY658" s="234"/>
      <c r="AZ658" s="234"/>
      <c r="BA658" s="234"/>
      <c r="BB658" s="234"/>
      <c r="BC658" s="234"/>
      <c r="BD658" s="234"/>
      <c r="BE658" s="234"/>
      <c r="BF658" s="234"/>
      <c r="BG658" s="234"/>
      <c r="BH658" s="234"/>
      <c r="BI658" s="234"/>
      <c r="BJ658" s="234"/>
      <c r="BK658" s="234"/>
      <c r="BL658" s="234"/>
      <c r="BM658" s="234"/>
      <c r="BN658" s="234"/>
      <c r="BO658" s="235"/>
      <c r="BP658" s="234"/>
      <c r="BQ658" s="234"/>
      <c r="BR658" s="234"/>
      <c r="BS658" s="234"/>
      <c r="BT658" s="234"/>
      <c r="BU658" s="234"/>
      <c r="BV658" s="234"/>
      <c r="BW658" s="234"/>
      <c r="BX658" s="1"/>
      <c r="BY658" s="1"/>
      <c r="BZ658" s="1"/>
      <c r="CA658" s="1"/>
      <c r="CB658" s="1"/>
      <c r="CC658" s="1"/>
      <c r="CD658" s="1"/>
      <c r="CE658" s="1"/>
      <c r="CF658" s="1"/>
      <c r="CG658" s="1"/>
    </row>
    <row r="659" spans="1:85" ht="15.75" customHeight="1">
      <c r="A659" s="313"/>
      <c r="B659" s="418"/>
      <c r="C659" s="418"/>
      <c r="D659" s="221"/>
      <c r="E659" s="335"/>
      <c r="F659" s="234"/>
      <c r="G659" s="234"/>
      <c r="H659" s="234"/>
      <c r="I659" s="331"/>
      <c r="J659" s="331"/>
      <c r="K659" s="234"/>
      <c r="L659" s="332"/>
      <c r="M659" s="234"/>
      <c r="N659" s="234"/>
      <c r="O659" s="234"/>
      <c r="P659" s="234"/>
      <c r="Q659" s="234"/>
      <c r="R659" s="234"/>
      <c r="S659" s="234"/>
      <c r="T659" s="234"/>
      <c r="U659" s="388"/>
      <c r="V659" s="388"/>
      <c r="W659" s="388"/>
      <c r="X659" s="331"/>
      <c r="Y659" s="331"/>
      <c r="Z659" s="331"/>
      <c r="AA659" s="234"/>
      <c r="AB659" s="234"/>
      <c r="AC659" s="234"/>
      <c r="AD659" s="234"/>
      <c r="AE659" s="334"/>
      <c r="AF659" s="334"/>
      <c r="AG659" s="334"/>
      <c r="AH659" s="334"/>
      <c r="AI659" s="234"/>
      <c r="AJ659" s="234"/>
      <c r="AK659" s="234"/>
      <c r="AL659" s="234"/>
      <c r="AM659" s="234"/>
      <c r="AN659" s="234"/>
      <c r="AO659" s="234"/>
      <c r="AP659" s="234"/>
      <c r="AQ659" s="234"/>
      <c r="AR659" s="234"/>
      <c r="AS659" s="234"/>
      <c r="AT659" s="234"/>
      <c r="AU659" s="234"/>
      <c r="AV659" s="234"/>
      <c r="AW659" s="234"/>
      <c r="AX659" s="234"/>
      <c r="AY659" s="234"/>
      <c r="AZ659" s="234"/>
      <c r="BA659" s="234"/>
      <c r="BB659" s="234"/>
      <c r="BC659" s="234"/>
      <c r="BD659" s="234"/>
      <c r="BE659" s="234"/>
      <c r="BF659" s="234"/>
      <c r="BG659" s="234"/>
      <c r="BH659" s="234"/>
      <c r="BI659" s="234"/>
      <c r="BJ659" s="234"/>
      <c r="BK659" s="234"/>
      <c r="BL659" s="234"/>
      <c r="BM659" s="234"/>
      <c r="BN659" s="234"/>
      <c r="BO659" s="235"/>
      <c r="BP659" s="234"/>
      <c r="BQ659" s="234"/>
      <c r="BR659" s="234"/>
      <c r="BS659" s="234"/>
      <c r="BT659" s="234"/>
      <c r="BU659" s="234"/>
      <c r="BV659" s="234"/>
      <c r="BW659" s="234"/>
      <c r="BX659" s="1"/>
      <c r="BY659" s="1"/>
      <c r="BZ659" s="1"/>
      <c r="CA659" s="1"/>
      <c r="CB659" s="1"/>
      <c r="CC659" s="1"/>
      <c r="CD659" s="1"/>
      <c r="CE659" s="1"/>
      <c r="CF659" s="1"/>
      <c r="CG659" s="1"/>
    </row>
    <row r="660" spans="1:85" ht="15.75" customHeight="1">
      <c r="A660" s="313"/>
      <c r="B660" s="418"/>
      <c r="C660" s="418"/>
      <c r="D660" s="221"/>
      <c r="E660" s="335"/>
      <c r="F660" s="234"/>
      <c r="G660" s="234"/>
      <c r="H660" s="234"/>
      <c r="I660" s="331"/>
      <c r="J660" s="331"/>
      <c r="K660" s="234"/>
      <c r="L660" s="332"/>
      <c r="M660" s="234"/>
      <c r="N660" s="234"/>
      <c r="O660" s="234"/>
      <c r="P660" s="234"/>
      <c r="Q660" s="234"/>
      <c r="R660" s="234"/>
      <c r="S660" s="234"/>
      <c r="T660" s="234"/>
      <c r="U660" s="388"/>
      <c r="V660" s="388"/>
      <c r="W660" s="388"/>
      <c r="X660" s="331"/>
      <c r="Y660" s="331"/>
      <c r="Z660" s="331"/>
      <c r="AA660" s="234"/>
      <c r="AB660" s="234"/>
      <c r="AC660" s="234"/>
      <c r="AD660" s="234"/>
      <c r="AE660" s="334"/>
      <c r="AF660" s="334"/>
      <c r="AG660" s="334"/>
      <c r="AH660" s="334"/>
      <c r="AI660" s="234"/>
      <c r="AJ660" s="234"/>
      <c r="AK660" s="234"/>
      <c r="AL660" s="234"/>
      <c r="AM660" s="234"/>
      <c r="AN660" s="234"/>
      <c r="AO660" s="234"/>
      <c r="AP660" s="234"/>
      <c r="AQ660" s="234"/>
      <c r="AR660" s="234"/>
      <c r="AS660" s="234"/>
      <c r="AT660" s="234"/>
      <c r="AU660" s="234"/>
      <c r="AV660" s="234"/>
      <c r="AW660" s="234"/>
      <c r="AX660" s="234"/>
      <c r="AY660" s="234"/>
      <c r="AZ660" s="234"/>
      <c r="BA660" s="234"/>
      <c r="BB660" s="234"/>
      <c r="BC660" s="234"/>
      <c r="BD660" s="234"/>
      <c r="BE660" s="234"/>
      <c r="BF660" s="234"/>
      <c r="BG660" s="234"/>
      <c r="BH660" s="234"/>
      <c r="BI660" s="234"/>
      <c r="BJ660" s="234"/>
      <c r="BK660" s="234"/>
      <c r="BL660" s="234"/>
      <c r="BM660" s="234"/>
      <c r="BN660" s="234"/>
      <c r="BO660" s="235"/>
      <c r="BP660" s="234"/>
      <c r="BQ660" s="234"/>
      <c r="BR660" s="234"/>
      <c r="BS660" s="234"/>
      <c r="BT660" s="234"/>
      <c r="BU660" s="234"/>
      <c r="BV660" s="234"/>
      <c r="BW660" s="234"/>
      <c r="BX660" s="1"/>
      <c r="BY660" s="1"/>
      <c r="BZ660" s="1"/>
      <c r="CA660" s="1"/>
      <c r="CB660" s="1"/>
      <c r="CC660" s="1"/>
      <c r="CD660" s="1"/>
      <c r="CE660" s="1"/>
      <c r="CF660" s="1"/>
      <c r="CG660" s="1"/>
    </row>
    <row r="661" spans="1:85" ht="15.75" customHeight="1">
      <c r="A661" s="313"/>
      <c r="B661" s="418"/>
      <c r="C661" s="418"/>
      <c r="D661" s="221"/>
      <c r="E661" s="335"/>
      <c r="F661" s="234"/>
      <c r="G661" s="234"/>
      <c r="H661" s="234"/>
      <c r="I661" s="331"/>
      <c r="J661" s="331"/>
      <c r="K661" s="234"/>
      <c r="L661" s="332"/>
      <c r="M661" s="234"/>
      <c r="N661" s="234"/>
      <c r="O661" s="234"/>
      <c r="P661" s="234"/>
      <c r="Q661" s="234"/>
      <c r="R661" s="234"/>
      <c r="S661" s="234"/>
      <c r="T661" s="234"/>
      <c r="U661" s="388"/>
      <c r="V661" s="388"/>
      <c r="W661" s="388"/>
      <c r="X661" s="331"/>
      <c r="Y661" s="331"/>
      <c r="Z661" s="331"/>
      <c r="AA661" s="234"/>
      <c r="AB661" s="234"/>
      <c r="AC661" s="234"/>
      <c r="AD661" s="234"/>
      <c r="AE661" s="334"/>
      <c r="AF661" s="334"/>
      <c r="AG661" s="334"/>
      <c r="AH661" s="334"/>
      <c r="AI661" s="234"/>
      <c r="AJ661" s="234"/>
      <c r="AK661" s="234"/>
      <c r="AL661" s="234"/>
      <c r="AM661" s="234"/>
      <c r="AN661" s="234"/>
      <c r="AO661" s="234"/>
      <c r="AP661" s="234"/>
      <c r="AQ661" s="234"/>
      <c r="AR661" s="234"/>
      <c r="AS661" s="234"/>
      <c r="AT661" s="234"/>
      <c r="AU661" s="234"/>
      <c r="AV661" s="234"/>
      <c r="AW661" s="234"/>
      <c r="AX661" s="234"/>
      <c r="AY661" s="234"/>
      <c r="AZ661" s="234"/>
      <c r="BA661" s="234"/>
      <c r="BB661" s="234"/>
      <c r="BC661" s="234"/>
      <c r="BD661" s="234"/>
      <c r="BE661" s="234"/>
      <c r="BF661" s="234"/>
      <c r="BG661" s="234"/>
      <c r="BH661" s="234"/>
      <c r="BI661" s="234"/>
      <c r="BJ661" s="234"/>
      <c r="BK661" s="234"/>
      <c r="BL661" s="234"/>
      <c r="BM661" s="234"/>
      <c r="BN661" s="234"/>
      <c r="BO661" s="235"/>
      <c r="BP661" s="234"/>
      <c r="BQ661" s="234"/>
      <c r="BR661" s="234"/>
      <c r="BS661" s="234"/>
      <c r="BT661" s="234"/>
      <c r="BU661" s="234"/>
      <c r="BV661" s="234"/>
      <c r="BW661" s="234"/>
      <c r="BX661" s="1"/>
      <c r="BY661" s="1"/>
      <c r="BZ661" s="1"/>
      <c r="CA661" s="1"/>
      <c r="CB661" s="1"/>
      <c r="CC661" s="1"/>
      <c r="CD661" s="1"/>
      <c r="CE661" s="1"/>
      <c r="CF661" s="1"/>
      <c r="CG661" s="1"/>
    </row>
    <row r="662" spans="1:85" ht="15.75" customHeight="1">
      <c r="A662" s="313"/>
      <c r="B662" s="418"/>
      <c r="C662" s="418"/>
      <c r="D662" s="221"/>
      <c r="E662" s="335"/>
      <c r="F662" s="234"/>
      <c r="G662" s="234"/>
      <c r="H662" s="234"/>
      <c r="I662" s="331"/>
      <c r="J662" s="331"/>
      <c r="K662" s="234"/>
      <c r="L662" s="332"/>
      <c r="M662" s="234"/>
      <c r="N662" s="234"/>
      <c r="O662" s="234"/>
      <c r="P662" s="234"/>
      <c r="Q662" s="234"/>
      <c r="R662" s="234"/>
      <c r="S662" s="234"/>
      <c r="T662" s="234"/>
      <c r="U662" s="388"/>
      <c r="V662" s="388"/>
      <c r="W662" s="388"/>
      <c r="X662" s="331"/>
      <c r="Y662" s="331"/>
      <c r="Z662" s="331"/>
      <c r="AA662" s="234"/>
      <c r="AB662" s="234"/>
      <c r="AC662" s="234"/>
      <c r="AD662" s="234"/>
      <c r="AE662" s="334"/>
      <c r="AF662" s="334"/>
      <c r="AG662" s="334"/>
      <c r="AH662" s="334"/>
      <c r="AI662" s="234"/>
      <c r="AJ662" s="234"/>
      <c r="AK662" s="234"/>
      <c r="AL662" s="234"/>
      <c r="AM662" s="234"/>
      <c r="AN662" s="234"/>
      <c r="AO662" s="234"/>
      <c r="AP662" s="234"/>
      <c r="AQ662" s="234"/>
      <c r="AR662" s="234"/>
      <c r="AS662" s="234"/>
      <c r="AT662" s="234"/>
      <c r="AU662" s="234"/>
      <c r="AV662" s="234"/>
      <c r="AW662" s="234"/>
      <c r="AX662" s="234"/>
      <c r="AY662" s="234"/>
      <c r="AZ662" s="234"/>
      <c r="BA662" s="234"/>
      <c r="BB662" s="234"/>
      <c r="BC662" s="234"/>
      <c r="BD662" s="234"/>
      <c r="BE662" s="234"/>
      <c r="BF662" s="234"/>
      <c r="BG662" s="234"/>
      <c r="BH662" s="234"/>
      <c r="BI662" s="234"/>
      <c r="BJ662" s="234"/>
      <c r="BK662" s="234"/>
      <c r="BL662" s="234"/>
      <c r="BM662" s="234"/>
      <c r="BN662" s="234"/>
      <c r="BO662" s="235"/>
      <c r="BP662" s="234"/>
      <c r="BQ662" s="234"/>
      <c r="BR662" s="234"/>
      <c r="BS662" s="234"/>
      <c r="BT662" s="234"/>
      <c r="BU662" s="234"/>
      <c r="BV662" s="234"/>
      <c r="BW662" s="234"/>
      <c r="BX662" s="1"/>
      <c r="BY662" s="1"/>
      <c r="BZ662" s="1"/>
      <c r="CA662" s="1"/>
      <c r="CB662" s="1"/>
      <c r="CC662" s="1"/>
      <c r="CD662" s="1"/>
      <c r="CE662" s="1"/>
      <c r="CF662" s="1"/>
      <c r="CG662" s="1"/>
    </row>
    <row r="663" spans="1:85" ht="15.75" customHeight="1">
      <c r="A663" s="313"/>
      <c r="B663" s="418"/>
      <c r="C663" s="418"/>
      <c r="D663" s="221"/>
      <c r="E663" s="335"/>
      <c r="F663" s="234"/>
      <c r="G663" s="234"/>
      <c r="H663" s="234"/>
      <c r="I663" s="331"/>
      <c r="J663" s="331"/>
      <c r="K663" s="234"/>
      <c r="L663" s="332"/>
      <c r="M663" s="234"/>
      <c r="N663" s="234"/>
      <c r="O663" s="234"/>
      <c r="P663" s="234"/>
      <c r="Q663" s="234"/>
      <c r="R663" s="234"/>
      <c r="S663" s="234"/>
      <c r="T663" s="234"/>
      <c r="U663" s="388"/>
      <c r="V663" s="388"/>
      <c r="W663" s="388"/>
      <c r="X663" s="331"/>
      <c r="Y663" s="331"/>
      <c r="Z663" s="331"/>
      <c r="AA663" s="234"/>
      <c r="AB663" s="234"/>
      <c r="AC663" s="234"/>
      <c r="AD663" s="234"/>
      <c r="AE663" s="334"/>
      <c r="AF663" s="334"/>
      <c r="AG663" s="334"/>
      <c r="AH663" s="334"/>
      <c r="AI663" s="234"/>
      <c r="AJ663" s="234"/>
      <c r="AK663" s="234"/>
      <c r="AL663" s="234"/>
      <c r="AM663" s="234"/>
      <c r="AN663" s="234"/>
      <c r="AO663" s="234"/>
      <c r="AP663" s="234"/>
      <c r="AQ663" s="234"/>
      <c r="AR663" s="234"/>
      <c r="AS663" s="234"/>
      <c r="AT663" s="234"/>
      <c r="AU663" s="234"/>
      <c r="AV663" s="234"/>
      <c r="AW663" s="234"/>
      <c r="AX663" s="234"/>
      <c r="AY663" s="234"/>
      <c r="AZ663" s="234"/>
      <c r="BA663" s="234"/>
      <c r="BB663" s="234"/>
      <c r="BC663" s="234"/>
      <c r="BD663" s="234"/>
      <c r="BE663" s="234"/>
      <c r="BF663" s="234"/>
      <c r="BG663" s="234"/>
      <c r="BH663" s="234"/>
      <c r="BI663" s="234"/>
      <c r="BJ663" s="234"/>
      <c r="BK663" s="234"/>
      <c r="BL663" s="234"/>
      <c r="BM663" s="234"/>
      <c r="BN663" s="234"/>
      <c r="BO663" s="235"/>
      <c r="BP663" s="234"/>
      <c r="BQ663" s="234"/>
      <c r="BR663" s="234"/>
      <c r="BS663" s="234"/>
      <c r="BT663" s="234"/>
      <c r="BU663" s="234"/>
      <c r="BV663" s="234"/>
      <c r="BW663" s="234"/>
      <c r="BX663" s="1"/>
      <c r="BY663" s="1"/>
      <c r="BZ663" s="1"/>
      <c r="CA663" s="1"/>
      <c r="CB663" s="1"/>
      <c r="CC663" s="1"/>
      <c r="CD663" s="1"/>
      <c r="CE663" s="1"/>
      <c r="CF663" s="1"/>
      <c r="CG663" s="1"/>
    </row>
    <row r="664" spans="1:85" ht="15.75" customHeight="1">
      <c r="A664" s="313"/>
      <c r="B664" s="418"/>
      <c r="C664" s="418"/>
      <c r="D664" s="221"/>
      <c r="E664" s="335"/>
      <c r="F664" s="234"/>
      <c r="G664" s="234"/>
      <c r="H664" s="234"/>
      <c r="I664" s="331"/>
      <c r="J664" s="331"/>
      <c r="K664" s="234"/>
      <c r="L664" s="332"/>
      <c r="M664" s="234"/>
      <c r="N664" s="234"/>
      <c r="O664" s="234"/>
      <c r="P664" s="234"/>
      <c r="Q664" s="234"/>
      <c r="R664" s="234"/>
      <c r="S664" s="234"/>
      <c r="T664" s="234"/>
      <c r="U664" s="388"/>
      <c r="V664" s="388"/>
      <c r="W664" s="388"/>
      <c r="X664" s="331"/>
      <c r="Y664" s="331"/>
      <c r="Z664" s="331"/>
      <c r="AA664" s="234"/>
      <c r="AB664" s="234"/>
      <c r="AC664" s="234"/>
      <c r="AD664" s="234"/>
      <c r="AE664" s="334"/>
      <c r="AF664" s="334"/>
      <c r="AG664" s="334"/>
      <c r="AH664" s="334"/>
      <c r="AI664" s="234"/>
      <c r="AJ664" s="234"/>
      <c r="AK664" s="234"/>
      <c r="AL664" s="234"/>
      <c r="AM664" s="234"/>
      <c r="AN664" s="234"/>
      <c r="AO664" s="234"/>
      <c r="AP664" s="234"/>
      <c r="AQ664" s="234"/>
      <c r="AR664" s="234"/>
      <c r="AS664" s="234"/>
      <c r="AT664" s="234"/>
      <c r="AU664" s="234"/>
      <c r="AV664" s="234"/>
      <c r="AW664" s="234"/>
      <c r="AX664" s="234"/>
      <c r="AY664" s="234"/>
      <c r="AZ664" s="234"/>
      <c r="BA664" s="234"/>
      <c r="BB664" s="234"/>
      <c r="BC664" s="234"/>
      <c r="BD664" s="234"/>
      <c r="BE664" s="234"/>
      <c r="BF664" s="234"/>
      <c r="BG664" s="234"/>
      <c r="BH664" s="234"/>
      <c r="BI664" s="234"/>
      <c r="BJ664" s="234"/>
      <c r="BK664" s="234"/>
      <c r="BL664" s="234"/>
      <c r="BM664" s="234"/>
      <c r="BN664" s="234"/>
      <c r="BO664" s="235"/>
      <c r="BP664" s="234"/>
      <c r="BQ664" s="234"/>
      <c r="BR664" s="234"/>
      <c r="BS664" s="234"/>
      <c r="BT664" s="234"/>
      <c r="BU664" s="234"/>
      <c r="BV664" s="234"/>
      <c r="BW664" s="234"/>
      <c r="BX664" s="1"/>
      <c r="BY664" s="1"/>
      <c r="BZ664" s="1"/>
      <c r="CA664" s="1"/>
      <c r="CB664" s="1"/>
      <c r="CC664" s="1"/>
      <c r="CD664" s="1"/>
      <c r="CE664" s="1"/>
      <c r="CF664" s="1"/>
      <c r="CG664" s="1"/>
    </row>
    <row r="665" spans="1:85" ht="15.75" customHeight="1">
      <c r="A665" s="313"/>
      <c r="B665" s="418"/>
      <c r="C665" s="418"/>
      <c r="D665" s="221"/>
      <c r="E665" s="335"/>
      <c r="F665" s="234"/>
      <c r="G665" s="234"/>
      <c r="H665" s="234"/>
      <c r="I665" s="331"/>
      <c r="J665" s="331"/>
      <c r="K665" s="234"/>
      <c r="L665" s="332"/>
      <c r="M665" s="234"/>
      <c r="N665" s="234"/>
      <c r="O665" s="234"/>
      <c r="P665" s="234"/>
      <c r="Q665" s="234"/>
      <c r="R665" s="234"/>
      <c r="S665" s="234"/>
      <c r="T665" s="234"/>
      <c r="U665" s="388"/>
      <c r="V665" s="388"/>
      <c r="W665" s="388"/>
      <c r="X665" s="331"/>
      <c r="Y665" s="331"/>
      <c r="Z665" s="331"/>
      <c r="AA665" s="234"/>
      <c r="AB665" s="234"/>
      <c r="AC665" s="234"/>
      <c r="AD665" s="234"/>
      <c r="AE665" s="334"/>
      <c r="AF665" s="334"/>
      <c r="AG665" s="334"/>
      <c r="AH665" s="334"/>
      <c r="AI665" s="234"/>
      <c r="AJ665" s="234"/>
      <c r="AK665" s="234"/>
      <c r="AL665" s="234"/>
      <c r="AM665" s="234"/>
      <c r="AN665" s="234"/>
      <c r="AO665" s="234"/>
      <c r="AP665" s="234"/>
      <c r="AQ665" s="234"/>
      <c r="AR665" s="234"/>
      <c r="AS665" s="234"/>
      <c r="AT665" s="234"/>
      <c r="AU665" s="234"/>
      <c r="AV665" s="234"/>
      <c r="AW665" s="234"/>
      <c r="AX665" s="234"/>
      <c r="AY665" s="234"/>
      <c r="AZ665" s="234"/>
      <c r="BA665" s="234"/>
      <c r="BB665" s="234"/>
      <c r="BC665" s="234"/>
      <c r="BD665" s="234"/>
      <c r="BE665" s="234"/>
      <c r="BF665" s="234"/>
      <c r="BG665" s="234"/>
      <c r="BH665" s="234"/>
      <c r="BI665" s="234"/>
      <c r="BJ665" s="234"/>
      <c r="BK665" s="234"/>
      <c r="BL665" s="234"/>
      <c r="BM665" s="234"/>
      <c r="BN665" s="234"/>
      <c r="BO665" s="235"/>
      <c r="BP665" s="234"/>
      <c r="BQ665" s="234"/>
      <c r="BR665" s="234"/>
      <c r="BS665" s="234"/>
      <c r="BT665" s="234"/>
      <c r="BU665" s="234"/>
      <c r="BV665" s="234"/>
      <c r="BW665" s="234"/>
      <c r="BX665" s="1"/>
      <c r="BY665" s="1"/>
      <c r="BZ665" s="1"/>
      <c r="CA665" s="1"/>
      <c r="CB665" s="1"/>
      <c r="CC665" s="1"/>
      <c r="CD665" s="1"/>
      <c r="CE665" s="1"/>
      <c r="CF665" s="1"/>
      <c r="CG665" s="1"/>
    </row>
    <row r="666" spans="1:85" ht="15.75" customHeight="1">
      <c r="A666" s="313"/>
      <c r="B666" s="418"/>
      <c r="C666" s="418"/>
      <c r="D666" s="221"/>
      <c r="E666" s="335"/>
      <c r="F666" s="234"/>
      <c r="G666" s="234"/>
      <c r="H666" s="234"/>
      <c r="I666" s="331"/>
      <c r="J666" s="331"/>
      <c r="K666" s="234"/>
      <c r="L666" s="332"/>
      <c r="M666" s="234"/>
      <c r="N666" s="234"/>
      <c r="O666" s="234"/>
      <c r="P666" s="234"/>
      <c r="Q666" s="234"/>
      <c r="R666" s="234"/>
      <c r="S666" s="234"/>
      <c r="T666" s="234"/>
      <c r="U666" s="388"/>
      <c r="V666" s="388"/>
      <c r="W666" s="388"/>
      <c r="X666" s="331"/>
      <c r="Y666" s="331"/>
      <c r="Z666" s="331"/>
      <c r="AA666" s="234"/>
      <c r="AB666" s="234"/>
      <c r="AC666" s="234"/>
      <c r="AD666" s="234"/>
      <c r="AE666" s="334"/>
      <c r="AF666" s="334"/>
      <c r="AG666" s="334"/>
      <c r="AH666" s="334"/>
      <c r="AI666" s="234"/>
      <c r="AJ666" s="234"/>
      <c r="AK666" s="234"/>
      <c r="AL666" s="234"/>
      <c r="AM666" s="234"/>
      <c r="AN666" s="234"/>
      <c r="AO666" s="234"/>
      <c r="AP666" s="234"/>
      <c r="AQ666" s="234"/>
      <c r="AR666" s="234"/>
      <c r="AS666" s="234"/>
      <c r="AT666" s="234"/>
      <c r="AU666" s="234"/>
      <c r="AV666" s="234"/>
      <c r="AW666" s="234"/>
      <c r="AX666" s="234"/>
      <c r="AY666" s="234"/>
      <c r="AZ666" s="234"/>
      <c r="BA666" s="234"/>
      <c r="BB666" s="234"/>
      <c r="BC666" s="234"/>
      <c r="BD666" s="234"/>
      <c r="BE666" s="234"/>
      <c r="BF666" s="234"/>
      <c r="BG666" s="234"/>
      <c r="BH666" s="234"/>
      <c r="BI666" s="234"/>
      <c r="BJ666" s="234"/>
      <c r="BK666" s="234"/>
      <c r="BL666" s="234"/>
      <c r="BM666" s="234"/>
      <c r="BN666" s="234"/>
      <c r="BO666" s="235"/>
      <c r="BP666" s="234"/>
      <c r="BQ666" s="234"/>
      <c r="BR666" s="234"/>
      <c r="BS666" s="234"/>
      <c r="BT666" s="234"/>
      <c r="BU666" s="234"/>
      <c r="BV666" s="234"/>
      <c r="BW666" s="234"/>
      <c r="BX666" s="1"/>
      <c r="BY666" s="1"/>
      <c r="BZ666" s="1"/>
      <c r="CA666" s="1"/>
      <c r="CB666" s="1"/>
      <c r="CC666" s="1"/>
      <c r="CD666" s="1"/>
      <c r="CE666" s="1"/>
      <c r="CF666" s="1"/>
      <c r="CG666" s="1"/>
    </row>
    <row r="667" spans="1:85" ht="15.75" customHeight="1">
      <c r="A667" s="313"/>
      <c r="B667" s="418"/>
      <c r="C667" s="418"/>
      <c r="D667" s="221"/>
      <c r="E667" s="335"/>
      <c r="F667" s="234"/>
      <c r="G667" s="234"/>
      <c r="H667" s="234"/>
      <c r="I667" s="331"/>
      <c r="J667" s="331"/>
      <c r="K667" s="234"/>
      <c r="L667" s="332"/>
      <c r="M667" s="234"/>
      <c r="N667" s="234"/>
      <c r="O667" s="234"/>
      <c r="P667" s="234"/>
      <c r="Q667" s="234"/>
      <c r="R667" s="234"/>
      <c r="S667" s="234"/>
      <c r="T667" s="234"/>
      <c r="U667" s="388"/>
      <c r="V667" s="388"/>
      <c r="W667" s="388"/>
      <c r="X667" s="331"/>
      <c r="Y667" s="331"/>
      <c r="Z667" s="331"/>
      <c r="AA667" s="234"/>
      <c r="AB667" s="234"/>
      <c r="AC667" s="234"/>
      <c r="AD667" s="234"/>
      <c r="AE667" s="334"/>
      <c r="AF667" s="334"/>
      <c r="AG667" s="334"/>
      <c r="AH667" s="334"/>
      <c r="AI667" s="234"/>
      <c r="AJ667" s="234"/>
      <c r="AK667" s="234"/>
      <c r="AL667" s="234"/>
      <c r="AM667" s="234"/>
      <c r="AN667" s="234"/>
      <c r="AO667" s="234"/>
      <c r="AP667" s="234"/>
      <c r="AQ667" s="234"/>
      <c r="AR667" s="234"/>
      <c r="AS667" s="234"/>
      <c r="AT667" s="234"/>
      <c r="AU667" s="234"/>
      <c r="AV667" s="234"/>
      <c r="AW667" s="234"/>
      <c r="AX667" s="234"/>
      <c r="AY667" s="234"/>
      <c r="AZ667" s="234"/>
      <c r="BA667" s="234"/>
      <c r="BB667" s="234"/>
      <c r="BC667" s="234"/>
      <c r="BD667" s="234"/>
      <c r="BE667" s="234"/>
      <c r="BF667" s="234"/>
      <c r="BG667" s="234"/>
      <c r="BH667" s="234"/>
      <c r="BI667" s="234"/>
      <c r="BJ667" s="234"/>
      <c r="BK667" s="234"/>
      <c r="BL667" s="234"/>
      <c r="BM667" s="234"/>
      <c r="BN667" s="234"/>
      <c r="BO667" s="235"/>
      <c r="BP667" s="234"/>
      <c r="BQ667" s="234"/>
      <c r="BR667" s="234"/>
      <c r="BS667" s="234"/>
      <c r="BT667" s="234"/>
      <c r="BU667" s="234"/>
      <c r="BV667" s="234"/>
      <c r="BW667" s="234"/>
      <c r="BX667" s="1"/>
      <c r="BY667" s="1"/>
      <c r="BZ667" s="1"/>
      <c r="CA667" s="1"/>
      <c r="CB667" s="1"/>
      <c r="CC667" s="1"/>
      <c r="CD667" s="1"/>
      <c r="CE667" s="1"/>
      <c r="CF667" s="1"/>
      <c r="CG667" s="1"/>
    </row>
    <row r="668" spans="1:85" ht="15.75" customHeight="1">
      <c r="A668" s="313"/>
      <c r="B668" s="418"/>
      <c r="C668" s="418"/>
      <c r="D668" s="221"/>
      <c r="E668" s="335"/>
      <c r="F668" s="234"/>
      <c r="G668" s="234"/>
      <c r="H668" s="234"/>
      <c r="I668" s="331"/>
      <c r="J668" s="331"/>
      <c r="K668" s="234"/>
      <c r="L668" s="332"/>
      <c r="M668" s="234"/>
      <c r="N668" s="234"/>
      <c r="O668" s="234"/>
      <c r="P668" s="234"/>
      <c r="Q668" s="234"/>
      <c r="R668" s="234"/>
      <c r="S668" s="234"/>
      <c r="T668" s="234"/>
      <c r="U668" s="388"/>
      <c r="V668" s="388"/>
      <c r="W668" s="388"/>
      <c r="X668" s="331"/>
      <c r="Y668" s="331"/>
      <c r="Z668" s="331"/>
      <c r="AA668" s="234"/>
      <c r="AB668" s="234"/>
      <c r="AC668" s="234"/>
      <c r="AD668" s="234"/>
      <c r="AE668" s="334"/>
      <c r="AF668" s="334"/>
      <c r="AG668" s="334"/>
      <c r="AH668" s="334"/>
      <c r="AI668" s="234"/>
      <c r="AJ668" s="234"/>
      <c r="AK668" s="234"/>
      <c r="AL668" s="234"/>
      <c r="AM668" s="234"/>
      <c r="AN668" s="234"/>
      <c r="AO668" s="234"/>
      <c r="AP668" s="234"/>
      <c r="AQ668" s="234"/>
      <c r="AR668" s="234"/>
      <c r="AS668" s="234"/>
      <c r="AT668" s="234"/>
      <c r="AU668" s="234"/>
      <c r="AV668" s="234"/>
      <c r="AW668" s="234"/>
      <c r="AX668" s="234"/>
      <c r="AY668" s="234"/>
      <c r="AZ668" s="234"/>
      <c r="BA668" s="234"/>
      <c r="BB668" s="234"/>
      <c r="BC668" s="234"/>
      <c r="BD668" s="234"/>
      <c r="BE668" s="234"/>
      <c r="BF668" s="234"/>
      <c r="BG668" s="234"/>
      <c r="BH668" s="234"/>
      <c r="BI668" s="234"/>
      <c r="BJ668" s="234"/>
      <c r="BK668" s="234"/>
      <c r="BL668" s="234"/>
      <c r="BM668" s="234"/>
      <c r="BN668" s="234"/>
      <c r="BO668" s="235"/>
      <c r="BP668" s="234"/>
      <c r="BQ668" s="234"/>
      <c r="BR668" s="234"/>
      <c r="BS668" s="234"/>
      <c r="BT668" s="234"/>
      <c r="BU668" s="234"/>
      <c r="BV668" s="234"/>
      <c r="BW668" s="234"/>
      <c r="BX668" s="1"/>
      <c r="BY668" s="1"/>
      <c r="BZ668" s="1"/>
      <c r="CA668" s="1"/>
      <c r="CB668" s="1"/>
      <c r="CC668" s="1"/>
      <c r="CD668" s="1"/>
      <c r="CE668" s="1"/>
      <c r="CF668" s="1"/>
      <c r="CG668" s="1"/>
    </row>
    <row r="669" spans="1:85" ht="15.75" customHeight="1">
      <c r="A669" s="313"/>
      <c r="B669" s="418"/>
      <c r="C669" s="418"/>
      <c r="D669" s="221"/>
      <c r="E669" s="335"/>
      <c r="F669" s="234"/>
      <c r="G669" s="234"/>
      <c r="H669" s="234"/>
      <c r="I669" s="331"/>
      <c r="J669" s="331"/>
      <c r="K669" s="234"/>
      <c r="L669" s="332"/>
      <c r="M669" s="234"/>
      <c r="N669" s="234"/>
      <c r="O669" s="234"/>
      <c r="P669" s="234"/>
      <c r="Q669" s="234"/>
      <c r="R669" s="234"/>
      <c r="S669" s="234"/>
      <c r="T669" s="234"/>
      <c r="U669" s="388"/>
      <c r="V669" s="388"/>
      <c r="W669" s="388"/>
      <c r="X669" s="331"/>
      <c r="Y669" s="331"/>
      <c r="Z669" s="331"/>
      <c r="AA669" s="234"/>
      <c r="AB669" s="234"/>
      <c r="AC669" s="234"/>
      <c r="AD669" s="234"/>
      <c r="AE669" s="334"/>
      <c r="AF669" s="334"/>
      <c r="AG669" s="334"/>
      <c r="AH669" s="334"/>
      <c r="AI669" s="234"/>
      <c r="AJ669" s="234"/>
      <c r="AK669" s="234"/>
      <c r="AL669" s="234"/>
      <c r="AM669" s="234"/>
      <c r="AN669" s="234"/>
      <c r="AO669" s="234"/>
      <c r="AP669" s="234"/>
      <c r="AQ669" s="234"/>
      <c r="AR669" s="234"/>
      <c r="AS669" s="234"/>
      <c r="AT669" s="234"/>
      <c r="AU669" s="234"/>
      <c r="AV669" s="234"/>
      <c r="AW669" s="234"/>
      <c r="AX669" s="234"/>
      <c r="AY669" s="234"/>
      <c r="AZ669" s="234"/>
      <c r="BA669" s="234"/>
      <c r="BB669" s="234"/>
      <c r="BC669" s="234"/>
      <c r="BD669" s="234"/>
      <c r="BE669" s="234"/>
      <c r="BF669" s="234"/>
      <c r="BG669" s="234"/>
      <c r="BH669" s="234"/>
      <c r="BI669" s="234"/>
      <c r="BJ669" s="234"/>
      <c r="BK669" s="234"/>
      <c r="BL669" s="234"/>
      <c r="BM669" s="234"/>
      <c r="BN669" s="234"/>
      <c r="BO669" s="235"/>
      <c r="BP669" s="234"/>
      <c r="BQ669" s="234"/>
      <c r="BR669" s="234"/>
      <c r="BS669" s="234"/>
      <c r="BT669" s="234"/>
      <c r="BU669" s="234"/>
      <c r="BV669" s="234"/>
      <c r="BW669" s="234"/>
      <c r="BX669" s="1"/>
      <c r="BY669" s="1"/>
      <c r="BZ669" s="1"/>
      <c r="CA669" s="1"/>
      <c r="CB669" s="1"/>
      <c r="CC669" s="1"/>
      <c r="CD669" s="1"/>
      <c r="CE669" s="1"/>
      <c r="CF669" s="1"/>
      <c r="CG669" s="1"/>
    </row>
    <row r="670" spans="1:85" ht="15.75" customHeight="1">
      <c r="A670" s="313"/>
      <c r="B670" s="418"/>
      <c r="C670" s="418"/>
      <c r="D670" s="221"/>
      <c r="E670" s="335"/>
      <c r="F670" s="234"/>
      <c r="G670" s="234"/>
      <c r="H670" s="234"/>
      <c r="I670" s="331"/>
      <c r="J670" s="331"/>
      <c r="K670" s="234"/>
      <c r="L670" s="332"/>
      <c r="M670" s="234"/>
      <c r="N670" s="234"/>
      <c r="O670" s="234"/>
      <c r="P670" s="234"/>
      <c r="Q670" s="234"/>
      <c r="R670" s="234"/>
      <c r="S670" s="234"/>
      <c r="T670" s="234"/>
      <c r="U670" s="388"/>
      <c r="V670" s="388"/>
      <c r="W670" s="388"/>
      <c r="X670" s="331"/>
      <c r="Y670" s="331"/>
      <c r="Z670" s="331"/>
      <c r="AA670" s="234"/>
      <c r="AB670" s="234"/>
      <c r="AC670" s="234"/>
      <c r="AD670" s="234"/>
      <c r="AE670" s="334"/>
      <c r="AF670" s="334"/>
      <c r="AG670" s="334"/>
      <c r="AH670" s="334"/>
      <c r="AI670" s="234"/>
      <c r="AJ670" s="234"/>
      <c r="AK670" s="234"/>
      <c r="AL670" s="234"/>
      <c r="AM670" s="234"/>
      <c r="AN670" s="234"/>
      <c r="AO670" s="234"/>
      <c r="AP670" s="234"/>
      <c r="AQ670" s="234"/>
      <c r="AR670" s="234"/>
      <c r="AS670" s="234"/>
      <c r="AT670" s="234"/>
      <c r="AU670" s="234"/>
      <c r="AV670" s="234"/>
      <c r="AW670" s="234"/>
      <c r="AX670" s="234"/>
      <c r="AY670" s="234"/>
      <c r="AZ670" s="234"/>
      <c r="BA670" s="234"/>
      <c r="BB670" s="234"/>
      <c r="BC670" s="234"/>
      <c r="BD670" s="234"/>
      <c r="BE670" s="234"/>
      <c r="BF670" s="234"/>
      <c r="BG670" s="234"/>
      <c r="BH670" s="234"/>
      <c r="BI670" s="234"/>
      <c r="BJ670" s="234"/>
      <c r="BK670" s="234"/>
      <c r="BL670" s="234"/>
      <c r="BM670" s="234"/>
      <c r="BN670" s="234"/>
      <c r="BO670" s="235"/>
      <c r="BP670" s="234"/>
      <c r="BQ670" s="234"/>
      <c r="BR670" s="234"/>
      <c r="BS670" s="234"/>
      <c r="BT670" s="234"/>
      <c r="BU670" s="234"/>
      <c r="BV670" s="234"/>
      <c r="BW670" s="234"/>
      <c r="BX670" s="1"/>
      <c r="BY670" s="1"/>
      <c r="BZ670" s="1"/>
      <c r="CA670" s="1"/>
      <c r="CB670" s="1"/>
      <c r="CC670" s="1"/>
      <c r="CD670" s="1"/>
      <c r="CE670" s="1"/>
      <c r="CF670" s="1"/>
      <c r="CG670" s="1"/>
    </row>
    <row r="671" spans="1:85" ht="15.75" customHeight="1">
      <c r="A671" s="313"/>
      <c r="B671" s="418"/>
      <c r="C671" s="418"/>
      <c r="D671" s="221"/>
      <c r="E671" s="335"/>
      <c r="F671" s="234"/>
      <c r="G671" s="234"/>
      <c r="H671" s="234"/>
      <c r="I671" s="331"/>
      <c r="J671" s="331"/>
      <c r="K671" s="234"/>
      <c r="L671" s="332"/>
      <c r="M671" s="234"/>
      <c r="N671" s="234"/>
      <c r="O671" s="234"/>
      <c r="P671" s="234"/>
      <c r="Q671" s="234"/>
      <c r="R671" s="234"/>
      <c r="S671" s="234"/>
      <c r="T671" s="234"/>
      <c r="U671" s="388"/>
      <c r="V671" s="388"/>
      <c r="W671" s="388"/>
      <c r="X671" s="331"/>
      <c r="Y671" s="331"/>
      <c r="Z671" s="331"/>
      <c r="AA671" s="234"/>
      <c r="AB671" s="234"/>
      <c r="AC671" s="234"/>
      <c r="AD671" s="234"/>
      <c r="AE671" s="334"/>
      <c r="AF671" s="334"/>
      <c r="AG671" s="334"/>
      <c r="AH671" s="334"/>
      <c r="AI671" s="234"/>
      <c r="AJ671" s="234"/>
      <c r="AK671" s="234"/>
      <c r="AL671" s="234"/>
      <c r="AM671" s="234"/>
      <c r="AN671" s="234"/>
      <c r="AO671" s="234"/>
      <c r="AP671" s="234"/>
      <c r="AQ671" s="234"/>
      <c r="AR671" s="234"/>
      <c r="AS671" s="234"/>
      <c r="AT671" s="234"/>
      <c r="AU671" s="234"/>
      <c r="AV671" s="234"/>
      <c r="AW671" s="234"/>
      <c r="AX671" s="234"/>
      <c r="AY671" s="234"/>
      <c r="AZ671" s="234"/>
      <c r="BA671" s="234"/>
      <c r="BB671" s="234"/>
      <c r="BC671" s="234"/>
      <c r="BD671" s="234"/>
      <c r="BE671" s="234"/>
      <c r="BF671" s="234"/>
      <c r="BG671" s="234"/>
      <c r="BH671" s="234"/>
      <c r="BI671" s="234"/>
      <c r="BJ671" s="234"/>
      <c r="BK671" s="234"/>
      <c r="BL671" s="234"/>
      <c r="BM671" s="234"/>
      <c r="BN671" s="234"/>
      <c r="BO671" s="235"/>
      <c r="BP671" s="234"/>
      <c r="BQ671" s="234"/>
      <c r="BR671" s="234"/>
      <c r="BS671" s="234"/>
      <c r="BT671" s="234"/>
      <c r="BU671" s="234"/>
      <c r="BV671" s="234"/>
      <c r="BW671" s="234"/>
      <c r="BX671" s="1"/>
      <c r="BY671" s="1"/>
      <c r="BZ671" s="1"/>
      <c r="CA671" s="1"/>
      <c r="CB671" s="1"/>
      <c r="CC671" s="1"/>
      <c r="CD671" s="1"/>
      <c r="CE671" s="1"/>
      <c r="CF671" s="1"/>
      <c r="CG671" s="1"/>
    </row>
    <row r="672" spans="1:85" ht="15.75" customHeight="1">
      <c r="A672" s="313"/>
      <c r="B672" s="418"/>
      <c r="C672" s="418"/>
      <c r="D672" s="221"/>
      <c r="E672" s="335"/>
      <c r="F672" s="234"/>
      <c r="G672" s="234"/>
      <c r="H672" s="234"/>
      <c r="I672" s="331"/>
      <c r="J672" s="331"/>
      <c r="K672" s="234"/>
      <c r="L672" s="332"/>
      <c r="M672" s="234"/>
      <c r="N672" s="234"/>
      <c r="O672" s="234"/>
      <c r="P672" s="234"/>
      <c r="Q672" s="234"/>
      <c r="R672" s="234"/>
      <c r="S672" s="234"/>
      <c r="T672" s="234"/>
      <c r="U672" s="388"/>
      <c r="V672" s="388"/>
      <c r="W672" s="388"/>
      <c r="X672" s="331"/>
      <c r="Y672" s="331"/>
      <c r="Z672" s="331"/>
      <c r="AA672" s="234"/>
      <c r="AB672" s="234"/>
      <c r="AC672" s="234"/>
      <c r="AD672" s="234"/>
      <c r="AE672" s="334"/>
      <c r="AF672" s="334"/>
      <c r="AG672" s="334"/>
      <c r="AH672" s="334"/>
      <c r="AI672" s="234"/>
      <c r="AJ672" s="234"/>
      <c r="AK672" s="234"/>
      <c r="AL672" s="234"/>
      <c r="AM672" s="234"/>
      <c r="AN672" s="234"/>
      <c r="AO672" s="234"/>
      <c r="AP672" s="234"/>
      <c r="AQ672" s="234"/>
      <c r="AR672" s="234"/>
      <c r="AS672" s="234"/>
      <c r="AT672" s="234"/>
      <c r="AU672" s="234"/>
      <c r="AV672" s="234"/>
      <c r="AW672" s="234"/>
      <c r="AX672" s="234"/>
      <c r="AY672" s="234"/>
      <c r="AZ672" s="234"/>
      <c r="BA672" s="234"/>
      <c r="BB672" s="234"/>
      <c r="BC672" s="234"/>
      <c r="BD672" s="234"/>
      <c r="BE672" s="234"/>
      <c r="BF672" s="234"/>
      <c r="BG672" s="234"/>
      <c r="BH672" s="234"/>
      <c r="BI672" s="234"/>
      <c r="BJ672" s="234"/>
      <c r="BK672" s="234"/>
      <c r="BL672" s="234"/>
      <c r="BM672" s="234"/>
      <c r="BN672" s="234"/>
      <c r="BO672" s="235"/>
      <c r="BP672" s="234"/>
      <c r="BQ672" s="234"/>
      <c r="BR672" s="234"/>
      <c r="BS672" s="234"/>
      <c r="BT672" s="234"/>
      <c r="BU672" s="234"/>
      <c r="BV672" s="234"/>
      <c r="BW672" s="234"/>
      <c r="BX672" s="1"/>
      <c r="BY672" s="1"/>
      <c r="BZ672" s="1"/>
      <c r="CA672" s="1"/>
      <c r="CB672" s="1"/>
      <c r="CC672" s="1"/>
      <c r="CD672" s="1"/>
      <c r="CE672" s="1"/>
      <c r="CF672" s="1"/>
      <c r="CG672" s="1"/>
    </row>
    <row r="673" spans="1:85" ht="15.75" customHeight="1">
      <c r="A673" s="313"/>
      <c r="B673" s="418"/>
      <c r="C673" s="418"/>
      <c r="D673" s="221"/>
      <c r="E673" s="335"/>
      <c r="F673" s="234"/>
      <c r="G673" s="234"/>
      <c r="H673" s="234"/>
      <c r="I673" s="331"/>
      <c r="J673" s="331"/>
      <c r="K673" s="234"/>
      <c r="L673" s="332"/>
      <c r="M673" s="234"/>
      <c r="N673" s="234"/>
      <c r="O673" s="234"/>
      <c r="P673" s="234"/>
      <c r="Q673" s="234"/>
      <c r="R673" s="234"/>
      <c r="S673" s="234"/>
      <c r="T673" s="234"/>
      <c r="U673" s="388"/>
      <c r="V673" s="388"/>
      <c r="W673" s="388"/>
      <c r="X673" s="331"/>
      <c r="Y673" s="331"/>
      <c r="Z673" s="331"/>
      <c r="AA673" s="234"/>
      <c r="AB673" s="234"/>
      <c r="AC673" s="234"/>
      <c r="AD673" s="234"/>
      <c r="AE673" s="334"/>
      <c r="AF673" s="334"/>
      <c r="AG673" s="334"/>
      <c r="AH673" s="334"/>
      <c r="AI673" s="234"/>
      <c r="AJ673" s="234"/>
      <c r="AK673" s="234"/>
      <c r="AL673" s="234"/>
      <c r="AM673" s="234"/>
      <c r="AN673" s="234"/>
      <c r="AO673" s="234"/>
      <c r="AP673" s="234"/>
      <c r="AQ673" s="234"/>
      <c r="AR673" s="234"/>
      <c r="AS673" s="234"/>
      <c r="AT673" s="234"/>
      <c r="AU673" s="234"/>
      <c r="AV673" s="234"/>
      <c r="AW673" s="234"/>
      <c r="AX673" s="234"/>
      <c r="AY673" s="234"/>
      <c r="AZ673" s="234"/>
      <c r="BA673" s="234"/>
      <c r="BB673" s="234"/>
      <c r="BC673" s="234"/>
      <c r="BD673" s="234"/>
      <c r="BE673" s="234"/>
      <c r="BF673" s="234"/>
      <c r="BG673" s="234"/>
      <c r="BH673" s="234"/>
      <c r="BI673" s="234"/>
      <c r="BJ673" s="234"/>
      <c r="BK673" s="234"/>
      <c r="BL673" s="234"/>
      <c r="BM673" s="234"/>
      <c r="BN673" s="234"/>
      <c r="BO673" s="235"/>
      <c r="BP673" s="234"/>
      <c r="BQ673" s="234"/>
      <c r="BR673" s="234"/>
      <c r="BS673" s="234"/>
      <c r="BT673" s="234"/>
      <c r="BU673" s="234"/>
      <c r="BV673" s="234"/>
      <c r="BW673" s="234"/>
      <c r="BX673" s="1"/>
      <c r="BY673" s="1"/>
      <c r="BZ673" s="1"/>
      <c r="CA673" s="1"/>
      <c r="CB673" s="1"/>
      <c r="CC673" s="1"/>
      <c r="CD673" s="1"/>
      <c r="CE673" s="1"/>
      <c r="CF673" s="1"/>
      <c r="CG673" s="1"/>
    </row>
    <row r="674" spans="1:85" ht="15.75" customHeight="1">
      <c r="A674" s="313"/>
      <c r="B674" s="418"/>
      <c r="C674" s="418"/>
      <c r="D674" s="221"/>
      <c r="E674" s="335"/>
      <c r="F674" s="234"/>
      <c r="G674" s="234"/>
      <c r="H674" s="234"/>
      <c r="I674" s="331"/>
      <c r="J674" s="331"/>
      <c r="K674" s="234"/>
      <c r="L674" s="332"/>
      <c r="M674" s="234"/>
      <c r="N674" s="234"/>
      <c r="O674" s="234"/>
      <c r="P674" s="234"/>
      <c r="Q674" s="234"/>
      <c r="R674" s="234"/>
      <c r="S674" s="234"/>
      <c r="T674" s="234"/>
      <c r="U674" s="388"/>
      <c r="V674" s="388"/>
      <c r="W674" s="388"/>
      <c r="X674" s="331"/>
      <c r="Y674" s="331"/>
      <c r="Z674" s="331"/>
      <c r="AA674" s="234"/>
      <c r="AB674" s="234"/>
      <c r="AC674" s="234"/>
      <c r="AD674" s="234"/>
      <c r="AE674" s="334"/>
      <c r="AF674" s="334"/>
      <c r="AG674" s="334"/>
      <c r="AH674" s="334"/>
      <c r="AI674" s="234"/>
      <c r="AJ674" s="234"/>
      <c r="AK674" s="234"/>
      <c r="AL674" s="234"/>
      <c r="AM674" s="234"/>
      <c r="AN674" s="234"/>
      <c r="AO674" s="234"/>
      <c r="AP674" s="234"/>
      <c r="AQ674" s="234"/>
      <c r="AR674" s="234"/>
      <c r="AS674" s="234"/>
      <c r="AT674" s="234"/>
      <c r="AU674" s="234"/>
      <c r="AV674" s="234"/>
      <c r="AW674" s="234"/>
      <c r="AX674" s="234"/>
      <c r="AY674" s="234"/>
      <c r="AZ674" s="234"/>
      <c r="BA674" s="234"/>
      <c r="BB674" s="234"/>
      <c r="BC674" s="234"/>
      <c r="BD674" s="234"/>
      <c r="BE674" s="234"/>
      <c r="BF674" s="234"/>
      <c r="BG674" s="234"/>
      <c r="BH674" s="234"/>
      <c r="BI674" s="234"/>
      <c r="BJ674" s="234"/>
      <c r="BK674" s="234"/>
      <c r="BL674" s="234"/>
      <c r="BM674" s="234"/>
      <c r="BN674" s="234"/>
      <c r="BO674" s="235"/>
      <c r="BP674" s="234"/>
      <c r="BQ674" s="234"/>
      <c r="BR674" s="234"/>
      <c r="BS674" s="234"/>
      <c r="BT674" s="234"/>
      <c r="BU674" s="234"/>
      <c r="BV674" s="234"/>
      <c r="BW674" s="234"/>
      <c r="BX674" s="1"/>
      <c r="BY674" s="1"/>
      <c r="BZ674" s="1"/>
      <c r="CA674" s="1"/>
      <c r="CB674" s="1"/>
      <c r="CC674" s="1"/>
      <c r="CD674" s="1"/>
      <c r="CE674" s="1"/>
      <c r="CF674" s="1"/>
      <c r="CG674" s="1"/>
    </row>
    <row r="675" spans="1:85" ht="15.75" customHeight="1">
      <c r="A675" s="313"/>
      <c r="B675" s="418"/>
      <c r="C675" s="418"/>
      <c r="D675" s="221"/>
      <c r="E675" s="335"/>
      <c r="F675" s="234"/>
      <c r="G675" s="234"/>
      <c r="H675" s="234"/>
      <c r="I675" s="331"/>
      <c r="J675" s="331"/>
      <c r="K675" s="234"/>
      <c r="L675" s="332"/>
      <c r="M675" s="234"/>
      <c r="N675" s="234"/>
      <c r="O675" s="234"/>
      <c r="P675" s="234"/>
      <c r="Q675" s="234"/>
      <c r="R675" s="234"/>
      <c r="S675" s="234"/>
      <c r="T675" s="234"/>
      <c r="U675" s="388"/>
      <c r="V675" s="388"/>
      <c r="W675" s="388"/>
      <c r="X675" s="331"/>
      <c r="Y675" s="331"/>
      <c r="Z675" s="331"/>
      <c r="AA675" s="234"/>
      <c r="AB675" s="234"/>
      <c r="AC675" s="234"/>
      <c r="AD675" s="234"/>
      <c r="AE675" s="334"/>
      <c r="AF675" s="334"/>
      <c r="AG675" s="334"/>
      <c r="AH675" s="334"/>
      <c r="AI675" s="234"/>
      <c r="AJ675" s="234"/>
      <c r="AK675" s="234"/>
      <c r="AL675" s="234"/>
      <c r="AM675" s="234"/>
      <c r="AN675" s="234"/>
      <c r="AO675" s="234"/>
      <c r="AP675" s="234"/>
      <c r="AQ675" s="234"/>
      <c r="AR675" s="234"/>
      <c r="AS675" s="234"/>
      <c r="AT675" s="234"/>
      <c r="AU675" s="234"/>
      <c r="AV675" s="234"/>
      <c r="AW675" s="234"/>
      <c r="AX675" s="234"/>
      <c r="AY675" s="234"/>
      <c r="AZ675" s="234"/>
      <c r="BA675" s="234"/>
      <c r="BB675" s="234"/>
      <c r="BC675" s="234"/>
      <c r="BD675" s="234"/>
      <c r="BE675" s="234"/>
      <c r="BF675" s="234"/>
      <c r="BG675" s="234"/>
      <c r="BH675" s="234"/>
      <c r="BI675" s="234"/>
      <c r="BJ675" s="234"/>
      <c r="BK675" s="234"/>
      <c r="BL675" s="234"/>
      <c r="BM675" s="234"/>
      <c r="BN675" s="234"/>
      <c r="BO675" s="235"/>
      <c r="BP675" s="234"/>
      <c r="BQ675" s="234"/>
      <c r="BR675" s="234"/>
      <c r="BS675" s="234"/>
      <c r="BT675" s="234"/>
      <c r="BU675" s="234"/>
      <c r="BV675" s="234"/>
      <c r="BW675" s="234"/>
      <c r="BX675" s="1"/>
      <c r="BY675" s="1"/>
      <c r="BZ675" s="1"/>
      <c r="CA675" s="1"/>
      <c r="CB675" s="1"/>
      <c r="CC675" s="1"/>
      <c r="CD675" s="1"/>
      <c r="CE675" s="1"/>
      <c r="CF675" s="1"/>
      <c r="CG675" s="1"/>
    </row>
    <row r="676" spans="1:85" ht="15.75" customHeight="1">
      <c r="A676" s="313"/>
      <c r="B676" s="418"/>
      <c r="C676" s="418"/>
      <c r="D676" s="221"/>
      <c r="E676" s="335"/>
      <c r="F676" s="234"/>
      <c r="G676" s="234"/>
      <c r="H676" s="234"/>
      <c r="I676" s="331"/>
      <c r="J676" s="331"/>
      <c r="K676" s="234"/>
      <c r="L676" s="332"/>
      <c r="M676" s="234"/>
      <c r="N676" s="234"/>
      <c r="O676" s="234"/>
      <c r="P676" s="234"/>
      <c r="Q676" s="234"/>
      <c r="R676" s="234"/>
      <c r="S676" s="234"/>
      <c r="T676" s="234"/>
      <c r="U676" s="388"/>
      <c r="V676" s="388"/>
      <c r="W676" s="388"/>
      <c r="X676" s="331"/>
      <c r="Y676" s="331"/>
      <c r="Z676" s="331"/>
      <c r="AA676" s="234"/>
      <c r="AB676" s="234"/>
      <c r="AC676" s="234"/>
      <c r="AD676" s="234"/>
      <c r="AE676" s="334"/>
      <c r="AF676" s="334"/>
      <c r="AG676" s="334"/>
      <c r="AH676" s="334"/>
      <c r="AI676" s="234"/>
      <c r="AJ676" s="234"/>
      <c r="AK676" s="234"/>
      <c r="AL676" s="234"/>
      <c r="AM676" s="234"/>
      <c r="AN676" s="234"/>
      <c r="AO676" s="234"/>
      <c r="AP676" s="234"/>
      <c r="AQ676" s="234"/>
      <c r="AR676" s="234"/>
      <c r="AS676" s="234"/>
      <c r="AT676" s="234"/>
      <c r="AU676" s="234"/>
      <c r="AV676" s="234"/>
      <c r="AW676" s="234"/>
      <c r="AX676" s="234"/>
      <c r="AY676" s="234"/>
      <c r="AZ676" s="234"/>
      <c r="BA676" s="234"/>
      <c r="BB676" s="234"/>
      <c r="BC676" s="234"/>
      <c r="BD676" s="234"/>
      <c r="BE676" s="234"/>
      <c r="BF676" s="234"/>
      <c r="BG676" s="234"/>
      <c r="BH676" s="234"/>
      <c r="BI676" s="234"/>
      <c r="BJ676" s="234"/>
      <c r="BK676" s="234"/>
      <c r="BL676" s="234"/>
      <c r="BM676" s="234"/>
      <c r="BN676" s="234"/>
      <c r="BO676" s="235"/>
      <c r="BP676" s="234"/>
      <c r="BQ676" s="234"/>
      <c r="BR676" s="234"/>
      <c r="BS676" s="234"/>
      <c r="BT676" s="234"/>
      <c r="BU676" s="234"/>
      <c r="BV676" s="234"/>
      <c r="BW676" s="234"/>
      <c r="BX676" s="1"/>
      <c r="BY676" s="1"/>
      <c r="BZ676" s="1"/>
      <c r="CA676" s="1"/>
      <c r="CB676" s="1"/>
      <c r="CC676" s="1"/>
      <c r="CD676" s="1"/>
      <c r="CE676" s="1"/>
      <c r="CF676" s="1"/>
      <c r="CG676" s="1"/>
    </row>
    <row r="677" spans="1:85" ht="15.75" customHeight="1">
      <c r="A677" s="313"/>
      <c r="B677" s="418"/>
      <c r="C677" s="418"/>
      <c r="D677" s="221"/>
      <c r="E677" s="335"/>
      <c r="F677" s="234"/>
      <c r="G677" s="234"/>
      <c r="H677" s="234"/>
      <c r="I677" s="331"/>
      <c r="J677" s="331"/>
      <c r="K677" s="234"/>
      <c r="L677" s="332"/>
      <c r="M677" s="234"/>
      <c r="N677" s="234"/>
      <c r="O677" s="234"/>
      <c r="P677" s="234"/>
      <c r="Q677" s="234"/>
      <c r="R677" s="234"/>
      <c r="S677" s="234"/>
      <c r="T677" s="234"/>
      <c r="U677" s="388"/>
      <c r="V677" s="388"/>
      <c r="W677" s="388"/>
      <c r="X677" s="331"/>
      <c r="Y677" s="331"/>
      <c r="Z677" s="331"/>
      <c r="AA677" s="234"/>
      <c r="AB677" s="234"/>
      <c r="AC677" s="234"/>
      <c r="AD677" s="234"/>
      <c r="AE677" s="334"/>
      <c r="AF677" s="334"/>
      <c r="AG677" s="334"/>
      <c r="AH677" s="334"/>
      <c r="AI677" s="234"/>
      <c r="AJ677" s="234"/>
      <c r="AK677" s="234"/>
      <c r="AL677" s="234"/>
      <c r="AM677" s="234"/>
      <c r="AN677" s="234"/>
      <c r="AO677" s="234"/>
      <c r="AP677" s="234"/>
      <c r="AQ677" s="234"/>
      <c r="AR677" s="234"/>
      <c r="AS677" s="234"/>
      <c r="AT677" s="234"/>
      <c r="AU677" s="234"/>
      <c r="AV677" s="234"/>
      <c r="AW677" s="234"/>
      <c r="AX677" s="234"/>
      <c r="AY677" s="234"/>
      <c r="AZ677" s="234"/>
      <c r="BA677" s="234"/>
      <c r="BB677" s="234"/>
      <c r="BC677" s="234"/>
      <c r="BD677" s="234"/>
      <c r="BE677" s="234"/>
      <c r="BF677" s="234"/>
      <c r="BG677" s="234"/>
      <c r="BH677" s="234"/>
      <c r="BI677" s="234"/>
      <c r="BJ677" s="234"/>
      <c r="BK677" s="234"/>
      <c r="BL677" s="234"/>
      <c r="BM677" s="234"/>
      <c r="BN677" s="234"/>
      <c r="BO677" s="235"/>
      <c r="BP677" s="234"/>
      <c r="BQ677" s="234"/>
      <c r="BR677" s="234"/>
      <c r="BS677" s="234"/>
      <c r="BT677" s="234"/>
      <c r="BU677" s="234"/>
      <c r="BV677" s="234"/>
      <c r="BW677" s="234"/>
      <c r="BX677" s="1"/>
      <c r="BY677" s="1"/>
      <c r="BZ677" s="1"/>
      <c r="CA677" s="1"/>
      <c r="CB677" s="1"/>
      <c r="CC677" s="1"/>
      <c r="CD677" s="1"/>
      <c r="CE677" s="1"/>
      <c r="CF677" s="1"/>
      <c r="CG677" s="1"/>
    </row>
    <row r="678" spans="1:85" ht="15.75" customHeight="1">
      <c r="A678" s="313"/>
      <c r="B678" s="418"/>
      <c r="C678" s="418"/>
      <c r="D678" s="221"/>
      <c r="E678" s="335"/>
      <c r="F678" s="234"/>
      <c r="G678" s="234"/>
      <c r="H678" s="234"/>
      <c r="I678" s="331"/>
      <c r="J678" s="331"/>
      <c r="K678" s="234"/>
      <c r="L678" s="332"/>
      <c r="M678" s="234"/>
      <c r="N678" s="234"/>
      <c r="O678" s="234"/>
      <c r="P678" s="234"/>
      <c r="Q678" s="234"/>
      <c r="R678" s="234"/>
      <c r="S678" s="234"/>
      <c r="T678" s="234"/>
      <c r="U678" s="388"/>
      <c r="V678" s="388"/>
      <c r="W678" s="388"/>
      <c r="X678" s="331"/>
      <c r="Y678" s="331"/>
      <c r="Z678" s="331"/>
      <c r="AA678" s="234"/>
      <c r="AB678" s="234"/>
      <c r="AC678" s="234"/>
      <c r="AD678" s="234"/>
      <c r="AE678" s="334"/>
      <c r="AF678" s="334"/>
      <c r="AG678" s="334"/>
      <c r="AH678" s="334"/>
      <c r="AI678" s="234"/>
      <c r="AJ678" s="234"/>
      <c r="AK678" s="234"/>
      <c r="AL678" s="234"/>
      <c r="AM678" s="234"/>
      <c r="AN678" s="234"/>
      <c r="AO678" s="234"/>
      <c r="AP678" s="234"/>
      <c r="AQ678" s="234"/>
      <c r="AR678" s="234"/>
      <c r="AS678" s="234"/>
      <c r="AT678" s="234"/>
      <c r="AU678" s="234"/>
      <c r="AV678" s="234"/>
      <c r="AW678" s="234"/>
      <c r="AX678" s="234"/>
      <c r="AY678" s="234"/>
      <c r="AZ678" s="234"/>
      <c r="BA678" s="234"/>
      <c r="BB678" s="234"/>
      <c r="BC678" s="234"/>
      <c r="BD678" s="234"/>
      <c r="BE678" s="234"/>
      <c r="BF678" s="234"/>
      <c r="BG678" s="234"/>
      <c r="BH678" s="234"/>
      <c r="BI678" s="234"/>
      <c r="BJ678" s="234"/>
      <c r="BK678" s="234"/>
      <c r="BL678" s="234"/>
      <c r="BM678" s="234"/>
      <c r="BN678" s="234"/>
      <c r="BO678" s="235"/>
      <c r="BP678" s="234"/>
      <c r="BQ678" s="234"/>
      <c r="BR678" s="234"/>
      <c r="BS678" s="234"/>
      <c r="BT678" s="234"/>
      <c r="BU678" s="234"/>
      <c r="BV678" s="234"/>
      <c r="BW678" s="234"/>
      <c r="BX678" s="1"/>
      <c r="BY678" s="1"/>
      <c r="BZ678" s="1"/>
      <c r="CA678" s="1"/>
      <c r="CB678" s="1"/>
      <c r="CC678" s="1"/>
      <c r="CD678" s="1"/>
      <c r="CE678" s="1"/>
      <c r="CF678" s="1"/>
      <c r="CG678" s="1"/>
    </row>
    <row r="679" spans="1:85" ht="15.75" customHeight="1">
      <c r="A679" s="313"/>
      <c r="B679" s="418"/>
      <c r="C679" s="418"/>
      <c r="D679" s="221"/>
      <c r="E679" s="335"/>
      <c r="F679" s="234"/>
      <c r="G679" s="234"/>
      <c r="H679" s="234"/>
      <c r="I679" s="331"/>
      <c r="J679" s="331"/>
      <c r="K679" s="234"/>
      <c r="L679" s="332"/>
      <c r="M679" s="234"/>
      <c r="N679" s="234"/>
      <c r="O679" s="234"/>
      <c r="P679" s="234"/>
      <c r="Q679" s="234"/>
      <c r="R679" s="234"/>
      <c r="S679" s="234"/>
      <c r="T679" s="234"/>
      <c r="U679" s="388"/>
      <c r="V679" s="388"/>
      <c r="W679" s="388"/>
      <c r="X679" s="331"/>
      <c r="Y679" s="331"/>
      <c r="Z679" s="331"/>
      <c r="AA679" s="234"/>
      <c r="AB679" s="234"/>
      <c r="AC679" s="234"/>
      <c r="AD679" s="234"/>
      <c r="AE679" s="334"/>
      <c r="AF679" s="334"/>
      <c r="AG679" s="334"/>
      <c r="AH679" s="334"/>
      <c r="AI679" s="234"/>
      <c r="AJ679" s="234"/>
      <c r="AK679" s="234"/>
      <c r="AL679" s="234"/>
      <c r="AM679" s="234"/>
      <c r="AN679" s="234"/>
      <c r="AO679" s="234"/>
      <c r="AP679" s="234"/>
      <c r="AQ679" s="234"/>
      <c r="AR679" s="234"/>
      <c r="AS679" s="234"/>
      <c r="AT679" s="234"/>
      <c r="AU679" s="234"/>
      <c r="AV679" s="234"/>
      <c r="AW679" s="234"/>
      <c r="AX679" s="234"/>
      <c r="AY679" s="234"/>
      <c r="AZ679" s="234"/>
      <c r="BA679" s="234"/>
      <c r="BB679" s="234"/>
      <c r="BC679" s="234"/>
      <c r="BD679" s="234"/>
      <c r="BE679" s="234"/>
      <c r="BF679" s="234"/>
      <c r="BG679" s="234"/>
      <c r="BH679" s="234"/>
      <c r="BI679" s="234"/>
      <c r="BJ679" s="234"/>
      <c r="BK679" s="234"/>
      <c r="BL679" s="234"/>
      <c r="BM679" s="234"/>
      <c r="BN679" s="234"/>
      <c r="BO679" s="235"/>
      <c r="BP679" s="234"/>
      <c r="BQ679" s="234"/>
      <c r="BR679" s="234"/>
      <c r="BS679" s="234"/>
      <c r="BT679" s="234"/>
      <c r="BU679" s="234"/>
      <c r="BV679" s="234"/>
      <c r="BW679" s="234"/>
      <c r="BX679" s="1"/>
      <c r="BY679" s="1"/>
      <c r="BZ679" s="1"/>
      <c r="CA679" s="1"/>
      <c r="CB679" s="1"/>
      <c r="CC679" s="1"/>
      <c r="CD679" s="1"/>
      <c r="CE679" s="1"/>
      <c r="CF679" s="1"/>
      <c r="CG679" s="1"/>
    </row>
    <row r="680" spans="1:85" ht="15.75" customHeight="1">
      <c r="A680" s="313"/>
      <c r="B680" s="418"/>
      <c r="C680" s="418"/>
      <c r="D680" s="221"/>
      <c r="E680" s="335"/>
      <c r="F680" s="234"/>
      <c r="G680" s="234"/>
      <c r="H680" s="234"/>
      <c r="I680" s="331"/>
      <c r="J680" s="331"/>
      <c r="K680" s="234"/>
      <c r="L680" s="332"/>
      <c r="M680" s="234"/>
      <c r="N680" s="234"/>
      <c r="O680" s="234"/>
      <c r="P680" s="234"/>
      <c r="Q680" s="234"/>
      <c r="R680" s="234"/>
      <c r="S680" s="234"/>
      <c r="T680" s="234"/>
      <c r="U680" s="388"/>
      <c r="V680" s="388"/>
      <c r="W680" s="388"/>
      <c r="X680" s="331"/>
      <c r="Y680" s="331"/>
      <c r="Z680" s="331"/>
      <c r="AA680" s="234"/>
      <c r="AB680" s="234"/>
      <c r="AC680" s="234"/>
      <c r="AD680" s="234"/>
      <c r="AE680" s="334"/>
      <c r="AF680" s="334"/>
      <c r="AG680" s="334"/>
      <c r="AH680" s="334"/>
      <c r="AI680" s="234"/>
      <c r="AJ680" s="234"/>
      <c r="AK680" s="234"/>
      <c r="AL680" s="234"/>
      <c r="AM680" s="234"/>
      <c r="AN680" s="234"/>
      <c r="AO680" s="234"/>
      <c r="AP680" s="234"/>
      <c r="AQ680" s="234"/>
      <c r="AR680" s="234"/>
      <c r="AS680" s="234"/>
      <c r="AT680" s="234"/>
      <c r="AU680" s="234"/>
      <c r="AV680" s="234"/>
      <c r="AW680" s="234"/>
      <c r="AX680" s="234"/>
      <c r="AY680" s="234"/>
      <c r="AZ680" s="234"/>
      <c r="BA680" s="234"/>
      <c r="BB680" s="234"/>
      <c r="BC680" s="234"/>
      <c r="BD680" s="234"/>
      <c r="BE680" s="234"/>
      <c r="BF680" s="234"/>
      <c r="BG680" s="234"/>
      <c r="BH680" s="234"/>
      <c r="BI680" s="234"/>
      <c r="BJ680" s="234"/>
      <c r="BK680" s="234"/>
      <c r="BL680" s="234"/>
      <c r="BM680" s="234"/>
      <c r="BN680" s="234"/>
      <c r="BO680" s="235"/>
      <c r="BP680" s="234"/>
      <c r="BQ680" s="234"/>
      <c r="BR680" s="234"/>
      <c r="BS680" s="234"/>
      <c r="BT680" s="234"/>
      <c r="BU680" s="234"/>
      <c r="BV680" s="234"/>
      <c r="BW680" s="234"/>
      <c r="BX680" s="1"/>
      <c r="BY680" s="1"/>
      <c r="BZ680" s="1"/>
      <c r="CA680" s="1"/>
      <c r="CB680" s="1"/>
      <c r="CC680" s="1"/>
      <c r="CD680" s="1"/>
      <c r="CE680" s="1"/>
      <c r="CF680" s="1"/>
      <c r="CG680" s="1"/>
    </row>
    <row r="681" spans="1:85" ht="15.75" customHeight="1">
      <c r="A681" s="313"/>
      <c r="B681" s="418"/>
      <c r="C681" s="418"/>
      <c r="D681" s="221"/>
      <c r="E681" s="335"/>
      <c r="F681" s="234"/>
      <c r="G681" s="234"/>
      <c r="H681" s="234"/>
      <c r="I681" s="331"/>
      <c r="J681" s="331"/>
      <c r="K681" s="234"/>
      <c r="L681" s="332"/>
      <c r="M681" s="234"/>
      <c r="N681" s="234"/>
      <c r="O681" s="234"/>
      <c r="P681" s="234"/>
      <c r="Q681" s="234"/>
      <c r="R681" s="234"/>
      <c r="S681" s="234"/>
      <c r="T681" s="234"/>
      <c r="U681" s="388"/>
      <c r="V681" s="388"/>
      <c r="W681" s="388"/>
      <c r="X681" s="331"/>
      <c r="Y681" s="331"/>
      <c r="Z681" s="331"/>
      <c r="AA681" s="234"/>
      <c r="AB681" s="234"/>
      <c r="AC681" s="234"/>
      <c r="AD681" s="234"/>
      <c r="AE681" s="334"/>
      <c r="AF681" s="334"/>
      <c r="AG681" s="334"/>
      <c r="AH681" s="334"/>
      <c r="AI681" s="234"/>
      <c r="AJ681" s="234"/>
      <c r="AK681" s="234"/>
      <c r="AL681" s="234"/>
      <c r="AM681" s="234"/>
      <c r="AN681" s="234"/>
      <c r="AO681" s="234"/>
      <c r="AP681" s="234"/>
      <c r="AQ681" s="234"/>
      <c r="AR681" s="234"/>
      <c r="AS681" s="234"/>
      <c r="AT681" s="234"/>
      <c r="AU681" s="234"/>
      <c r="AV681" s="234"/>
      <c r="AW681" s="234"/>
      <c r="AX681" s="234"/>
      <c r="AY681" s="234"/>
      <c r="AZ681" s="234"/>
      <c r="BA681" s="234"/>
      <c r="BB681" s="234"/>
      <c r="BC681" s="234"/>
      <c r="BD681" s="234"/>
      <c r="BE681" s="234"/>
      <c r="BF681" s="234"/>
      <c r="BG681" s="234"/>
      <c r="BH681" s="234"/>
      <c r="BI681" s="234"/>
      <c r="BJ681" s="234"/>
      <c r="BK681" s="234"/>
      <c r="BL681" s="234"/>
      <c r="BM681" s="234"/>
      <c r="BN681" s="234"/>
      <c r="BO681" s="235"/>
      <c r="BP681" s="234"/>
      <c r="BQ681" s="234"/>
      <c r="BR681" s="234"/>
      <c r="BS681" s="234"/>
      <c r="BT681" s="234"/>
      <c r="BU681" s="234"/>
      <c r="BV681" s="234"/>
      <c r="BW681" s="234"/>
      <c r="BX681" s="1"/>
      <c r="BY681" s="1"/>
      <c r="BZ681" s="1"/>
      <c r="CA681" s="1"/>
      <c r="CB681" s="1"/>
      <c r="CC681" s="1"/>
      <c r="CD681" s="1"/>
      <c r="CE681" s="1"/>
      <c r="CF681" s="1"/>
      <c r="CG681" s="1"/>
    </row>
    <row r="682" spans="1:85" ht="15.75" customHeight="1">
      <c r="A682" s="313"/>
      <c r="B682" s="418"/>
      <c r="C682" s="418"/>
      <c r="D682" s="221"/>
      <c r="E682" s="335"/>
      <c r="F682" s="234"/>
      <c r="G682" s="234"/>
      <c r="H682" s="234"/>
      <c r="I682" s="331"/>
      <c r="J682" s="331"/>
      <c r="K682" s="234"/>
      <c r="L682" s="332"/>
      <c r="M682" s="234"/>
      <c r="N682" s="234"/>
      <c r="O682" s="234"/>
      <c r="P682" s="234"/>
      <c r="Q682" s="234"/>
      <c r="R682" s="234"/>
      <c r="S682" s="234"/>
      <c r="T682" s="234"/>
      <c r="U682" s="388"/>
      <c r="V682" s="388"/>
      <c r="W682" s="388"/>
      <c r="X682" s="331"/>
      <c r="Y682" s="331"/>
      <c r="Z682" s="331"/>
      <c r="AA682" s="234"/>
      <c r="AB682" s="234"/>
      <c r="AC682" s="234"/>
      <c r="AD682" s="234"/>
      <c r="AE682" s="334"/>
      <c r="AF682" s="334"/>
      <c r="AG682" s="334"/>
      <c r="AH682" s="334"/>
      <c r="AI682" s="234"/>
      <c r="AJ682" s="234"/>
      <c r="AK682" s="234"/>
      <c r="AL682" s="234"/>
      <c r="AM682" s="234"/>
      <c r="AN682" s="234"/>
      <c r="AO682" s="234"/>
      <c r="AP682" s="234"/>
      <c r="AQ682" s="234"/>
      <c r="AR682" s="234"/>
      <c r="AS682" s="234"/>
      <c r="AT682" s="234"/>
      <c r="AU682" s="234"/>
      <c r="AV682" s="234"/>
      <c r="AW682" s="234"/>
      <c r="AX682" s="234"/>
      <c r="AY682" s="234"/>
      <c r="AZ682" s="234"/>
      <c r="BA682" s="234"/>
      <c r="BB682" s="234"/>
      <c r="BC682" s="234"/>
      <c r="BD682" s="234"/>
      <c r="BE682" s="234"/>
      <c r="BF682" s="234"/>
      <c r="BG682" s="234"/>
      <c r="BH682" s="234"/>
      <c r="BI682" s="234"/>
      <c r="BJ682" s="234"/>
      <c r="BK682" s="234"/>
      <c r="BL682" s="234"/>
      <c r="BM682" s="234"/>
      <c r="BN682" s="234"/>
      <c r="BO682" s="235"/>
      <c r="BP682" s="234"/>
      <c r="BQ682" s="234"/>
      <c r="BR682" s="234"/>
      <c r="BS682" s="234"/>
      <c r="BT682" s="234"/>
      <c r="BU682" s="234"/>
      <c r="BV682" s="234"/>
      <c r="BW682" s="234"/>
      <c r="BX682" s="1"/>
      <c r="BY682" s="1"/>
      <c r="BZ682" s="1"/>
      <c r="CA682" s="1"/>
      <c r="CB682" s="1"/>
      <c r="CC682" s="1"/>
      <c r="CD682" s="1"/>
      <c r="CE682" s="1"/>
      <c r="CF682" s="1"/>
      <c r="CG682" s="1"/>
    </row>
    <row r="683" spans="1:85" ht="15.75" customHeight="1">
      <c r="A683" s="313"/>
      <c r="B683" s="418"/>
      <c r="C683" s="418"/>
      <c r="D683" s="221"/>
      <c r="E683" s="335"/>
      <c r="F683" s="234"/>
      <c r="G683" s="234"/>
      <c r="H683" s="234"/>
      <c r="I683" s="331"/>
      <c r="J683" s="331"/>
      <c r="K683" s="234"/>
      <c r="L683" s="332"/>
      <c r="M683" s="234"/>
      <c r="N683" s="234"/>
      <c r="O683" s="234"/>
      <c r="P683" s="234"/>
      <c r="Q683" s="234"/>
      <c r="R683" s="234"/>
      <c r="S683" s="234"/>
      <c r="T683" s="234"/>
      <c r="U683" s="388"/>
      <c r="V683" s="388"/>
      <c r="W683" s="388"/>
      <c r="X683" s="331"/>
      <c r="Y683" s="331"/>
      <c r="Z683" s="331"/>
      <c r="AA683" s="234"/>
      <c r="AB683" s="234"/>
      <c r="AC683" s="234"/>
      <c r="AD683" s="234"/>
      <c r="AE683" s="334"/>
      <c r="AF683" s="334"/>
      <c r="AG683" s="334"/>
      <c r="AH683" s="334"/>
      <c r="AI683" s="234"/>
      <c r="AJ683" s="234"/>
      <c r="AK683" s="234"/>
      <c r="AL683" s="234"/>
      <c r="AM683" s="234"/>
      <c r="AN683" s="234"/>
      <c r="AO683" s="234"/>
      <c r="AP683" s="234"/>
      <c r="AQ683" s="234"/>
      <c r="AR683" s="234"/>
      <c r="AS683" s="234"/>
      <c r="AT683" s="234"/>
      <c r="AU683" s="234"/>
      <c r="AV683" s="234"/>
      <c r="AW683" s="234"/>
      <c r="AX683" s="234"/>
      <c r="AY683" s="234"/>
      <c r="AZ683" s="234"/>
      <c r="BA683" s="234"/>
      <c r="BB683" s="234"/>
      <c r="BC683" s="234"/>
      <c r="BD683" s="234"/>
      <c r="BE683" s="234"/>
      <c r="BF683" s="234"/>
      <c r="BG683" s="234"/>
      <c r="BH683" s="234"/>
      <c r="BI683" s="234"/>
      <c r="BJ683" s="234"/>
      <c r="BK683" s="234"/>
      <c r="BL683" s="234"/>
      <c r="BM683" s="234"/>
      <c r="BN683" s="234"/>
      <c r="BO683" s="235"/>
      <c r="BP683" s="234"/>
      <c r="BQ683" s="234"/>
      <c r="BR683" s="234"/>
      <c r="BS683" s="234"/>
      <c r="BT683" s="234"/>
      <c r="BU683" s="234"/>
      <c r="BV683" s="234"/>
      <c r="BW683" s="234"/>
      <c r="BX683" s="1"/>
      <c r="BY683" s="1"/>
      <c r="BZ683" s="1"/>
      <c r="CA683" s="1"/>
      <c r="CB683" s="1"/>
      <c r="CC683" s="1"/>
      <c r="CD683" s="1"/>
      <c r="CE683" s="1"/>
      <c r="CF683" s="1"/>
      <c r="CG683" s="1"/>
    </row>
    <row r="684" spans="1:85" ht="15.75" customHeight="1">
      <c r="A684" s="313"/>
      <c r="B684" s="418"/>
      <c r="C684" s="418"/>
      <c r="D684" s="221"/>
      <c r="E684" s="335"/>
      <c r="F684" s="234"/>
      <c r="G684" s="234"/>
      <c r="H684" s="234"/>
      <c r="I684" s="331"/>
      <c r="J684" s="331"/>
      <c r="K684" s="234"/>
      <c r="L684" s="332"/>
      <c r="M684" s="234"/>
      <c r="N684" s="234"/>
      <c r="O684" s="234"/>
      <c r="P684" s="234"/>
      <c r="Q684" s="234"/>
      <c r="R684" s="234"/>
      <c r="S684" s="234"/>
      <c r="T684" s="234"/>
      <c r="U684" s="388"/>
      <c r="V684" s="388"/>
      <c r="W684" s="388"/>
      <c r="X684" s="331"/>
      <c r="Y684" s="331"/>
      <c r="Z684" s="331"/>
      <c r="AA684" s="234"/>
      <c r="AB684" s="234"/>
      <c r="AC684" s="234"/>
      <c r="AD684" s="234"/>
      <c r="AE684" s="334"/>
      <c r="AF684" s="334"/>
      <c r="AG684" s="334"/>
      <c r="AH684" s="334"/>
      <c r="AI684" s="234"/>
      <c r="AJ684" s="234"/>
      <c r="AK684" s="234"/>
      <c r="AL684" s="234"/>
      <c r="AM684" s="234"/>
      <c r="AN684" s="234"/>
      <c r="AO684" s="234"/>
      <c r="AP684" s="234"/>
      <c r="AQ684" s="234"/>
      <c r="AR684" s="234"/>
      <c r="AS684" s="234"/>
      <c r="AT684" s="234"/>
      <c r="AU684" s="234"/>
      <c r="AV684" s="234"/>
      <c r="AW684" s="234"/>
      <c r="AX684" s="234"/>
      <c r="AY684" s="234"/>
      <c r="AZ684" s="234"/>
      <c r="BA684" s="234"/>
      <c r="BB684" s="234"/>
      <c r="BC684" s="234"/>
      <c r="BD684" s="234"/>
      <c r="BE684" s="234"/>
      <c r="BF684" s="234"/>
      <c r="BG684" s="234"/>
      <c r="BH684" s="234"/>
      <c r="BI684" s="234"/>
      <c r="BJ684" s="234"/>
      <c r="BK684" s="234"/>
      <c r="BL684" s="234"/>
      <c r="BM684" s="234"/>
      <c r="BN684" s="234"/>
      <c r="BO684" s="235"/>
      <c r="BP684" s="234"/>
      <c r="BQ684" s="234"/>
      <c r="BR684" s="234"/>
      <c r="BS684" s="234"/>
      <c r="BT684" s="234"/>
      <c r="BU684" s="234"/>
      <c r="BV684" s="234"/>
      <c r="BW684" s="234"/>
      <c r="BX684" s="1"/>
      <c r="BY684" s="1"/>
      <c r="BZ684" s="1"/>
      <c r="CA684" s="1"/>
      <c r="CB684" s="1"/>
      <c r="CC684" s="1"/>
      <c r="CD684" s="1"/>
      <c r="CE684" s="1"/>
      <c r="CF684" s="1"/>
      <c r="CG684" s="1"/>
    </row>
    <row r="685" spans="1:85" ht="15.75" customHeight="1">
      <c r="A685" s="313"/>
      <c r="B685" s="418"/>
      <c r="C685" s="418"/>
      <c r="D685" s="221"/>
      <c r="E685" s="335"/>
      <c r="F685" s="234"/>
      <c r="G685" s="234"/>
      <c r="H685" s="234"/>
      <c r="I685" s="331"/>
      <c r="J685" s="331"/>
      <c r="K685" s="234"/>
      <c r="L685" s="332"/>
      <c r="M685" s="234"/>
      <c r="N685" s="234"/>
      <c r="O685" s="234"/>
      <c r="P685" s="234"/>
      <c r="Q685" s="234"/>
      <c r="R685" s="234"/>
      <c r="S685" s="234"/>
      <c r="T685" s="234"/>
      <c r="U685" s="388"/>
      <c r="V685" s="388"/>
      <c r="W685" s="388"/>
      <c r="X685" s="331"/>
      <c r="Y685" s="331"/>
      <c r="Z685" s="331"/>
      <c r="AA685" s="234"/>
      <c r="AB685" s="234"/>
      <c r="AC685" s="234"/>
      <c r="AD685" s="234"/>
      <c r="AE685" s="334"/>
      <c r="AF685" s="334"/>
      <c r="AG685" s="334"/>
      <c r="AH685" s="334"/>
      <c r="AI685" s="234"/>
      <c r="AJ685" s="234"/>
      <c r="AK685" s="234"/>
      <c r="AL685" s="234"/>
      <c r="AM685" s="234"/>
      <c r="AN685" s="234"/>
      <c r="AO685" s="234"/>
      <c r="AP685" s="234"/>
      <c r="AQ685" s="234"/>
      <c r="AR685" s="234"/>
      <c r="AS685" s="234"/>
      <c r="AT685" s="234"/>
      <c r="AU685" s="234"/>
      <c r="AV685" s="234"/>
      <c r="AW685" s="234"/>
      <c r="AX685" s="234"/>
      <c r="AY685" s="234"/>
      <c r="AZ685" s="234"/>
      <c r="BA685" s="234"/>
      <c r="BB685" s="234"/>
      <c r="BC685" s="234"/>
      <c r="BD685" s="234"/>
      <c r="BE685" s="234"/>
      <c r="BF685" s="234"/>
      <c r="BG685" s="234"/>
      <c r="BH685" s="234"/>
      <c r="BI685" s="234"/>
      <c r="BJ685" s="234"/>
      <c r="BK685" s="234"/>
      <c r="BL685" s="234"/>
      <c r="BM685" s="234"/>
      <c r="BN685" s="234"/>
      <c r="BO685" s="235"/>
      <c r="BP685" s="234"/>
      <c r="BQ685" s="234"/>
      <c r="BR685" s="234"/>
      <c r="BS685" s="234"/>
      <c r="BT685" s="234"/>
      <c r="BU685" s="234"/>
      <c r="BV685" s="234"/>
      <c r="BW685" s="234"/>
      <c r="BX685" s="1"/>
      <c r="BY685" s="1"/>
      <c r="BZ685" s="1"/>
      <c r="CA685" s="1"/>
      <c r="CB685" s="1"/>
      <c r="CC685" s="1"/>
      <c r="CD685" s="1"/>
      <c r="CE685" s="1"/>
      <c r="CF685" s="1"/>
      <c r="CG685" s="1"/>
    </row>
    <row r="686" spans="1:85" ht="15.75" customHeight="1">
      <c r="A686" s="313"/>
      <c r="B686" s="418"/>
      <c r="C686" s="418"/>
      <c r="D686" s="221"/>
      <c r="E686" s="335"/>
      <c r="F686" s="234"/>
      <c r="G686" s="234"/>
      <c r="H686" s="234"/>
      <c r="I686" s="331"/>
      <c r="J686" s="331"/>
      <c r="K686" s="234"/>
      <c r="L686" s="332"/>
      <c r="M686" s="234"/>
      <c r="N686" s="234"/>
      <c r="O686" s="234"/>
      <c r="P686" s="234"/>
      <c r="Q686" s="234"/>
      <c r="R686" s="234"/>
      <c r="S686" s="234"/>
      <c r="T686" s="234"/>
      <c r="U686" s="388"/>
      <c r="V686" s="388"/>
      <c r="W686" s="388"/>
      <c r="X686" s="331"/>
      <c r="Y686" s="331"/>
      <c r="Z686" s="331"/>
      <c r="AA686" s="234"/>
      <c r="AB686" s="234"/>
      <c r="AC686" s="234"/>
      <c r="AD686" s="234"/>
      <c r="AE686" s="334"/>
      <c r="AF686" s="334"/>
      <c r="AG686" s="334"/>
      <c r="AH686" s="334"/>
      <c r="AI686" s="234"/>
      <c r="AJ686" s="234"/>
      <c r="AK686" s="234"/>
      <c r="AL686" s="234"/>
      <c r="AM686" s="234"/>
      <c r="AN686" s="234"/>
      <c r="AO686" s="234"/>
      <c r="AP686" s="234"/>
      <c r="AQ686" s="234"/>
      <c r="AR686" s="234"/>
      <c r="AS686" s="234"/>
      <c r="AT686" s="234"/>
      <c r="AU686" s="234"/>
      <c r="AV686" s="234"/>
      <c r="AW686" s="234"/>
      <c r="AX686" s="234"/>
      <c r="AY686" s="234"/>
      <c r="AZ686" s="234"/>
      <c r="BA686" s="234"/>
      <c r="BB686" s="234"/>
      <c r="BC686" s="234"/>
      <c r="BD686" s="234"/>
      <c r="BE686" s="234"/>
      <c r="BF686" s="234"/>
      <c r="BG686" s="234"/>
      <c r="BH686" s="234"/>
      <c r="BI686" s="234"/>
      <c r="BJ686" s="234"/>
      <c r="BK686" s="234"/>
      <c r="BL686" s="234"/>
      <c r="BM686" s="234"/>
      <c r="BN686" s="234"/>
      <c r="BO686" s="235"/>
      <c r="BP686" s="234"/>
      <c r="BQ686" s="234"/>
      <c r="BR686" s="234"/>
      <c r="BS686" s="234"/>
      <c r="BT686" s="234"/>
      <c r="BU686" s="234"/>
      <c r="BV686" s="234"/>
      <c r="BW686" s="234"/>
      <c r="BX686" s="1"/>
      <c r="BY686" s="1"/>
      <c r="BZ686" s="1"/>
      <c r="CA686" s="1"/>
      <c r="CB686" s="1"/>
      <c r="CC686" s="1"/>
      <c r="CD686" s="1"/>
      <c r="CE686" s="1"/>
      <c r="CF686" s="1"/>
      <c r="CG686" s="1"/>
    </row>
    <row r="687" spans="1:85" ht="15.75" customHeight="1">
      <c r="A687" s="313"/>
      <c r="B687" s="418"/>
      <c r="C687" s="418"/>
      <c r="D687" s="221"/>
      <c r="E687" s="335"/>
      <c r="F687" s="234"/>
      <c r="G687" s="234"/>
      <c r="H687" s="234"/>
      <c r="I687" s="331"/>
      <c r="J687" s="331"/>
      <c r="K687" s="234"/>
      <c r="L687" s="332"/>
      <c r="M687" s="234"/>
      <c r="N687" s="234"/>
      <c r="O687" s="234"/>
      <c r="P687" s="234"/>
      <c r="Q687" s="234"/>
      <c r="R687" s="234"/>
      <c r="S687" s="234"/>
      <c r="T687" s="234"/>
      <c r="U687" s="388"/>
      <c r="V687" s="388"/>
      <c r="W687" s="388"/>
      <c r="X687" s="331"/>
      <c r="Y687" s="331"/>
      <c r="Z687" s="331"/>
      <c r="AA687" s="234"/>
      <c r="AB687" s="234"/>
      <c r="AC687" s="234"/>
      <c r="AD687" s="234"/>
      <c r="AE687" s="334"/>
      <c r="AF687" s="334"/>
      <c r="AG687" s="334"/>
      <c r="AH687" s="334"/>
      <c r="AI687" s="234"/>
      <c r="AJ687" s="234"/>
      <c r="AK687" s="234"/>
      <c r="AL687" s="234"/>
      <c r="AM687" s="234"/>
      <c r="AN687" s="234"/>
      <c r="AO687" s="234"/>
      <c r="AP687" s="234"/>
      <c r="AQ687" s="234"/>
      <c r="AR687" s="234"/>
      <c r="AS687" s="234"/>
      <c r="AT687" s="234"/>
      <c r="AU687" s="234"/>
      <c r="AV687" s="234"/>
      <c r="AW687" s="234"/>
      <c r="AX687" s="234"/>
      <c r="AY687" s="234"/>
      <c r="AZ687" s="234"/>
      <c r="BA687" s="234"/>
      <c r="BB687" s="234"/>
      <c r="BC687" s="234"/>
      <c r="BD687" s="234"/>
      <c r="BE687" s="234"/>
      <c r="BF687" s="234"/>
      <c r="BG687" s="234"/>
      <c r="BH687" s="234"/>
      <c r="BI687" s="234"/>
      <c r="BJ687" s="234"/>
      <c r="BK687" s="234"/>
      <c r="BL687" s="234"/>
      <c r="BM687" s="234"/>
      <c r="BN687" s="234"/>
      <c r="BO687" s="235"/>
      <c r="BP687" s="234"/>
      <c r="BQ687" s="234"/>
      <c r="BR687" s="234"/>
      <c r="BS687" s="234"/>
      <c r="BT687" s="234"/>
      <c r="BU687" s="234"/>
      <c r="BV687" s="234"/>
      <c r="BW687" s="234"/>
      <c r="BX687" s="1"/>
      <c r="BY687" s="1"/>
      <c r="BZ687" s="1"/>
      <c r="CA687" s="1"/>
      <c r="CB687" s="1"/>
      <c r="CC687" s="1"/>
      <c r="CD687" s="1"/>
      <c r="CE687" s="1"/>
      <c r="CF687" s="1"/>
      <c r="CG687" s="1"/>
    </row>
    <row r="688" spans="1:85" ht="15.75" customHeight="1">
      <c r="A688" s="313"/>
      <c r="B688" s="418"/>
      <c r="C688" s="418"/>
      <c r="D688" s="221"/>
      <c r="E688" s="335"/>
      <c r="F688" s="234"/>
      <c r="G688" s="234"/>
      <c r="H688" s="234"/>
      <c r="I688" s="331"/>
      <c r="J688" s="331"/>
      <c r="K688" s="234"/>
      <c r="L688" s="332"/>
      <c r="M688" s="234"/>
      <c r="N688" s="234"/>
      <c r="O688" s="234"/>
      <c r="P688" s="234"/>
      <c r="Q688" s="234"/>
      <c r="R688" s="234"/>
      <c r="S688" s="234"/>
      <c r="T688" s="234"/>
      <c r="U688" s="388"/>
      <c r="V688" s="388"/>
      <c r="W688" s="388"/>
      <c r="X688" s="331"/>
      <c r="Y688" s="331"/>
      <c r="Z688" s="331"/>
      <c r="AA688" s="234"/>
      <c r="AB688" s="234"/>
      <c r="AC688" s="234"/>
      <c r="AD688" s="234"/>
      <c r="AE688" s="334"/>
      <c r="AF688" s="334"/>
      <c r="AG688" s="334"/>
      <c r="AH688" s="334"/>
      <c r="AI688" s="234"/>
      <c r="AJ688" s="234"/>
      <c r="AK688" s="234"/>
      <c r="AL688" s="234"/>
      <c r="AM688" s="234"/>
      <c r="AN688" s="234"/>
      <c r="AO688" s="234"/>
      <c r="AP688" s="234"/>
      <c r="AQ688" s="234"/>
      <c r="AR688" s="234"/>
      <c r="AS688" s="234"/>
      <c r="AT688" s="234"/>
      <c r="AU688" s="234"/>
      <c r="AV688" s="234"/>
      <c r="AW688" s="234"/>
      <c r="AX688" s="234"/>
      <c r="AY688" s="234"/>
      <c r="AZ688" s="234"/>
      <c r="BA688" s="234"/>
      <c r="BB688" s="234"/>
      <c r="BC688" s="234"/>
      <c r="BD688" s="234"/>
      <c r="BE688" s="234"/>
      <c r="BF688" s="234"/>
      <c r="BG688" s="234"/>
      <c r="BH688" s="234"/>
      <c r="BI688" s="234"/>
      <c r="BJ688" s="234"/>
      <c r="BK688" s="234"/>
      <c r="BL688" s="234"/>
      <c r="BM688" s="234"/>
      <c r="BN688" s="234"/>
      <c r="BO688" s="235"/>
      <c r="BP688" s="234"/>
      <c r="BQ688" s="234"/>
      <c r="BR688" s="234"/>
      <c r="BS688" s="234"/>
      <c r="BT688" s="234"/>
      <c r="BU688" s="234"/>
      <c r="BV688" s="234"/>
      <c r="BW688" s="234"/>
      <c r="BX688" s="1"/>
      <c r="BY688" s="1"/>
      <c r="BZ688" s="1"/>
      <c r="CA688" s="1"/>
      <c r="CB688" s="1"/>
      <c r="CC688" s="1"/>
      <c r="CD688" s="1"/>
      <c r="CE688" s="1"/>
      <c r="CF688" s="1"/>
      <c r="CG688" s="1"/>
    </row>
    <row r="689" spans="1:85" ht="15.75" customHeight="1">
      <c r="A689" s="313"/>
      <c r="B689" s="418"/>
      <c r="C689" s="418"/>
      <c r="D689" s="221"/>
      <c r="E689" s="335"/>
      <c r="F689" s="234"/>
      <c r="G689" s="234"/>
      <c r="H689" s="234"/>
      <c r="I689" s="331"/>
      <c r="J689" s="331"/>
      <c r="K689" s="234"/>
      <c r="L689" s="332"/>
      <c r="M689" s="234"/>
      <c r="N689" s="234"/>
      <c r="O689" s="234"/>
      <c r="P689" s="234"/>
      <c r="Q689" s="234"/>
      <c r="R689" s="234"/>
      <c r="S689" s="234"/>
      <c r="T689" s="234"/>
      <c r="U689" s="388"/>
      <c r="V689" s="388"/>
      <c r="W689" s="388"/>
      <c r="X689" s="331"/>
      <c r="Y689" s="331"/>
      <c r="Z689" s="331"/>
      <c r="AA689" s="234"/>
      <c r="AB689" s="234"/>
      <c r="AC689" s="234"/>
      <c r="AD689" s="234"/>
      <c r="AE689" s="334"/>
      <c r="AF689" s="334"/>
      <c r="AG689" s="334"/>
      <c r="AH689" s="334"/>
      <c r="AI689" s="234"/>
      <c r="AJ689" s="234"/>
      <c r="AK689" s="234"/>
      <c r="AL689" s="234"/>
      <c r="AM689" s="234"/>
      <c r="AN689" s="234"/>
      <c r="AO689" s="234"/>
      <c r="AP689" s="234"/>
      <c r="AQ689" s="234"/>
      <c r="AR689" s="234"/>
      <c r="AS689" s="234"/>
      <c r="AT689" s="234"/>
      <c r="AU689" s="234"/>
      <c r="AV689" s="234"/>
      <c r="AW689" s="234"/>
      <c r="AX689" s="234"/>
      <c r="AY689" s="234"/>
      <c r="AZ689" s="234"/>
      <c r="BA689" s="234"/>
      <c r="BB689" s="234"/>
      <c r="BC689" s="234"/>
      <c r="BD689" s="234"/>
      <c r="BE689" s="234"/>
      <c r="BF689" s="234"/>
      <c r="BG689" s="234"/>
      <c r="BH689" s="234"/>
      <c r="BI689" s="234"/>
      <c r="BJ689" s="234"/>
      <c r="BK689" s="234"/>
      <c r="BL689" s="234"/>
      <c r="BM689" s="234"/>
      <c r="BN689" s="234"/>
      <c r="BO689" s="235"/>
      <c r="BP689" s="234"/>
      <c r="BQ689" s="234"/>
      <c r="BR689" s="234"/>
      <c r="BS689" s="234"/>
      <c r="BT689" s="234"/>
      <c r="BU689" s="234"/>
      <c r="BV689" s="234"/>
      <c r="BW689" s="234"/>
      <c r="BX689" s="1"/>
      <c r="BY689" s="1"/>
      <c r="BZ689" s="1"/>
      <c r="CA689" s="1"/>
      <c r="CB689" s="1"/>
      <c r="CC689" s="1"/>
      <c r="CD689" s="1"/>
      <c r="CE689" s="1"/>
      <c r="CF689" s="1"/>
      <c r="CG689" s="1"/>
    </row>
    <row r="690" spans="1:85" ht="15.75" customHeight="1">
      <c r="A690" s="313"/>
      <c r="B690" s="418"/>
      <c r="C690" s="418"/>
      <c r="D690" s="221"/>
      <c r="E690" s="335"/>
      <c r="F690" s="234"/>
      <c r="G690" s="234"/>
      <c r="H690" s="234"/>
      <c r="I690" s="331"/>
      <c r="J690" s="331"/>
      <c r="K690" s="234"/>
      <c r="L690" s="332"/>
      <c r="M690" s="234"/>
      <c r="N690" s="234"/>
      <c r="O690" s="234"/>
      <c r="P690" s="234"/>
      <c r="Q690" s="234"/>
      <c r="R690" s="234"/>
      <c r="S690" s="234"/>
      <c r="T690" s="234"/>
      <c r="U690" s="388"/>
      <c r="V690" s="388"/>
      <c r="W690" s="388"/>
      <c r="X690" s="331"/>
      <c r="Y690" s="331"/>
      <c r="Z690" s="331"/>
      <c r="AA690" s="234"/>
      <c r="AB690" s="234"/>
      <c r="AC690" s="234"/>
      <c r="AD690" s="234"/>
      <c r="AE690" s="334"/>
      <c r="AF690" s="334"/>
      <c r="AG690" s="334"/>
      <c r="AH690" s="334"/>
      <c r="AI690" s="234"/>
      <c r="AJ690" s="234"/>
      <c r="AK690" s="234"/>
      <c r="AL690" s="234"/>
      <c r="AM690" s="234"/>
      <c r="AN690" s="234"/>
      <c r="AO690" s="234"/>
      <c r="AP690" s="234"/>
      <c r="AQ690" s="234"/>
      <c r="AR690" s="234"/>
      <c r="AS690" s="234"/>
      <c r="AT690" s="234"/>
      <c r="AU690" s="234"/>
      <c r="AV690" s="234"/>
      <c r="AW690" s="234"/>
      <c r="AX690" s="234"/>
      <c r="AY690" s="234"/>
      <c r="AZ690" s="234"/>
      <c r="BA690" s="234"/>
      <c r="BB690" s="234"/>
      <c r="BC690" s="234"/>
      <c r="BD690" s="234"/>
      <c r="BE690" s="234"/>
      <c r="BF690" s="234"/>
      <c r="BG690" s="234"/>
      <c r="BH690" s="234"/>
      <c r="BI690" s="234"/>
      <c r="BJ690" s="234"/>
      <c r="BK690" s="234"/>
      <c r="BL690" s="234"/>
      <c r="BM690" s="234"/>
      <c r="BN690" s="234"/>
      <c r="BO690" s="235"/>
      <c r="BP690" s="234"/>
      <c r="BQ690" s="234"/>
      <c r="BR690" s="234"/>
      <c r="BS690" s="234"/>
      <c r="BT690" s="234"/>
      <c r="BU690" s="234"/>
      <c r="BV690" s="234"/>
      <c r="BW690" s="234"/>
      <c r="BX690" s="1"/>
      <c r="BY690" s="1"/>
      <c r="BZ690" s="1"/>
      <c r="CA690" s="1"/>
      <c r="CB690" s="1"/>
      <c r="CC690" s="1"/>
      <c r="CD690" s="1"/>
      <c r="CE690" s="1"/>
      <c r="CF690" s="1"/>
      <c r="CG690" s="1"/>
    </row>
    <row r="691" spans="1:85" ht="15.75" customHeight="1">
      <c r="A691" s="313"/>
      <c r="B691" s="418"/>
      <c r="C691" s="418"/>
      <c r="D691" s="221"/>
      <c r="E691" s="335"/>
      <c r="F691" s="234"/>
      <c r="G691" s="234"/>
      <c r="H691" s="234"/>
      <c r="I691" s="331"/>
      <c r="J691" s="331"/>
      <c r="K691" s="234"/>
      <c r="L691" s="332"/>
      <c r="M691" s="234"/>
      <c r="N691" s="234"/>
      <c r="O691" s="234"/>
      <c r="P691" s="234"/>
      <c r="Q691" s="234"/>
      <c r="R691" s="234"/>
      <c r="S691" s="234"/>
      <c r="T691" s="234"/>
      <c r="U691" s="388"/>
      <c r="V691" s="388"/>
      <c r="W691" s="388"/>
      <c r="X691" s="331"/>
      <c r="Y691" s="331"/>
      <c r="Z691" s="331"/>
      <c r="AA691" s="234"/>
      <c r="AB691" s="234"/>
      <c r="AC691" s="234"/>
      <c r="AD691" s="234"/>
      <c r="AE691" s="334"/>
      <c r="AF691" s="334"/>
      <c r="AG691" s="334"/>
      <c r="AH691" s="334"/>
      <c r="AI691" s="234"/>
      <c r="AJ691" s="234"/>
      <c r="AK691" s="234"/>
      <c r="AL691" s="234"/>
      <c r="AM691" s="234"/>
      <c r="AN691" s="234"/>
      <c r="AO691" s="234"/>
      <c r="AP691" s="234"/>
      <c r="AQ691" s="234"/>
      <c r="AR691" s="234"/>
      <c r="AS691" s="234"/>
      <c r="AT691" s="234"/>
      <c r="AU691" s="234"/>
      <c r="AV691" s="234"/>
      <c r="AW691" s="234"/>
      <c r="AX691" s="234"/>
      <c r="AY691" s="234"/>
      <c r="AZ691" s="234"/>
      <c r="BA691" s="234"/>
      <c r="BB691" s="234"/>
      <c r="BC691" s="234"/>
      <c r="BD691" s="234"/>
      <c r="BE691" s="234"/>
      <c r="BF691" s="234"/>
      <c r="BG691" s="234"/>
      <c r="BH691" s="234"/>
      <c r="BI691" s="234"/>
      <c r="BJ691" s="234"/>
      <c r="BK691" s="234"/>
      <c r="BL691" s="234"/>
      <c r="BM691" s="234"/>
      <c r="BN691" s="234"/>
      <c r="BO691" s="235"/>
      <c r="BP691" s="234"/>
      <c r="BQ691" s="234"/>
      <c r="BR691" s="234"/>
      <c r="BS691" s="234"/>
      <c r="BT691" s="234"/>
      <c r="BU691" s="234"/>
      <c r="BV691" s="234"/>
      <c r="BW691" s="234"/>
      <c r="BX691" s="1"/>
      <c r="BY691" s="1"/>
      <c r="BZ691" s="1"/>
      <c r="CA691" s="1"/>
      <c r="CB691" s="1"/>
      <c r="CC691" s="1"/>
      <c r="CD691" s="1"/>
      <c r="CE691" s="1"/>
      <c r="CF691" s="1"/>
      <c r="CG691" s="1"/>
    </row>
    <row r="692" spans="1:85" ht="15.75" customHeight="1">
      <c r="A692" s="313"/>
      <c r="B692" s="418"/>
      <c r="C692" s="418"/>
      <c r="D692" s="221"/>
      <c r="E692" s="335"/>
      <c r="F692" s="234"/>
      <c r="G692" s="234"/>
      <c r="H692" s="234"/>
      <c r="I692" s="331"/>
      <c r="J692" s="331"/>
      <c r="K692" s="234"/>
      <c r="L692" s="332"/>
      <c r="M692" s="234"/>
      <c r="N692" s="234"/>
      <c r="O692" s="234"/>
      <c r="P692" s="234"/>
      <c r="Q692" s="234"/>
      <c r="R692" s="234"/>
      <c r="S692" s="234"/>
      <c r="T692" s="234"/>
      <c r="U692" s="388"/>
      <c r="V692" s="388"/>
      <c r="W692" s="388"/>
      <c r="X692" s="331"/>
      <c r="Y692" s="331"/>
      <c r="Z692" s="331"/>
      <c r="AA692" s="234"/>
      <c r="AB692" s="234"/>
      <c r="AC692" s="234"/>
      <c r="AD692" s="234"/>
      <c r="AE692" s="334"/>
      <c r="AF692" s="334"/>
      <c r="AG692" s="334"/>
      <c r="AH692" s="334"/>
      <c r="AI692" s="234"/>
      <c r="AJ692" s="234"/>
      <c r="AK692" s="234"/>
      <c r="AL692" s="234"/>
      <c r="AM692" s="234"/>
      <c r="AN692" s="234"/>
      <c r="AO692" s="234"/>
      <c r="AP692" s="234"/>
      <c r="AQ692" s="234"/>
      <c r="AR692" s="234"/>
      <c r="AS692" s="234"/>
      <c r="AT692" s="234"/>
      <c r="AU692" s="234"/>
      <c r="AV692" s="234"/>
      <c r="AW692" s="234"/>
      <c r="AX692" s="234"/>
      <c r="AY692" s="234"/>
      <c r="AZ692" s="234"/>
      <c r="BA692" s="234"/>
      <c r="BB692" s="234"/>
      <c r="BC692" s="234"/>
      <c r="BD692" s="234"/>
      <c r="BE692" s="234"/>
      <c r="BF692" s="234"/>
      <c r="BG692" s="234"/>
      <c r="BH692" s="234"/>
      <c r="BI692" s="234"/>
      <c r="BJ692" s="234"/>
      <c r="BK692" s="234"/>
      <c r="BL692" s="234"/>
      <c r="BM692" s="234"/>
      <c r="BN692" s="234"/>
      <c r="BO692" s="235"/>
      <c r="BP692" s="234"/>
      <c r="BQ692" s="234"/>
      <c r="BR692" s="234"/>
      <c r="BS692" s="234"/>
      <c r="BT692" s="234"/>
      <c r="BU692" s="234"/>
      <c r="BV692" s="234"/>
      <c r="BW692" s="234"/>
      <c r="BX692" s="1"/>
      <c r="BY692" s="1"/>
      <c r="BZ692" s="1"/>
      <c r="CA692" s="1"/>
      <c r="CB692" s="1"/>
      <c r="CC692" s="1"/>
      <c r="CD692" s="1"/>
      <c r="CE692" s="1"/>
      <c r="CF692" s="1"/>
      <c r="CG692" s="1"/>
    </row>
    <row r="693" spans="1:85" ht="15.75" customHeight="1">
      <c r="A693" s="313"/>
      <c r="B693" s="418"/>
      <c r="C693" s="418"/>
      <c r="D693" s="221"/>
      <c r="E693" s="335"/>
      <c r="F693" s="234"/>
      <c r="G693" s="234"/>
      <c r="H693" s="234"/>
      <c r="I693" s="331"/>
      <c r="J693" s="331"/>
      <c r="K693" s="234"/>
      <c r="L693" s="332"/>
      <c r="M693" s="234"/>
      <c r="N693" s="234"/>
      <c r="O693" s="234"/>
      <c r="P693" s="234"/>
      <c r="Q693" s="234"/>
      <c r="R693" s="234"/>
      <c r="S693" s="234"/>
      <c r="T693" s="234"/>
      <c r="U693" s="388"/>
      <c r="V693" s="388"/>
      <c r="W693" s="388"/>
      <c r="X693" s="331"/>
      <c r="Y693" s="331"/>
      <c r="Z693" s="331"/>
      <c r="AA693" s="234"/>
      <c r="AB693" s="234"/>
      <c r="AC693" s="234"/>
      <c r="AD693" s="234"/>
      <c r="AE693" s="334"/>
      <c r="AF693" s="334"/>
      <c r="AG693" s="334"/>
      <c r="AH693" s="334"/>
      <c r="AI693" s="234"/>
      <c r="AJ693" s="234"/>
      <c r="AK693" s="234"/>
      <c r="AL693" s="234"/>
      <c r="AM693" s="234"/>
      <c r="AN693" s="234"/>
      <c r="AO693" s="234"/>
      <c r="AP693" s="234"/>
      <c r="AQ693" s="234"/>
      <c r="AR693" s="234"/>
      <c r="AS693" s="234"/>
      <c r="AT693" s="234"/>
      <c r="AU693" s="234"/>
      <c r="AV693" s="234"/>
      <c r="AW693" s="234"/>
      <c r="AX693" s="234"/>
      <c r="AY693" s="234"/>
      <c r="AZ693" s="234"/>
      <c r="BA693" s="234"/>
      <c r="BB693" s="234"/>
      <c r="BC693" s="234"/>
      <c r="BD693" s="234"/>
      <c r="BE693" s="234"/>
      <c r="BF693" s="234"/>
      <c r="BG693" s="234"/>
      <c r="BH693" s="234"/>
      <c r="BI693" s="234"/>
      <c r="BJ693" s="234"/>
      <c r="BK693" s="234"/>
      <c r="BL693" s="234"/>
      <c r="BM693" s="234"/>
      <c r="BN693" s="234"/>
      <c r="BO693" s="235"/>
      <c r="BP693" s="234"/>
      <c r="BQ693" s="234"/>
      <c r="BR693" s="234"/>
      <c r="BS693" s="234"/>
      <c r="BT693" s="234"/>
      <c r="BU693" s="234"/>
      <c r="BV693" s="234"/>
      <c r="BW693" s="234"/>
      <c r="BX693" s="1"/>
      <c r="BY693" s="1"/>
      <c r="BZ693" s="1"/>
      <c r="CA693" s="1"/>
      <c r="CB693" s="1"/>
      <c r="CC693" s="1"/>
      <c r="CD693" s="1"/>
      <c r="CE693" s="1"/>
      <c r="CF693" s="1"/>
      <c r="CG693" s="1"/>
    </row>
    <row r="694" spans="1:85" ht="15.75" customHeight="1">
      <c r="A694" s="313"/>
      <c r="B694" s="418"/>
      <c r="C694" s="418"/>
      <c r="D694" s="221"/>
      <c r="E694" s="335"/>
      <c r="F694" s="234"/>
      <c r="G694" s="234"/>
      <c r="H694" s="234"/>
      <c r="I694" s="331"/>
      <c r="J694" s="331"/>
      <c r="K694" s="234"/>
      <c r="L694" s="332"/>
      <c r="M694" s="234"/>
      <c r="N694" s="234"/>
      <c r="O694" s="234"/>
      <c r="P694" s="234"/>
      <c r="Q694" s="234"/>
      <c r="R694" s="234"/>
      <c r="S694" s="234"/>
      <c r="T694" s="234"/>
      <c r="U694" s="388"/>
      <c r="V694" s="388"/>
      <c r="W694" s="388"/>
      <c r="X694" s="331"/>
      <c r="Y694" s="331"/>
      <c r="Z694" s="331"/>
      <c r="AA694" s="234"/>
      <c r="AB694" s="234"/>
      <c r="AC694" s="234"/>
      <c r="AD694" s="234"/>
      <c r="AE694" s="334"/>
      <c r="AF694" s="334"/>
      <c r="AG694" s="334"/>
      <c r="AH694" s="334"/>
      <c r="AI694" s="234"/>
      <c r="AJ694" s="234"/>
      <c r="AK694" s="234"/>
      <c r="AL694" s="234"/>
      <c r="AM694" s="234"/>
      <c r="AN694" s="234"/>
      <c r="AO694" s="234"/>
      <c r="AP694" s="234"/>
      <c r="AQ694" s="234"/>
      <c r="AR694" s="234"/>
      <c r="AS694" s="234"/>
      <c r="AT694" s="234"/>
      <c r="AU694" s="234"/>
      <c r="AV694" s="234"/>
      <c r="AW694" s="234"/>
      <c r="AX694" s="234"/>
      <c r="AY694" s="234"/>
      <c r="AZ694" s="234"/>
      <c r="BA694" s="234"/>
      <c r="BB694" s="234"/>
      <c r="BC694" s="234"/>
      <c r="BD694" s="234"/>
      <c r="BE694" s="234"/>
      <c r="BF694" s="234"/>
      <c r="BG694" s="234"/>
      <c r="BH694" s="234"/>
      <c r="BI694" s="234"/>
      <c r="BJ694" s="234"/>
      <c r="BK694" s="234"/>
      <c r="BL694" s="234"/>
      <c r="BM694" s="234"/>
      <c r="BN694" s="234"/>
      <c r="BO694" s="235"/>
      <c r="BP694" s="234"/>
      <c r="BQ694" s="234"/>
      <c r="BR694" s="234"/>
      <c r="BS694" s="234"/>
      <c r="BT694" s="234"/>
      <c r="BU694" s="234"/>
      <c r="BV694" s="234"/>
      <c r="BW694" s="234"/>
      <c r="BX694" s="1"/>
      <c r="BY694" s="1"/>
      <c r="BZ694" s="1"/>
      <c r="CA694" s="1"/>
      <c r="CB694" s="1"/>
      <c r="CC694" s="1"/>
      <c r="CD694" s="1"/>
      <c r="CE694" s="1"/>
      <c r="CF694" s="1"/>
      <c r="CG694" s="1"/>
    </row>
    <row r="695" spans="1:85" ht="15.75" customHeight="1">
      <c r="A695" s="313"/>
      <c r="B695" s="418"/>
      <c r="C695" s="418"/>
      <c r="D695" s="221"/>
      <c r="E695" s="335"/>
      <c r="F695" s="234"/>
      <c r="G695" s="234"/>
      <c r="H695" s="234"/>
      <c r="I695" s="331"/>
      <c r="J695" s="331"/>
      <c r="K695" s="234"/>
      <c r="L695" s="332"/>
      <c r="M695" s="234"/>
      <c r="N695" s="234"/>
      <c r="O695" s="234"/>
      <c r="P695" s="234"/>
      <c r="Q695" s="234"/>
      <c r="R695" s="234"/>
      <c r="S695" s="234"/>
      <c r="T695" s="234"/>
      <c r="U695" s="388"/>
      <c r="V695" s="388"/>
      <c r="W695" s="388"/>
      <c r="X695" s="331"/>
      <c r="Y695" s="331"/>
      <c r="Z695" s="331"/>
      <c r="AA695" s="234"/>
      <c r="AB695" s="234"/>
      <c r="AC695" s="234"/>
      <c r="AD695" s="234"/>
      <c r="AE695" s="334"/>
      <c r="AF695" s="334"/>
      <c r="AG695" s="334"/>
      <c r="AH695" s="334"/>
      <c r="AI695" s="234"/>
      <c r="AJ695" s="234"/>
      <c r="AK695" s="234"/>
      <c r="AL695" s="234"/>
      <c r="AM695" s="234"/>
      <c r="AN695" s="234"/>
      <c r="AO695" s="234"/>
      <c r="AP695" s="234"/>
      <c r="AQ695" s="234"/>
      <c r="AR695" s="234"/>
      <c r="AS695" s="234"/>
      <c r="AT695" s="234"/>
      <c r="AU695" s="234"/>
      <c r="AV695" s="234"/>
      <c r="AW695" s="234"/>
      <c r="AX695" s="234"/>
      <c r="AY695" s="234"/>
      <c r="AZ695" s="234"/>
      <c r="BA695" s="234"/>
      <c r="BB695" s="234"/>
      <c r="BC695" s="234"/>
      <c r="BD695" s="234"/>
      <c r="BE695" s="234"/>
      <c r="BF695" s="234"/>
      <c r="BG695" s="234"/>
      <c r="BH695" s="234"/>
      <c r="BI695" s="234"/>
      <c r="BJ695" s="234"/>
      <c r="BK695" s="234"/>
      <c r="BL695" s="234"/>
      <c r="BM695" s="234"/>
      <c r="BN695" s="234"/>
      <c r="BO695" s="235"/>
      <c r="BP695" s="234"/>
      <c r="BQ695" s="234"/>
      <c r="BR695" s="234"/>
      <c r="BS695" s="234"/>
      <c r="BT695" s="234"/>
      <c r="BU695" s="234"/>
      <c r="BV695" s="234"/>
      <c r="BW695" s="234"/>
      <c r="BX695" s="1"/>
      <c r="BY695" s="1"/>
      <c r="BZ695" s="1"/>
      <c r="CA695" s="1"/>
      <c r="CB695" s="1"/>
      <c r="CC695" s="1"/>
      <c r="CD695" s="1"/>
      <c r="CE695" s="1"/>
      <c r="CF695" s="1"/>
      <c r="CG695" s="1"/>
    </row>
    <row r="696" spans="1:85" ht="15.75" customHeight="1">
      <c r="A696" s="313"/>
      <c r="B696" s="418"/>
      <c r="C696" s="418"/>
      <c r="D696" s="221"/>
      <c r="E696" s="335"/>
      <c r="F696" s="234"/>
      <c r="G696" s="234"/>
      <c r="H696" s="234"/>
      <c r="I696" s="331"/>
      <c r="J696" s="331"/>
      <c r="K696" s="234"/>
      <c r="L696" s="332"/>
      <c r="M696" s="234"/>
      <c r="N696" s="234"/>
      <c r="O696" s="234"/>
      <c r="P696" s="234"/>
      <c r="Q696" s="234"/>
      <c r="R696" s="234"/>
      <c r="S696" s="234"/>
      <c r="T696" s="234"/>
      <c r="U696" s="388"/>
      <c r="V696" s="388"/>
      <c r="W696" s="388"/>
      <c r="X696" s="331"/>
      <c r="Y696" s="331"/>
      <c r="Z696" s="331"/>
      <c r="AA696" s="234"/>
      <c r="AB696" s="234"/>
      <c r="AC696" s="234"/>
      <c r="AD696" s="234"/>
      <c r="AE696" s="334"/>
      <c r="AF696" s="334"/>
      <c r="AG696" s="334"/>
      <c r="AH696" s="334"/>
      <c r="AI696" s="234"/>
      <c r="AJ696" s="234"/>
      <c r="AK696" s="234"/>
      <c r="AL696" s="234"/>
      <c r="AM696" s="234"/>
      <c r="AN696" s="234"/>
      <c r="AO696" s="234"/>
      <c r="AP696" s="234"/>
      <c r="AQ696" s="234"/>
      <c r="AR696" s="234"/>
      <c r="AS696" s="234"/>
      <c r="AT696" s="234"/>
      <c r="AU696" s="234"/>
      <c r="AV696" s="234"/>
      <c r="AW696" s="234"/>
      <c r="AX696" s="234"/>
      <c r="AY696" s="234"/>
      <c r="AZ696" s="234"/>
      <c r="BA696" s="234"/>
      <c r="BB696" s="234"/>
      <c r="BC696" s="234"/>
      <c r="BD696" s="234"/>
      <c r="BE696" s="234"/>
      <c r="BF696" s="234"/>
      <c r="BG696" s="234"/>
      <c r="BH696" s="234"/>
      <c r="BI696" s="234"/>
      <c r="BJ696" s="234"/>
      <c r="BK696" s="234"/>
      <c r="BL696" s="234"/>
      <c r="BM696" s="234"/>
      <c r="BN696" s="234"/>
      <c r="BO696" s="235"/>
      <c r="BP696" s="234"/>
      <c r="BQ696" s="234"/>
      <c r="BR696" s="234"/>
      <c r="BS696" s="234"/>
      <c r="BT696" s="234"/>
      <c r="BU696" s="234"/>
      <c r="BV696" s="234"/>
      <c r="BW696" s="234"/>
      <c r="BX696" s="1"/>
      <c r="BY696" s="1"/>
      <c r="BZ696" s="1"/>
      <c r="CA696" s="1"/>
      <c r="CB696" s="1"/>
      <c r="CC696" s="1"/>
      <c r="CD696" s="1"/>
      <c r="CE696" s="1"/>
      <c r="CF696" s="1"/>
      <c r="CG696" s="1"/>
    </row>
    <row r="697" spans="1:85" ht="15.75" customHeight="1">
      <c r="A697" s="313"/>
      <c r="B697" s="418"/>
      <c r="C697" s="418"/>
      <c r="D697" s="221"/>
      <c r="E697" s="335"/>
      <c r="F697" s="234"/>
      <c r="G697" s="234"/>
      <c r="H697" s="234"/>
      <c r="I697" s="331"/>
      <c r="J697" s="331"/>
      <c r="K697" s="234"/>
      <c r="L697" s="332"/>
      <c r="M697" s="234"/>
      <c r="N697" s="234"/>
      <c r="O697" s="234"/>
      <c r="P697" s="234"/>
      <c r="Q697" s="234"/>
      <c r="R697" s="234"/>
      <c r="S697" s="234"/>
      <c r="T697" s="234"/>
      <c r="U697" s="388"/>
      <c r="V697" s="388"/>
      <c r="W697" s="388"/>
      <c r="X697" s="331"/>
      <c r="Y697" s="331"/>
      <c r="Z697" s="331"/>
      <c r="AA697" s="234"/>
      <c r="AB697" s="234"/>
      <c r="AC697" s="234"/>
      <c r="AD697" s="234"/>
      <c r="AE697" s="334"/>
      <c r="AF697" s="334"/>
      <c r="AG697" s="334"/>
      <c r="AH697" s="334"/>
      <c r="AI697" s="234"/>
      <c r="AJ697" s="234"/>
      <c r="AK697" s="234"/>
      <c r="AL697" s="234"/>
      <c r="AM697" s="234"/>
      <c r="AN697" s="234"/>
      <c r="AO697" s="234"/>
      <c r="AP697" s="234"/>
      <c r="AQ697" s="234"/>
      <c r="AR697" s="234"/>
      <c r="AS697" s="234"/>
      <c r="AT697" s="234"/>
      <c r="AU697" s="234"/>
      <c r="AV697" s="234"/>
      <c r="AW697" s="234"/>
      <c r="AX697" s="234"/>
      <c r="AY697" s="234"/>
      <c r="AZ697" s="234"/>
      <c r="BA697" s="234"/>
      <c r="BB697" s="234"/>
      <c r="BC697" s="234"/>
      <c r="BD697" s="234"/>
      <c r="BE697" s="234"/>
      <c r="BF697" s="234"/>
      <c r="BG697" s="234"/>
      <c r="BH697" s="234"/>
      <c r="BI697" s="234"/>
      <c r="BJ697" s="234"/>
      <c r="BK697" s="234"/>
      <c r="BL697" s="234"/>
      <c r="BM697" s="234"/>
      <c r="BN697" s="234"/>
      <c r="BO697" s="235"/>
      <c r="BP697" s="234"/>
      <c r="BQ697" s="234"/>
      <c r="BR697" s="234"/>
      <c r="BS697" s="234"/>
      <c r="BT697" s="234"/>
      <c r="BU697" s="234"/>
      <c r="BV697" s="234"/>
      <c r="BW697" s="234"/>
      <c r="BX697" s="1"/>
      <c r="BY697" s="1"/>
      <c r="BZ697" s="1"/>
      <c r="CA697" s="1"/>
      <c r="CB697" s="1"/>
      <c r="CC697" s="1"/>
      <c r="CD697" s="1"/>
      <c r="CE697" s="1"/>
      <c r="CF697" s="1"/>
      <c r="CG697" s="1"/>
    </row>
    <row r="698" spans="1:85" ht="15.75" customHeight="1">
      <c r="A698" s="313"/>
      <c r="B698" s="418"/>
      <c r="C698" s="418"/>
      <c r="D698" s="221"/>
      <c r="E698" s="335"/>
      <c r="F698" s="234"/>
      <c r="G698" s="234"/>
      <c r="H698" s="234"/>
      <c r="I698" s="331"/>
      <c r="J698" s="331"/>
      <c r="K698" s="234"/>
      <c r="L698" s="332"/>
      <c r="M698" s="234"/>
      <c r="N698" s="234"/>
      <c r="O698" s="234"/>
      <c r="P698" s="234"/>
      <c r="Q698" s="234"/>
      <c r="R698" s="234"/>
      <c r="S698" s="234"/>
      <c r="T698" s="234"/>
      <c r="U698" s="388"/>
      <c r="V698" s="388"/>
      <c r="W698" s="388"/>
      <c r="X698" s="331"/>
      <c r="Y698" s="331"/>
      <c r="Z698" s="331"/>
      <c r="AA698" s="234"/>
      <c r="AB698" s="234"/>
      <c r="AC698" s="234"/>
      <c r="AD698" s="234"/>
      <c r="AE698" s="334"/>
      <c r="AF698" s="334"/>
      <c r="AG698" s="334"/>
      <c r="AH698" s="334"/>
      <c r="AI698" s="234"/>
      <c r="AJ698" s="234"/>
      <c r="AK698" s="234"/>
      <c r="AL698" s="234"/>
      <c r="AM698" s="234"/>
      <c r="AN698" s="234"/>
      <c r="AO698" s="234"/>
      <c r="AP698" s="234"/>
      <c r="AQ698" s="234"/>
      <c r="AR698" s="234"/>
      <c r="AS698" s="234"/>
      <c r="AT698" s="234"/>
      <c r="AU698" s="234"/>
      <c r="AV698" s="234"/>
      <c r="AW698" s="234"/>
      <c r="AX698" s="234"/>
      <c r="AY698" s="234"/>
      <c r="AZ698" s="234"/>
      <c r="BA698" s="234"/>
      <c r="BB698" s="234"/>
      <c r="BC698" s="234"/>
      <c r="BD698" s="234"/>
      <c r="BE698" s="234"/>
      <c r="BF698" s="234"/>
      <c r="BG698" s="234"/>
      <c r="BH698" s="234"/>
      <c r="BI698" s="234"/>
      <c r="BJ698" s="234"/>
      <c r="BK698" s="234"/>
      <c r="BL698" s="234"/>
      <c r="BM698" s="234"/>
      <c r="BN698" s="234"/>
      <c r="BO698" s="235"/>
      <c r="BP698" s="234"/>
      <c r="BQ698" s="234"/>
      <c r="BR698" s="234"/>
      <c r="BS698" s="234"/>
      <c r="BT698" s="234"/>
      <c r="BU698" s="234"/>
      <c r="BV698" s="234"/>
      <c r="BW698" s="234"/>
      <c r="BX698" s="1"/>
      <c r="BY698" s="1"/>
      <c r="BZ698" s="1"/>
      <c r="CA698" s="1"/>
      <c r="CB698" s="1"/>
      <c r="CC698" s="1"/>
      <c r="CD698" s="1"/>
      <c r="CE698" s="1"/>
      <c r="CF698" s="1"/>
      <c r="CG698" s="1"/>
    </row>
    <row r="699" spans="1:85" ht="15.75" customHeight="1">
      <c r="A699" s="313"/>
      <c r="B699" s="418"/>
      <c r="C699" s="418"/>
      <c r="D699" s="221"/>
      <c r="E699" s="335"/>
      <c r="F699" s="234"/>
      <c r="G699" s="234"/>
      <c r="H699" s="234"/>
      <c r="I699" s="331"/>
      <c r="J699" s="331"/>
      <c r="K699" s="234"/>
      <c r="L699" s="332"/>
      <c r="M699" s="234"/>
      <c r="N699" s="234"/>
      <c r="O699" s="234"/>
      <c r="P699" s="234"/>
      <c r="Q699" s="234"/>
      <c r="R699" s="234"/>
      <c r="S699" s="234"/>
      <c r="T699" s="234"/>
      <c r="U699" s="388"/>
      <c r="V699" s="388"/>
      <c r="W699" s="388"/>
      <c r="X699" s="331"/>
      <c r="Y699" s="331"/>
      <c r="Z699" s="331"/>
      <c r="AA699" s="234"/>
      <c r="AB699" s="234"/>
      <c r="AC699" s="234"/>
      <c r="AD699" s="234"/>
      <c r="AE699" s="334"/>
      <c r="AF699" s="334"/>
      <c r="AG699" s="334"/>
      <c r="AH699" s="334"/>
      <c r="AI699" s="234"/>
      <c r="AJ699" s="234"/>
      <c r="AK699" s="234"/>
      <c r="AL699" s="234"/>
      <c r="AM699" s="234"/>
      <c r="AN699" s="234"/>
      <c r="AO699" s="234"/>
      <c r="AP699" s="234"/>
      <c r="AQ699" s="234"/>
      <c r="AR699" s="234"/>
      <c r="AS699" s="234"/>
      <c r="AT699" s="234"/>
      <c r="AU699" s="234"/>
      <c r="AV699" s="234"/>
      <c r="AW699" s="234"/>
      <c r="AX699" s="234"/>
      <c r="AY699" s="234"/>
      <c r="AZ699" s="234"/>
      <c r="BA699" s="234"/>
      <c r="BB699" s="234"/>
      <c r="BC699" s="234"/>
      <c r="BD699" s="234"/>
      <c r="BE699" s="234"/>
      <c r="BF699" s="234"/>
      <c r="BG699" s="234"/>
      <c r="BH699" s="234"/>
      <c r="BI699" s="234"/>
      <c r="BJ699" s="234"/>
      <c r="BK699" s="234"/>
      <c r="BL699" s="234"/>
      <c r="BM699" s="234"/>
      <c r="BN699" s="234"/>
      <c r="BO699" s="235"/>
      <c r="BP699" s="234"/>
      <c r="BQ699" s="234"/>
      <c r="BR699" s="234"/>
      <c r="BS699" s="234"/>
      <c r="BT699" s="234"/>
      <c r="BU699" s="234"/>
      <c r="BV699" s="234"/>
      <c r="BW699" s="234"/>
      <c r="BX699" s="1"/>
      <c r="BY699" s="1"/>
      <c r="BZ699" s="1"/>
      <c r="CA699" s="1"/>
      <c r="CB699" s="1"/>
      <c r="CC699" s="1"/>
      <c r="CD699" s="1"/>
      <c r="CE699" s="1"/>
      <c r="CF699" s="1"/>
      <c r="CG699" s="1"/>
    </row>
    <row r="700" spans="1:85" ht="15.75" customHeight="1">
      <c r="A700" s="313"/>
      <c r="B700" s="418"/>
      <c r="C700" s="418"/>
      <c r="D700" s="221"/>
      <c r="E700" s="335"/>
      <c r="F700" s="234"/>
      <c r="G700" s="234"/>
      <c r="H700" s="234"/>
      <c r="I700" s="331"/>
      <c r="J700" s="331"/>
      <c r="K700" s="234"/>
      <c r="L700" s="332"/>
      <c r="M700" s="234"/>
      <c r="N700" s="234"/>
      <c r="O700" s="234"/>
      <c r="P700" s="234"/>
      <c r="Q700" s="234"/>
      <c r="R700" s="234"/>
      <c r="S700" s="234"/>
      <c r="T700" s="234"/>
      <c r="U700" s="388"/>
      <c r="V700" s="388"/>
      <c r="W700" s="388"/>
      <c r="X700" s="331"/>
      <c r="Y700" s="331"/>
      <c r="Z700" s="331"/>
      <c r="AA700" s="234"/>
      <c r="AB700" s="234"/>
      <c r="AC700" s="234"/>
      <c r="AD700" s="234"/>
      <c r="AE700" s="334"/>
      <c r="AF700" s="334"/>
      <c r="AG700" s="334"/>
      <c r="AH700" s="334"/>
      <c r="AI700" s="234"/>
      <c r="AJ700" s="234"/>
      <c r="AK700" s="234"/>
      <c r="AL700" s="234"/>
      <c r="AM700" s="234"/>
      <c r="AN700" s="234"/>
      <c r="AO700" s="234"/>
      <c r="AP700" s="234"/>
      <c r="AQ700" s="234"/>
      <c r="AR700" s="234"/>
      <c r="AS700" s="234"/>
      <c r="AT700" s="234"/>
      <c r="AU700" s="234"/>
      <c r="AV700" s="234"/>
      <c r="AW700" s="234"/>
      <c r="AX700" s="234"/>
      <c r="AY700" s="234"/>
      <c r="AZ700" s="234"/>
      <c r="BA700" s="234"/>
      <c r="BB700" s="234"/>
      <c r="BC700" s="234"/>
      <c r="BD700" s="234"/>
      <c r="BE700" s="234"/>
      <c r="BF700" s="234"/>
      <c r="BG700" s="234"/>
      <c r="BH700" s="234"/>
      <c r="BI700" s="234"/>
      <c r="BJ700" s="234"/>
      <c r="BK700" s="234"/>
      <c r="BL700" s="234"/>
      <c r="BM700" s="234"/>
      <c r="BN700" s="234"/>
      <c r="BO700" s="235"/>
      <c r="BP700" s="234"/>
      <c r="BQ700" s="234"/>
      <c r="BR700" s="234"/>
      <c r="BS700" s="234"/>
      <c r="BT700" s="234"/>
      <c r="BU700" s="234"/>
      <c r="BV700" s="234"/>
      <c r="BW700" s="234"/>
      <c r="BX700" s="1"/>
      <c r="BY700" s="1"/>
      <c r="BZ700" s="1"/>
      <c r="CA700" s="1"/>
      <c r="CB700" s="1"/>
      <c r="CC700" s="1"/>
      <c r="CD700" s="1"/>
      <c r="CE700" s="1"/>
      <c r="CF700" s="1"/>
      <c r="CG700" s="1"/>
    </row>
    <row r="701" spans="1:85" ht="15.75" customHeight="1">
      <c r="A701" s="313"/>
      <c r="B701" s="418"/>
      <c r="C701" s="418"/>
      <c r="D701" s="221"/>
      <c r="E701" s="335"/>
      <c r="F701" s="234"/>
      <c r="G701" s="234"/>
      <c r="H701" s="234"/>
      <c r="I701" s="331"/>
      <c r="J701" s="331"/>
      <c r="K701" s="234"/>
      <c r="L701" s="332"/>
      <c r="M701" s="234"/>
      <c r="N701" s="234"/>
      <c r="O701" s="234"/>
      <c r="P701" s="234"/>
      <c r="Q701" s="234"/>
      <c r="R701" s="234"/>
      <c r="S701" s="234"/>
      <c r="T701" s="234"/>
      <c r="U701" s="388"/>
      <c r="V701" s="388"/>
      <c r="W701" s="388"/>
      <c r="X701" s="331"/>
      <c r="Y701" s="331"/>
      <c r="Z701" s="331"/>
      <c r="AA701" s="234"/>
      <c r="AB701" s="234"/>
      <c r="AC701" s="234"/>
      <c r="AD701" s="234"/>
      <c r="AE701" s="334"/>
      <c r="AF701" s="334"/>
      <c r="AG701" s="334"/>
      <c r="AH701" s="334"/>
      <c r="AI701" s="234"/>
      <c r="AJ701" s="234"/>
      <c r="AK701" s="234"/>
      <c r="AL701" s="234"/>
      <c r="AM701" s="234"/>
      <c r="AN701" s="234"/>
      <c r="AO701" s="234"/>
      <c r="AP701" s="234"/>
      <c r="AQ701" s="234"/>
      <c r="AR701" s="234"/>
      <c r="AS701" s="234"/>
      <c r="AT701" s="234"/>
      <c r="AU701" s="234"/>
      <c r="AV701" s="234"/>
      <c r="AW701" s="234"/>
      <c r="AX701" s="234"/>
      <c r="AY701" s="234"/>
      <c r="AZ701" s="234"/>
      <c r="BA701" s="234"/>
      <c r="BB701" s="234"/>
      <c r="BC701" s="234"/>
      <c r="BD701" s="234"/>
      <c r="BE701" s="234"/>
      <c r="BF701" s="234"/>
      <c r="BG701" s="234"/>
      <c r="BH701" s="234"/>
      <c r="BI701" s="234"/>
      <c r="BJ701" s="234"/>
      <c r="BK701" s="234"/>
      <c r="BL701" s="234"/>
      <c r="BM701" s="234"/>
      <c r="BN701" s="234"/>
      <c r="BO701" s="235"/>
      <c r="BP701" s="234"/>
      <c r="BQ701" s="234"/>
      <c r="BR701" s="234"/>
      <c r="BS701" s="234"/>
      <c r="BT701" s="234"/>
      <c r="BU701" s="234"/>
      <c r="BV701" s="234"/>
      <c r="BW701" s="234"/>
      <c r="BX701" s="1"/>
      <c r="BY701" s="1"/>
      <c r="BZ701" s="1"/>
      <c r="CA701" s="1"/>
      <c r="CB701" s="1"/>
      <c r="CC701" s="1"/>
      <c r="CD701" s="1"/>
      <c r="CE701" s="1"/>
      <c r="CF701" s="1"/>
      <c r="CG701" s="1"/>
    </row>
    <row r="702" spans="1:85" ht="15.75" customHeight="1">
      <c r="A702" s="313"/>
      <c r="B702" s="418"/>
      <c r="C702" s="418"/>
      <c r="D702" s="221"/>
      <c r="E702" s="335"/>
      <c r="F702" s="234"/>
      <c r="G702" s="234"/>
      <c r="H702" s="234"/>
      <c r="I702" s="331"/>
      <c r="J702" s="331"/>
      <c r="K702" s="234"/>
      <c r="L702" s="332"/>
      <c r="M702" s="234"/>
      <c r="N702" s="234"/>
      <c r="O702" s="234"/>
      <c r="P702" s="234"/>
      <c r="Q702" s="234"/>
      <c r="R702" s="234"/>
      <c r="S702" s="234"/>
      <c r="T702" s="234"/>
      <c r="U702" s="388"/>
      <c r="V702" s="388"/>
      <c r="W702" s="388"/>
      <c r="X702" s="331"/>
      <c r="Y702" s="331"/>
      <c r="Z702" s="331"/>
      <c r="AA702" s="234"/>
      <c r="AB702" s="234"/>
      <c r="AC702" s="234"/>
      <c r="AD702" s="234"/>
      <c r="AE702" s="334"/>
      <c r="AF702" s="334"/>
      <c r="AG702" s="334"/>
      <c r="AH702" s="334"/>
      <c r="AI702" s="234"/>
      <c r="AJ702" s="234"/>
      <c r="AK702" s="234"/>
      <c r="AL702" s="234"/>
      <c r="AM702" s="234"/>
      <c r="AN702" s="234"/>
      <c r="AO702" s="234"/>
      <c r="AP702" s="234"/>
      <c r="AQ702" s="234"/>
      <c r="AR702" s="234"/>
      <c r="AS702" s="234"/>
      <c r="AT702" s="234"/>
      <c r="AU702" s="234"/>
      <c r="AV702" s="234"/>
      <c r="AW702" s="234"/>
      <c r="AX702" s="234"/>
      <c r="AY702" s="234"/>
      <c r="AZ702" s="234"/>
      <c r="BA702" s="234"/>
      <c r="BB702" s="234"/>
      <c r="BC702" s="234"/>
      <c r="BD702" s="234"/>
      <c r="BE702" s="234"/>
      <c r="BF702" s="234"/>
      <c r="BG702" s="234"/>
      <c r="BH702" s="234"/>
      <c r="BI702" s="234"/>
      <c r="BJ702" s="234"/>
      <c r="BK702" s="234"/>
      <c r="BL702" s="234"/>
      <c r="BM702" s="234"/>
      <c r="BN702" s="234"/>
      <c r="BO702" s="235"/>
      <c r="BP702" s="234"/>
      <c r="BQ702" s="234"/>
      <c r="BR702" s="234"/>
      <c r="BS702" s="234"/>
      <c r="BT702" s="234"/>
      <c r="BU702" s="234"/>
      <c r="BV702" s="234"/>
      <c r="BW702" s="234"/>
      <c r="BX702" s="1"/>
      <c r="BY702" s="1"/>
      <c r="BZ702" s="1"/>
      <c r="CA702" s="1"/>
      <c r="CB702" s="1"/>
      <c r="CC702" s="1"/>
      <c r="CD702" s="1"/>
      <c r="CE702" s="1"/>
      <c r="CF702" s="1"/>
      <c r="CG702" s="1"/>
    </row>
    <row r="703" spans="1:85" ht="15.75" customHeight="1">
      <c r="A703" s="313"/>
      <c r="B703" s="418"/>
      <c r="C703" s="418"/>
      <c r="D703" s="221"/>
      <c r="E703" s="335"/>
      <c r="F703" s="234"/>
      <c r="G703" s="234"/>
      <c r="H703" s="234"/>
      <c r="I703" s="331"/>
      <c r="J703" s="331"/>
      <c r="K703" s="234"/>
      <c r="L703" s="332"/>
      <c r="M703" s="234"/>
      <c r="N703" s="234"/>
      <c r="O703" s="234"/>
      <c r="P703" s="234"/>
      <c r="Q703" s="234"/>
      <c r="R703" s="234"/>
      <c r="S703" s="234"/>
      <c r="T703" s="234"/>
      <c r="U703" s="388"/>
      <c r="V703" s="388"/>
      <c r="W703" s="388"/>
      <c r="X703" s="331"/>
      <c r="Y703" s="331"/>
      <c r="Z703" s="331"/>
      <c r="AA703" s="234"/>
      <c r="AB703" s="234"/>
      <c r="AC703" s="234"/>
      <c r="AD703" s="234"/>
      <c r="AE703" s="334"/>
      <c r="AF703" s="334"/>
      <c r="AG703" s="334"/>
      <c r="AH703" s="334"/>
      <c r="AI703" s="234"/>
      <c r="AJ703" s="234"/>
      <c r="AK703" s="234"/>
      <c r="AL703" s="234"/>
      <c r="AM703" s="234"/>
      <c r="AN703" s="234"/>
      <c r="AO703" s="234"/>
      <c r="AP703" s="234"/>
      <c r="AQ703" s="234"/>
      <c r="AR703" s="234"/>
      <c r="AS703" s="234"/>
      <c r="AT703" s="234"/>
      <c r="AU703" s="234"/>
      <c r="AV703" s="234"/>
      <c r="AW703" s="234"/>
      <c r="AX703" s="234"/>
      <c r="AY703" s="234"/>
      <c r="AZ703" s="234"/>
      <c r="BA703" s="234"/>
      <c r="BB703" s="234"/>
      <c r="BC703" s="234"/>
      <c r="BD703" s="234"/>
      <c r="BE703" s="234"/>
      <c r="BF703" s="234"/>
      <c r="BG703" s="234"/>
      <c r="BH703" s="234"/>
      <c r="BI703" s="234"/>
      <c r="BJ703" s="234"/>
      <c r="BK703" s="234"/>
      <c r="BL703" s="234"/>
      <c r="BM703" s="234"/>
      <c r="BN703" s="234"/>
      <c r="BO703" s="235"/>
      <c r="BP703" s="234"/>
      <c r="BQ703" s="234"/>
      <c r="BR703" s="234"/>
      <c r="BS703" s="234"/>
      <c r="BT703" s="234"/>
      <c r="BU703" s="234"/>
      <c r="BV703" s="234"/>
      <c r="BW703" s="234"/>
      <c r="BX703" s="1"/>
      <c r="BY703" s="1"/>
      <c r="BZ703" s="1"/>
      <c r="CA703" s="1"/>
      <c r="CB703" s="1"/>
      <c r="CC703" s="1"/>
      <c r="CD703" s="1"/>
      <c r="CE703" s="1"/>
      <c r="CF703" s="1"/>
      <c r="CG703" s="1"/>
    </row>
    <row r="704" spans="1:85" ht="15.75" customHeight="1">
      <c r="A704" s="313"/>
      <c r="B704" s="418"/>
      <c r="C704" s="418"/>
      <c r="D704" s="221"/>
      <c r="E704" s="335"/>
      <c r="F704" s="234"/>
      <c r="G704" s="234"/>
      <c r="H704" s="234"/>
      <c r="I704" s="331"/>
      <c r="J704" s="331"/>
      <c r="K704" s="234"/>
      <c r="L704" s="332"/>
      <c r="M704" s="234"/>
      <c r="N704" s="234"/>
      <c r="O704" s="234"/>
      <c r="P704" s="234"/>
      <c r="Q704" s="234"/>
      <c r="R704" s="234"/>
      <c r="S704" s="234"/>
      <c r="T704" s="234"/>
      <c r="U704" s="388"/>
      <c r="V704" s="388"/>
      <c r="W704" s="388"/>
      <c r="X704" s="331"/>
      <c r="Y704" s="331"/>
      <c r="Z704" s="331"/>
      <c r="AA704" s="234"/>
      <c r="AB704" s="234"/>
      <c r="AC704" s="234"/>
      <c r="AD704" s="234"/>
      <c r="AE704" s="334"/>
      <c r="AF704" s="334"/>
      <c r="AG704" s="334"/>
      <c r="AH704" s="334"/>
      <c r="AI704" s="234"/>
      <c r="AJ704" s="234"/>
      <c r="AK704" s="234"/>
      <c r="AL704" s="234"/>
      <c r="AM704" s="234"/>
      <c r="AN704" s="234"/>
      <c r="AO704" s="234"/>
      <c r="AP704" s="234"/>
      <c r="AQ704" s="234"/>
      <c r="AR704" s="234"/>
      <c r="AS704" s="234"/>
      <c r="AT704" s="234"/>
      <c r="AU704" s="234"/>
      <c r="AV704" s="234"/>
      <c r="AW704" s="234"/>
      <c r="AX704" s="234"/>
      <c r="AY704" s="234"/>
      <c r="AZ704" s="234"/>
      <c r="BA704" s="234"/>
      <c r="BB704" s="234"/>
      <c r="BC704" s="234"/>
      <c r="BD704" s="234"/>
      <c r="BE704" s="234"/>
      <c r="BF704" s="234"/>
      <c r="BG704" s="234"/>
      <c r="BH704" s="234"/>
      <c r="BI704" s="234"/>
      <c r="BJ704" s="234"/>
      <c r="BK704" s="234"/>
      <c r="BL704" s="234"/>
      <c r="BM704" s="234"/>
      <c r="BN704" s="234"/>
      <c r="BO704" s="235"/>
      <c r="BP704" s="234"/>
      <c r="BQ704" s="234"/>
      <c r="BR704" s="234"/>
      <c r="BS704" s="234"/>
      <c r="BT704" s="234"/>
      <c r="BU704" s="234"/>
      <c r="BV704" s="234"/>
      <c r="BW704" s="234"/>
      <c r="BX704" s="1"/>
      <c r="BY704" s="1"/>
      <c r="BZ704" s="1"/>
      <c r="CA704" s="1"/>
      <c r="CB704" s="1"/>
      <c r="CC704" s="1"/>
      <c r="CD704" s="1"/>
      <c r="CE704" s="1"/>
      <c r="CF704" s="1"/>
      <c r="CG704" s="1"/>
    </row>
    <row r="705" spans="1:85" ht="15.75" customHeight="1">
      <c r="A705" s="313"/>
      <c r="B705" s="418"/>
      <c r="C705" s="418"/>
      <c r="D705" s="221"/>
      <c r="E705" s="335"/>
      <c r="F705" s="234"/>
      <c r="G705" s="234"/>
      <c r="H705" s="234"/>
      <c r="I705" s="331"/>
      <c r="J705" s="331"/>
      <c r="K705" s="234"/>
      <c r="L705" s="332"/>
      <c r="M705" s="234"/>
      <c r="N705" s="234"/>
      <c r="O705" s="234"/>
      <c r="P705" s="234"/>
      <c r="Q705" s="234"/>
      <c r="R705" s="234"/>
      <c r="S705" s="234"/>
      <c r="T705" s="234"/>
      <c r="U705" s="388"/>
      <c r="V705" s="388"/>
      <c r="W705" s="388"/>
      <c r="X705" s="331"/>
      <c r="Y705" s="331"/>
      <c r="Z705" s="331"/>
      <c r="AA705" s="234"/>
      <c r="AB705" s="234"/>
      <c r="AC705" s="234"/>
      <c r="AD705" s="234"/>
      <c r="AE705" s="334"/>
      <c r="AF705" s="334"/>
      <c r="AG705" s="334"/>
      <c r="AH705" s="334"/>
      <c r="AI705" s="234"/>
      <c r="AJ705" s="234"/>
      <c r="AK705" s="234"/>
      <c r="AL705" s="234"/>
      <c r="AM705" s="234"/>
      <c r="AN705" s="234"/>
      <c r="AO705" s="234"/>
      <c r="AP705" s="234"/>
      <c r="AQ705" s="234"/>
      <c r="AR705" s="234"/>
      <c r="AS705" s="234"/>
      <c r="AT705" s="234"/>
      <c r="AU705" s="234"/>
      <c r="AV705" s="234"/>
      <c r="AW705" s="234"/>
      <c r="AX705" s="234"/>
      <c r="AY705" s="234"/>
      <c r="AZ705" s="234"/>
      <c r="BA705" s="234"/>
      <c r="BB705" s="234"/>
      <c r="BC705" s="234"/>
      <c r="BD705" s="234"/>
      <c r="BE705" s="234"/>
      <c r="BF705" s="234"/>
      <c r="BG705" s="234"/>
      <c r="BH705" s="234"/>
      <c r="BI705" s="234"/>
      <c r="BJ705" s="234"/>
      <c r="BK705" s="234"/>
      <c r="BL705" s="234"/>
      <c r="BM705" s="234"/>
      <c r="BN705" s="234"/>
      <c r="BO705" s="235"/>
      <c r="BP705" s="234"/>
      <c r="BQ705" s="234"/>
      <c r="BR705" s="234"/>
      <c r="BS705" s="234"/>
      <c r="BT705" s="234"/>
      <c r="BU705" s="234"/>
      <c r="BV705" s="234"/>
      <c r="BW705" s="234"/>
      <c r="BX705" s="1"/>
      <c r="BY705" s="1"/>
      <c r="BZ705" s="1"/>
      <c r="CA705" s="1"/>
      <c r="CB705" s="1"/>
      <c r="CC705" s="1"/>
      <c r="CD705" s="1"/>
      <c r="CE705" s="1"/>
      <c r="CF705" s="1"/>
      <c r="CG705" s="1"/>
    </row>
    <row r="706" spans="1:85" ht="15.75" customHeight="1">
      <c r="A706" s="313"/>
      <c r="B706" s="418"/>
      <c r="C706" s="418"/>
      <c r="D706" s="221"/>
      <c r="E706" s="335"/>
      <c r="F706" s="234"/>
      <c r="G706" s="234"/>
      <c r="H706" s="234"/>
      <c r="I706" s="331"/>
      <c r="J706" s="331"/>
      <c r="K706" s="234"/>
      <c r="L706" s="332"/>
      <c r="M706" s="234"/>
      <c r="N706" s="234"/>
      <c r="O706" s="234"/>
      <c r="P706" s="234"/>
      <c r="Q706" s="234"/>
      <c r="R706" s="234"/>
      <c r="S706" s="234"/>
      <c r="T706" s="234"/>
      <c r="U706" s="388"/>
      <c r="V706" s="388"/>
      <c r="W706" s="388"/>
      <c r="X706" s="331"/>
      <c r="Y706" s="331"/>
      <c r="Z706" s="331"/>
      <c r="AA706" s="234"/>
      <c r="AB706" s="234"/>
      <c r="AC706" s="234"/>
      <c r="AD706" s="234"/>
      <c r="AE706" s="334"/>
      <c r="AF706" s="334"/>
      <c r="AG706" s="334"/>
      <c r="AH706" s="334"/>
      <c r="AI706" s="234"/>
      <c r="AJ706" s="234"/>
      <c r="AK706" s="234"/>
      <c r="AL706" s="234"/>
      <c r="AM706" s="234"/>
      <c r="AN706" s="234"/>
      <c r="AO706" s="234"/>
      <c r="AP706" s="234"/>
      <c r="AQ706" s="234"/>
      <c r="AR706" s="234"/>
      <c r="AS706" s="234"/>
      <c r="AT706" s="234"/>
      <c r="AU706" s="234"/>
      <c r="AV706" s="234"/>
      <c r="AW706" s="234"/>
      <c r="AX706" s="234"/>
      <c r="AY706" s="234"/>
      <c r="AZ706" s="234"/>
      <c r="BA706" s="234"/>
      <c r="BB706" s="234"/>
      <c r="BC706" s="234"/>
      <c r="BD706" s="234"/>
      <c r="BE706" s="234"/>
      <c r="BF706" s="234"/>
      <c r="BG706" s="234"/>
      <c r="BH706" s="234"/>
      <c r="BI706" s="234"/>
      <c r="BJ706" s="234"/>
      <c r="BK706" s="234"/>
      <c r="BL706" s="234"/>
      <c r="BM706" s="234"/>
      <c r="BN706" s="234"/>
      <c r="BO706" s="235"/>
      <c r="BP706" s="234"/>
      <c r="BQ706" s="234"/>
      <c r="BR706" s="234"/>
      <c r="BS706" s="234"/>
      <c r="BT706" s="234"/>
      <c r="BU706" s="234"/>
      <c r="BV706" s="234"/>
      <c r="BW706" s="234"/>
      <c r="BX706" s="1"/>
      <c r="BY706" s="1"/>
      <c r="BZ706" s="1"/>
      <c r="CA706" s="1"/>
      <c r="CB706" s="1"/>
      <c r="CC706" s="1"/>
      <c r="CD706" s="1"/>
      <c r="CE706" s="1"/>
      <c r="CF706" s="1"/>
      <c r="CG706" s="1"/>
    </row>
    <row r="707" spans="1:85" ht="15.75" customHeight="1">
      <c r="A707" s="313"/>
      <c r="B707" s="418"/>
      <c r="C707" s="418"/>
      <c r="D707" s="221"/>
      <c r="E707" s="335"/>
      <c r="F707" s="234"/>
      <c r="G707" s="234"/>
      <c r="H707" s="234"/>
      <c r="I707" s="331"/>
      <c r="J707" s="331"/>
      <c r="K707" s="234"/>
      <c r="L707" s="332"/>
      <c r="M707" s="234"/>
      <c r="N707" s="234"/>
      <c r="O707" s="234"/>
      <c r="P707" s="234"/>
      <c r="Q707" s="234"/>
      <c r="R707" s="234"/>
      <c r="S707" s="234"/>
      <c r="T707" s="234"/>
      <c r="U707" s="388"/>
      <c r="V707" s="388"/>
      <c r="W707" s="388"/>
      <c r="X707" s="331"/>
      <c r="Y707" s="331"/>
      <c r="Z707" s="331"/>
      <c r="AA707" s="234"/>
      <c r="AB707" s="234"/>
      <c r="AC707" s="234"/>
      <c r="AD707" s="234"/>
      <c r="AE707" s="334"/>
      <c r="AF707" s="334"/>
      <c r="AG707" s="334"/>
      <c r="AH707" s="334"/>
      <c r="AI707" s="234"/>
      <c r="AJ707" s="234"/>
      <c r="AK707" s="234"/>
      <c r="AL707" s="234"/>
      <c r="AM707" s="234"/>
      <c r="AN707" s="234"/>
      <c r="AO707" s="234"/>
      <c r="AP707" s="234"/>
      <c r="AQ707" s="234"/>
      <c r="AR707" s="234"/>
      <c r="AS707" s="234"/>
      <c r="AT707" s="234"/>
      <c r="AU707" s="234"/>
      <c r="AV707" s="234"/>
      <c r="AW707" s="234"/>
      <c r="AX707" s="234"/>
      <c r="AY707" s="234"/>
      <c r="AZ707" s="234"/>
      <c r="BA707" s="234"/>
      <c r="BB707" s="234"/>
      <c r="BC707" s="234"/>
      <c r="BD707" s="234"/>
      <c r="BE707" s="234"/>
      <c r="BF707" s="234"/>
      <c r="BG707" s="234"/>
      <c r="BH707" s="234"/>
      <c r="BI707" s="234"/>
      <c r="BJ707" s="234"/>
      <c r="BK707" s="234"/>
      <c r="BL707" s="234"/>
      <c r="BM707" s="234"/>
      <c r="BN707" s="234"/>
      <c r="BO707" s="235"/>
      <c r="BP707" s="234"/>
      <c r="BQ707" s="234"/>
      <c r="BR707" s="234"/>
      <c r="BS707" s="234"/>
      <c r="BT707" s="234"/>
      <c r="BU707" s="234"/>
      <c r="BV707" s="234"/>
      <c r="BW707" s="234"/>
      <c r="BX707" s="1"/>
      <c r="BY707" s="1"/>
      <c r="BZ707" s="1"/>
      <c r="CA707" s="1"/>
      <c r="CB707" s="1"/>
      <c r="CC707" s="1"/>
      <c r="CD707" s="1"/>
      <c r="CE707" s="1"/>
      <c r="CF707" s="1"/>
      <c r="CG707" s="1"/>
    </row>
    <row r="708" spans="1:85" ht="15.75" customHeight="1">
      <c r="A708" s="313"/>
      <c r="B708" s="418"/>
      <c r="C708" s="418"/>
      <c r="D708" s="221"/>
      <c r="E708" s="335"/>
      <c r="F708" s="234"/>
      <c r="G708" s="234"/>
      <c r="H708" s="234"/>
      <c r="I708" s="331"/>
      <c r="J708" s="331"/>
      <c r="K708" s="234"/>
      <c r="L708" s="332"/>
      <c r="M708" s="234"/>
      <c r="N708" s="234"/>
      <c r="O708" s="234"/>
      <c r="P708" s="234"/>
      <c r="Q708" s="234"/>
      <c r="R708" s="234"/>
      <c r="S708" s="234"/>
      <c r="T708" s="234"/>
      <c r="U708" s="388"/>
      <c r="V708" s="388"/>
      <c r="W708" s="388"/>
      <c r="X708" s="331"/>
      <c r="Y708" s="331"/>
      <c r="Z708" s="331"/>
      <c r="AA708" s="234"/>
      <c r="AB708" s="234"/>
      <c r="AC708" s="234"/>
      <c r="AD708" s="234"/>
      <c r="AE708" s="334"/>
      <c r="AF708" s="334"/>
      <c r="AG708" s="334"/>
      <c r="AH708" s="334"/>
      <c r="AI708" s="234"/>
      <c r="AJ708" s="234"/>
      <c r="AK708" s="234"/>
      <c r="AL708" s="234"/>
      <c r="AM708" s="234"/>
      <c r="AN708" s="234"/>
      <c r="AO708" s="234"/>
      <c r="AP708" s="234"/>
      <c r="AQ708" s="234"/>
      <c r="AR708" s="234"/>
      <c r="AS708" s="234"/>
      <c r="AT708" s="234"/>
      <c r="AU708" s="234"/>
      <c r="AV708" s="234"/>
      <c r="AW708" s="234"/>
      <c r="AX708" s="234"/>
      <c r="AY708" s="234"/>
      <c r="AZ708" s="234"/>
      <c r="BA708" s="234"/>
      <c r="BB708" s="234"/>
      <c r="BC708" s="234"/>
      <c r="BD708" s="234"/>
      <c r="BE708" s="234"/>
      <c r="BF708" s="234"/>
      <c r="BG708" s="234"/>
      <c r="BH708" s="234"/>
      <c r="BI708" s="234"/>
      <c r="BJ708" s="234"/>
      <c r="BK708" s="234"/>
      <c r="BL708" s="234"/>
      <c r="BM708" s="234"/>
      <c r="BN708" s="234"/>
      <c r="BO708" s="235"/>
      <c r="BP708" s="234"/>
      <c r="BQ708" s="234"/>
      <c r="BR708" s="234"/>
      <c r="BS708" s="234"/>
      <c r="BT708" s="234"/>
      <c r="BU708" s="234"/>
      <c r="BV708" s="234"/>
      <c r="BW708" s="234"/>
      <c r="BX708" s="1"/>
      <c r="BY708" s="1"/>
      <c r="BZ708" s="1"/>
      <c r="CA708" s="1"/>
      <c r="CB708" s="1"/>
      <c r="CC708" s="1"/>
      <c r="CD708" s="1"/>
      <c r="CE708" s="1"/>
      <c r="CF708" s="1"/>
      <c r="CG708" s="1"/>
    </row>
    <row r="709" spans="1:85" ht="15.75" customHeight="1">
      <c r="A709" s="313"/>
      <c r="B709" s="418"/>
      <c r="C709" s="418"/>
      <c r="D709" s="221"/>
      <c r="E709" s="335"/>
      <c r="F709" s="234"/>
      <c r="G709" s="234"/>
      <c r="H709" s="234"/>
      <c r="I709" s="331"/>
      <c r="J709" s="331"/>
      <c r="K709" s="234"/>
      <c r="L709" s="332"/>
      <c r="M709" s="234"/>
      <c r="N709" s="234"/>
      <c r="O709" s="234"/>
      <c r="P709" s="234"/>
      <c r="Q709" s="234"/>
      <c r="R709" s="234"/>
      <c r="S709" s="234"/>
      <c r="T709" s="234"/>
      <c r="U709" s="388"/>
      <c r="V709" s="388"/>
      <c r="W709" s="388"/>
      <c r="X709" s="331"/>
      <c r="Y709" s="331"/>
      <c r="Z709" s="331"/>
      <c r="AA709" s="234"/>
      <c r="AB709" s="234"/>
      <c r="AC709" s="234"/>
      <c r="AD709" s="234"/>
      <c r="AE709" s="334"/>
      <c r="AF709" s="334"/>
      <c r="AG709" s="334"/>
      <c r="AH709" s="334"/>
      <c r="AI709" s="234"/>
      <c r="AJ709" s="234"/>
      <c r="AK709" s="234"/>
      <c r="AL709" s="234"/>
      <c r="AM709" s="234"/>
      <c r="AN709" s="234"/>
      <c r="AO709" s="234"/>
      <c r="AP709" s="234"/>
      <c r="AQ709" s="234"/>
      <c r="AR709" s="234"/>
      <c r="AS709" s="234"/>
      <c r="AT709" s="234"/>
      <c r="AU709" s="234"/>
      <c r="AV709" s="234"/>
      <c r="AW709" s="234"/>
      <c r="AX709" s="234"/>
      <c r="AY709" s="234"/>
      <c r="AZ709" s="234"/>
      <c r="BA709" s="234"/>
      <c r="BB709" s="234"/>
      <c r="BC709" s="234"/>
      <c r="BD709" s="234"/>
      <c r="BE709" s="234"/>
      <c r="BF709" s="234"/>
      <c r="BG709" s="234"/>
      <c r="BH709" s="234"/>
      <c r="BI709" s="234"/>
      <c r="BJ709" s="234"/>
      <c r="BK709" s="234"/>
      <c r="BL709" s="234"/>
      <c r="BM709" s="234"/>
      <c r="BN709" s="234"/>
      <c r="BO709" s="235"/>
      <c r="BP709" s="234"/>
      <c r="BQ709" s="234"/>
      <c r="BR709" s="234"/>
      <c r="BS709" s="234"/>
      <c r="BT709" s="234"/>
      <c r="BU709" s="234"/>
      <c r="BV709" s="234"/>
      <c r="BW709" s="234"/>
      <c r="BX709" s="1"/>
      <c r="BY709" s="1"/>
      <c r="BZ709" s="1"/>
      <c r="CA709" s="1"/>
      <c r="CB709" s="1"/>
      <c r="CC709" s="1"/>
      <c r="CD709" s="1"/>
      <c r="CE709" s="1"/>
      <c r="CF709" s="1"/>
      <c r="CG709" s="1"/>
    </row>
    <row r="710" spans="1:85" ht="15.75" customHeight="1">
      <c r="A710" s="313"/>
      <c r="B710" s="418"/>
      <c r="C710" s="418"/>
      <c r="D710" s="221"/>
      <c r="E710" s="335"/>
      <c r="F710" s="234"/>
      <c r="G710" s="234"/>
      <c r="H710" s="234"/>
      <c r="I710" s="331"/>
      <c r="J710" s="331"/>
      <c r="K710" s="234"/>
      <c r="L710" s="332"/>
      <c r="M710" s="234"/>
      <c r="N710" s="234"/>
      <c r="O710" s="234"/>
      <c r="P710" s="234"/>
      <c r="Q710" s="234"/>
      <c r="R710" s="234"/>
      <c r="S710" s="234"/>
      <c r="T710" s="234"/>
      <c r="U710" s="388"/>
      <c r="V710" s="388"/>
      <c r="W710" s="388"/>
      <c r="X710" s="331"/>
      <c r="Y710" s="331"/>
      <c r="Z710" s="331"/>
      <c r="AA710" s="234"/>
      <c r="AB710" s="234"/>
      <c r="AC710" s="234"/>
      <c r="AD710" s="234"/>
      <c r="AE710" s="334"/>
      <c r="AF710" s="334"/>
      <c r="AG710" s="334"/>
      <c r="AH710" s="334"/>
      <c r="AI710" s="234"/>
      <c r="AJ710" s="234"/>
      <c r="AK710" s="234"/>
      <c r="AL710" s="234"/>
      <c r="AM710" s="234"/>
      <c r="AN710" s="234"/>
      <c r="AO710" s="234"/>
      <c r="AP710" s="234"/>
      <c r="AQ710" s="234"/>
      <c r="AR710" s="234"/>
      <c r="AS710" s="234"/>
      <c r="AT710" s="234"/>
      <c r="AU710" s="234"/>
      <c r="AV710" s="234"/>
      <c r="AW710" s="234"/>
      <c r="AX710" s="234"/>
      <c r="AY710" s="234"/>
      <c r="AZ710" s="234"/>
      <c r="BA710" s="234"/>
      <c r="BB710" s="234"/>
      <c r="BC710" s="234"/>
      <c r="BD710" s="234"/>
      <c r="BE710" s="234"/>
      <c r="BF710" s="234"/>
      <c r="BG710" s="234"/>
      <c r="BH710" s="234"/>
      <c r="BI710" s="234"/>
      <c r="BJ710" s="234"/>
      <c r="BK710" s="234"/>
      <c r="BL710" s="234"/>
      <c r="BM710" s="234"/>
      <c r="BN710" s="234"/>
      <c r="BO710" s="235"/>
      <c r="BP710" s="234"/>
      <c r="BQ710" s="234"/>
      <c r="BR710" s="234"/>
      <c r="BS710" s="234"/>
      <c r="BT710" s="234"/>
      <c r="BU710" s="234"/>
      <c r="BV710" s="234"/>
      <c r="BW710" s="234"/>
      <c r="BX710" s="1"/>
      <c r="BY710" s="1"/>
      <c r="BZ710" s="1"/>
      <c r="CA710" s="1"/>
      <c r="CB710" s="1"/>
      <c r="CC710" s="1"/>
      <c r="CD710" s="1"/>
      <c r="CE710" s="1"/>
      <c r="CF710" s="1"/>
      <c r="CG710" s="1"/>
    </row>
    <row r="711" spans="1:85" ht="15.75" customHeight="1">
      <c r="A711" s="313"/>
      <c r="B711" s="418"/>
      <c r="C711" s="418"/>
      <c r="D711" s="221"/>
      <c r="E711" s="335"/>
      <c r="F711" s="234"/>
      <c r="G711" s="234"/>
      <c r="H711" s="234"/>
      <c r="I711" s="331"/>
      <c r="J711" s="331"/>
      <c r="K711" s="234"/>
      <c r="L711" s="332"/>
      <c r="M711" s="234"/>
      <c r="N711" s="234"/>
      <c r="O711" s="234"/>
      <c r="P711" s="234"/>
      <c r="Q711" s="234"/>
      <c r="R711" s="234"/>
      <c r="S711" s="234"/>
      <c r="T711" s="234"/>
      <c r="U711" s="388"/>
      <c r="V711" s="388"/>
      <c r="W711" s="388"/>
      <c r="X711" s="331"/>
      <c r="Y711" s="331"/>
      <c r="Z711" s="331"/>
      <c r="AA711" s="234"/>
      <c r="AB711" s="234"/>
      <c r="AC711" s="234"/>
      <c r="AD711" s="234"/>
      <c r="AE711" s="334"/>
      <c r="AF711" s="334"/>
      <c r="AG711" s="334"/>
      <c r="AH711" s="334"/>
      <c r="AI711" s="234"/>
      <c r="AJ711" s="234"/>
      <c r="AK711" s="234"/>
      <c r="AL711" s="234"/>
      <c r="AM711" s="234"/>
      <c r="AN711" s="234"/>
      <c r="AO711" s="234"/>
      <c r="AP711" s="234"/>
      <c r="AQ711" s="234"/>
      <c r="AR711" s="234"/>
      <c r="AS711" s="234"/>
      <c r="AT711" s="234"/>
      <c r="AU711" s="234"/>
      <c r="AV711" s="234"/>
      <c r="AW711" s="234"/>
      <c r="AX711" s="234"/>
      <c r="AY711" s="234"/>
      <c r="AZ711" s="234"/>
      <c r="BA711" s="234"/>
      <c r="BB711" s="234"/>
      <c r="BC711" s="234"/>
      <c r="BD711" s="234"/>
      <c r="BE711" s="234"/>
      <c r="BF711" s="234"/>
      <c r="BG711" s="234"/>
      <c r="BH711" s="234"/>
      <c r="BI711" s="234"/>
      <c r="BJ711" s="234"/>
      <c r="BK711" s="234"/>
      <c r="BL711" s="234"/>
      <c r="BM711" s="234"/>
      <c r="BN711" s="234"/>
      <c r="BO711" s="235"/>
      <c r="BP711" s="234"/>
      <c r="BQ711" s="234"/>
      <c r="BR711" s="234"/>
      <c r="BS711" s="234"/>
      <c r="BT711" s="234"/>
      <c r="BU711" s="234"/>
      <c r="BV711" s="234"/>
      <c r="BW711" s="234"/>
      <c r="BX711" s="1"/>
      <c r="BY711" s="1"/>
      <c r="BZ711" s="1"/>
      <c r="CA711" s="1"/>
      <c r="CB711" s="1"/>
      <c r="CC711" s="1"/>
      <c r="CD711" s="1"/>
      <c r="CE711" s="1"/>
      <c r="CF711" s="1"/>
      <c r="CG711" s="1"/>
    </row>
    <row r="712" spans="1:85" ht="15.75" customHeight="1">
      <c r="A712" s="313"/>
      <c r="B712" s="418"/>
      <c r="C712" s="418"/>
      <c r="D712" s="221"/>
      <c r="E712" s="335"/>
      <c r="F712" s="234"/>
      <c r="G712" s="234"/>
      <c r="H712" s="234"/>
      <c r="I712" s="331"/>
      <c r="J712" s="331"/>
      <c r="K712" s="234"/>
      <c r="L712" s="332"/>
      <c r="M712" s="234"/>
      <c r="N712" s="234"/>
      <c r="O712" s="234"/>
      <c r="P712" s="234"/>
      <c r="Q712" s="234"/>
      <c r="R712" s="234"/>
      <c r="S712" s="234"/>
      <c r="T712" s="234"/>
      <c r="U712" s="388"/>
      <c r="V712" s="388"/>
      <c r="W712" s="388"/>
      <c r="X712" s="331"/>
      <c r="Y712" s="331"/>
      <c r="Z712" s="331"/>
      <c r="AA712" s="234"/>
      <c r="AB712" s="234"/>
      <c r="AC712" s="234"/>
      <c r="AD712" s="234"/>
      <c r="AE712" s="334"/>
      <c r="AF712" s="334"/>
      <c r="AG712" s="334"/>
      <c r="AH712" s="334"/>
      <c r="AI712" s="234"/>
      <c r="AJ712" s="234"/>
      <c r="AK712" s="234"/>
      <c r="AL712" s="234"/>
      <c r="AM712" s="234"/>
      <c r="AN712" s="234"/>
      <c r="AO712" s="234"/>
      <c r="AP712" s="234"/>
      <c r="AQ712" s="234"/>
      <c r="AR712" s="234"/>
      <c r="AS712" s="234"/>
      <c r="AT712" s="234"/>
      <c r="AU712" s="234"/>
      <c r="AV712" s="234"/>
      <c r="AW712" s="234"/>
      <c r="AX712" s="234"/>
      <c r="AY712" s="234"/>
      <c r="AZ712" s="234"/>
      <c r="BA712" s="234"/>
      <c r="BB712" s="234"/>
      <c r="BC712" s="234"/>
      <c r="BD712" s="234"/>
      <c r="BE712" s="234"/>
      <c r="BF712" s="234"/>
      <c r="BG712" s="234"/>
      <c r="BH712" s="234"/>
      <c r="BI712" s="234"/>
      <c r="BJ712" s="234"/>
      <c r="BK712" s="234"/>
      <c r="BL712" s="234"/>
      <c r="BM712" s="234"/>
      <c r="BN712" s="234"/>
      <c r="BO712" s="235"/>
      <c r="BP712" s="234"/>
      <c r="BQ712" s="234"/>
      <c r="BR712" s="234"/>
      <c r="BS712" s="234"/>
      <c r="BT712" s="234"/>
      <c r="BU712" s="234"/>
      <c r="BV712" s="234"/>
      <c r="BW712" s="234"/>
      <c r="BX712" s="1"/>
      <c r="BY712" s="1"/>
      <c r="BZ712" s="1"/>
      <c r="CA712" s="1"/>
      <c r="CB712" s="1"/>
      <c r="CC712" s="1"/>
      <c r="CD712" s="1"/>
      <c r="CE712" s="1"/>
      <c r="CF712" s="1"/>
      <c r="CG712" s="1"/>
    </row>
    <row r="713" spans="1:85" ht="15.75" customHeight="1">
      <c r="A713" s="313"/>
      <c r="B713" s="418"/>
      <c r="C713" s="418"/>
      <c r="D713" s="221"/>
      <c r="E713" s="335"/>
      <c r="F713" s="234"/>
      <c r="G713" s="234"/>
      <c r="H713" s="234"/>
      <c r="I713" s="331"/>
      <c r="J713" s="331"/>
      <c r="K713" s="234"/>
      <c r="L713" s="332"/>
      <c r="M713" s="234"/>
      <c r="N713" s="234"/>
      <c r="O713" s="234"/>
      <c r="P713" s="234"/>
      <c r="Q713" s="234"/>
      <c r="R713" s="234"/>
      <c r="S713" s="234"/>
      <c r="T713" s="234"/>
      <c r="U713" s="388"/>
      <c r="V713" s="388"/>
      <c r="W713" s="388"/>
      <c r="X713" s="331"/>
      <c r="Y713" s="331"/>
      <c r="Z713" s="331"/>
      <c r="AA713" s="234"/>
      <c r="AB713" s="234"/>
      <c r="AC713" s="234"/>
      <c r="AD713" s="234"/>
      <c r="AE713" s="334"/>
      <c r="AF713" s="334"/>
      <c r="AG713" s="334"/>
      <c r="AH713" s="334"/>
      <c r="AI713" s="234"/>
      <c r="AJ713" s="234"/>
      <c r="AK713" s="234"/>
      <c r="AL713" s="234"/>
      <c r="AM713" s="234"/>
      <c r="AN713" s="234"/>
      <c r="AO713" s="234"/>
      <c r="AP713" s="234"/>
      <c r="AQ713" s="234"/>
      <c r="AR713" s="234"/>
      <c r="AS713" s="234"/>
      <c r="AT713" s="234"/>
      <c r="AU713" s="234"/>
      <c r="AV713" s="234"/>
      <c r="AW713" s="234"/>
      <c r="AX713" s="234"/>
      <c r="AY713" s="234"/>
      <c r="AZ713" s="234"/>
      <c r="BA713" s="234"/>
      <c r="BB713" s="234"/>
      <c r="BC713" s="234"/>
      <c r="BD713" s="234"/>
      <c r="BE713" s="234"/>
      <c r="BF713" s="234"/>
      <c r="BG713" s="234"/>
      <c r="BH713" s="234"/>
      <c r="BI713" s="234"/>
      <c r="BJ713" s="234"/>
      <c r="BK713" s="234"/>
      <c r="BL713" s="234"/>
      <c r="BM713" s="234"/>
      <c r="BN713" s="234"/>
      <c r="BO713" s="235"/>
      <c r="BP713" s="234"/>
      <c r="BQ713" s="234"/>
      <c r="BR713" s="234"/>
      <c r="BS713" s="234"/>
      <c r="BT713" s="234"/>
      <c r="BU713" s="234"/>
      <c r="BV713" s="234"/>
      <c r="BW713" s="234"/>
      <c r="BX713" s="1"/>
      <c r="BY713" s="1"/>
      <c r="BZ713" s="1"/>
      <c r="CA713" s="1"/>
      <c r="CB713" s="1"/>
      <c r="CC713" s="1"/>
      <c r="CD713" s="1"/>
      <c r="CE713" s="1"/>
      <c r="CF713" s="1"/>
      <c r="CG713" s="1"/>
    </row>
    <row r="714" spans="1:85" ht="15.75" customHeight="1">
      <c r="A714" s="313"/>
      <c r="B714" s="418"/>
      <c r="C714" s="418"/>
      <c r="D714" s="221"/>
      <c r="E714" s="335"/>
      <c r="F714" s="234"/>
      <c r="G714" s="234"/>
      <c r="H714" s="234"/>
      <c r="I714" s="331"/>
      <c r="J714" s="331"/>
      <c r="K714" s="234"/>
      <c r="L714" s="332"/>
      <c r="M714" s="234"/>
      <c r="N714" s="234"/>
      <c r="O714" s="234"/>
      <c r="P714" s="234"/>
      <c r="Q714" s="234"/>
      <c r="R714" s="234"/>
      <c r="S714" s="234"/>
      <c r="T714" s="234"/>
      <c r="U714" s="388"/>
      <c r="V714" s="388"/>
      <c r="W714" s="388"/>
      <c r="X714" s="331"/>
      <c r="Y714" s="331"/>
      <c r="Z714" s="331"/>
      <c r="AA714" s="234"/>
      <c r="AB714" s="234"/>
      <c r="AC714" s="234"/>
      <c r="AD714" s="234"/>
      <c r="AE714" s="334"/>
      <c r="AF714" s="334"/>
      <c r="AG714" s="334"/>
      <c r="AH714" s="334"/>
      <c r="AI714" s="234"/>
      <c r="AJ714" s="234"/>
      <c r="AK714" s="234"/>
      <c r="AL714" s="234"/>
      <c r="AM714" s="234"/>
      <c r="AN714" s="234"/>
      <c r="AO714" s="234"/>
      <c r="AP714" s="234"/>
      <c r="AQ714" s="234"/>
      <c r="AR714" s="234"/>
      <c r="AS714" s="234"/>
      <c r="AT714" s="234"/>
      <c r="AU714" s="234"/>
      <c r="AV714" s="234"/>
      <c r="AW714" s="234"/>
      <c r="AX714" s="234"/>
      <c r="AY714" s="234"/>
      <c r="AZ714" s="234"/>
      <c r="BA714" s="234"/>
      <c r="BB714" s="234"/>
      <c r="BC714" s="234"/>
      <c r="BD714" s="234"/>
      <c r="BE714" s="234"/>
      <c r="BF714" s="234"/>
      <c r="BG714" s="234"/>
      <c r="BH714" s="234"/>
      <c r="BI714" s="234"/>
      <c r="BJ714" s="234"/>
      <c r="BK714" s="234"/>
      <c r="BL714" s="234"/>
      <c r="BM714" s="234"/>
      <c r="BN714" s="234"/>
      <c r="BO714" s="235"/>
      <c r="BP714" s="234"/>
      <c r="BQ714" s="234"/>
      <c r="BR714" s="234"/>
      <c r="BS714" s="234"/>
      <c r="BT714" s="234"/>
      <c r="BU714" s="234"/>
      <c r="BV714" s="234"/>
      <c r="BW714" s="234"/>
      <c r="BX714" s="1"/>
      <c r="BY714" s="1"/>
      <c r="BZ714" s="1"/>
      <c r="CA714" s="1"/>
      <c r="CB714" s="1"/>
      <c r="CC714" s="1"/>
      <c r="CD714" s="1"/>
      <c r="CE714" s="1"/>
      <c r="CF714" s="1"/>
      <c r="CG714" s="1"/>
    </row>
    <row r="715" spans="1:85" ht="15.75" customHeight="1">
      <c r="A715" s="313"/>
      <c r="B715" s="418"/>
      <c r="C715" s="418"/>
      <c r="D715" s="221"/>
      <c r="E715" s="335"/>
      <c r="F715" s="234"/>
      <c r="G715" s="234"/>
      <c r="H715" s="234"/>
      <c r="I715" s="331"/>
      <c r="J715" s="331"/>
      <c r="K715" s="234"/>
      <c r="L715" s="332"/>
      <c r="M715" s="234"/>
      <c r="N715" s="234"/>
      <c r="O715" s="234"/>
      <c r="P715" s="234"/>
      <c r="Q715" s="234"/>
      <c r="R715" s="234"/>
      <c r="S715" s="234"/>
      <c r="T715" s="234"/>
      <c r="U715" s="388"/>
      <c r="V715" s="388"/>
      <c r="W715" s="388"/>
      <c r="X715" s="331"/>
      <c r="Y715" s="331"/>
      <c r="Z715" s="331"/>
      <c r="AA715" s="234"/>
      <c r="AB715" s="234"/>
      <c r="AC715" s="234"/>
      <c r="AD715" s="234"/>
      <c r="AE715" s="334"/>
      <c r="AF715" s="334"/>
      <c r="AG715" s="334"/>
      <c r="AH715" s="334"/>
      <c r="AI715" s="234"/>
      <c r="AJ715" s="234"/>
      <c r="AK715" s="234"/>
      <c r="AL715" s="234"/>
      <c r="AM715" s="234"/>
      <c r="AN715" s="234"/>
      <c r="AO715" s="234"/>
      <c r="AP715" s="234"/>
      <c r="AQ715" s="234"/>
      <c r="AR715" s="234"/>
      <c r="AS715" s="234"/>
      <c r="AT715" s="234"/>
      <c r="AU715" s="234"/>
      <c r="AV715" s="234"/>
      <c r="AW715" s="234"/>
      <c r="AX715" s="234"/>
      <c r="AY715" s="234"/>
      <c r="AZ715" s="234"/>
      <c r="BA715" s="234"/>
      <c r="BB715" s="234"/>
      <c r="BC715" s="234"/>
      <c r="BD715" s="234"/>
      <c r="BE715" s="234"/>
      <c r="BF715" s="234"/>
      <c r="BG715" s="234"/>
      <c r="BH715" s="234"/>
      <c r="BI715" s="234"/>
      <c r="BJ715" s="234"/>
      <c r="BK715" s="234"/>
      <c r="BL715" s="234"/>
      <c r="BM715" s="234"/>
      <c r="BN715" s="234"/>
      <c r="BO715" s="235"/>
      <c r="BP715" s="234"/>
      <c r="BQ715" s="234"/>
      <c r="BR715" s="234"/>
      <c r="BS715" s="234"/>
      <c r="BT715" s="234"/>
      <c r="BU715" s="234"/>
      <c r="BV715" s="234"/>
      <c r="BW715" s="234"/>
      <c r="BX715" s="1"/>
      <c r="BY715" s="1"/>
      <c r="BZ715" s="1"/>
      <c r="CA715" s="1"/>
      <c r="CB715" s="1"/>
      <c r="CC715" s="1"/>
      <c r="CD715" s="1"/>
      <c r="CE715" s="1"/>
      <c r="CF715" s="1"/>
      <c r="CG715" s="1"/>
    </row>
    <row r="716" spans="1:85" ht="15.75" customHeight="1">
      <c r="A716" s="313"/>
      <c r="B716" s="418"/>
      <c r="C716" s="418"/>
      <c r="D716" s="221"/>
      <c r="E716" s="335"/>
      <c r="F716" s="234"/>
      <c r="G716" s="234"/>
      <c r="H716" s="234"/>
      <c r="I716" s="331"/>
      <c r="J716" s="331"/>
      <c r="K716" s="234"/>
      <c r="L716" s="332"/>
      <c r="M716" s="234"/>
      <c r="N716" s="234"/>
      <c r="O716" s="234"/>
      <c r="P716" s="234"/>
      <c r="Q716" s="234"/>
      <c r="R716" s="234"/>
      <c r="S716" s="234"/>
      <c r="T716" s="234"/>
      <c r="U716" s="388"/>
      <c r="V716" s="388"/>
      <c r="W716" s="388"/>
      <c r="X716" s="331"/>
      <c r="Y716" s="331"/>
      <c r="Z716" s="331"/>
      <c r="AA716" s="234"/>
      <c r="AB716" s="234"/>
      <c r="AC716" s="234"/>
      <c r="AD716" s="234"/>
      <c r="AE716" s="334"/>
      <c r="AF716" s="334"/>
      <c r="AG716" s="334"/>
      <c r="AH716" s="334"/>
      <c r="AI716" s="234"/>
      <c r="AJ716" s="234"/>
      <c r="AK716" s="234"/>
      <c r="AL716" s="234"/>
      <c r="AM716" s="234"/>
      <c r="AN716" s="234"/>
      <c r="AO716" s="234"/>
      <c r="AP716" s="234"/>
      <c r="AQ716" s="234"/>
      <c r="AR716" s="234"/>
      <c r="AS716" s="234"/>
      <c r="AT716" s="234"/>
      <c r="AU716" s="234"/>
      <c r="AV716" s="234"/>
      <c r="AW716" s="234"/>
      <c r="AX716" s="234"/>
      <c r="AY716" s="234"/>
      <c r="AZ716" s="234"/>
      <c r="BA716" s="234"/>
      <c r="BB716" s="234"/>
      <c r="BC716" s="234"/>
      <c r="BD716" s="234"/>
      <c r="BE716" s="234"/>
      <c r="BF716" s="234"/>
      <c r="BG716" s="234"/>
      <c r="BH716" s="234"/>
      <c r="BI716" s="234"/>
      <c r="BJ716" s="234"/>
      <c r="BK716" s="234"/>
      <c r="BL716" s="234"/>
      <c r="BM716" s="234"/>
      <c r="BN716" s="234"/>
      <c r="BO716" s="235"/>
      <c r="BP716" s="234"/>
      <c r="BQ716" s="234"/>
      <c r="BR716" s="234"/>
      <c r="BS716" s="234"/>
      <c r="BT716" s="234"/>
      <c r="BU716" s="234"/>
      <c r="BV716" s="234"/>
      <c r="BW716" s="234"/>
      <c r="BX716" s="1"/>
      <c r="BY716" s="1"/>
      <c r="BZ716" s="1"/>
      <c r="CA716" s="1"/>
      <c r="CB716" s="1"/>
      <c r="CC716" s="1"/>
      <c r="CD716" s="1"/>
      <c r="CE716" s="1"/>
      <c r="CF716" s="1"/>
      <c r="CG716" s="1"/>
    </row>
    <row r="717" spans="1:85" ht="15.75" customHeight="1">
      <c r="A717" s="313"/>
      <c r="B717" s="418"/>
      <c r="C717" s="418"/>
      <c r="D717" s="221"/>
      <c r="E717" s="335"/>
      <c r="F717" s="234"/>
      <c r="G717" s="234"/>
      <c r="H717" s="234"/>
      <c r="I717" s="331"/>
      <c r="J717" s="331"/>
      <c r="K717" s="234"/>
      <c r="L717" s="332"/>
      <c r="M717" s="234"/>
      <c r="N717" s="234"/>
      <c r="O717" s="234"/>
      <c r="P717" s="234"/>
      <c r="Q717" s="234"/>
      <c r="R717" s="234"/>
      <c r="S717" s="234"/>
      <c r="T717" s="234"/>
      <c r="U717" s="388"/>
      <c r="V717" s="388"/>
      <c r="W717" s="388"/>
      <c r="X717" s="331"/>
      <c r="Y717" s="331"/>
      <c r="Z717" s="331"/>
      <c r="AA717" s="234"/>
      <c r="AB717" s="234"/>
      <c r="AC717" s="234"/>
      <c r="AD717" s="234"/>
      <c r="AE717" s="334"/>
      <c r="AF717" s="334"/>
      <c r="AG717" s="334"/>
      <c r="AH717" s="334"/>
      <c r="AI717" s="234"/>
      <c r="AJ717" s="234"/>
      <c r="AK717" s="234"/>
      <c r="AL717" s="234"/>
      <c r="AM717" s="234"/>
      <c r="AN717" s="234"/>
      <c r="AO717" s="234"/>
      <c r="AP717" s="234"/>
      <c r="AQ717" s="234"/>
      <c r="AR717" s="234"/>
      <c r="AS717" s="234"/>
      <c r="AT717" s="234"/>
      <c r="AU717" s="234"/>
      <c r="AV717" s="234"/>
      <c r="AW717" s="234"/>
      <c r="AX717" s="234"/>
      <c r="AY717" s="234"/>
      <c r="AZ717" s="234"/>
      <c r="BA717" s="234"/>
      <c r="BB717" s="234"/>
      <c r="BC717" s="234"/>
      <c r="BD717" s="234"/>
      <c r="BE717" s="234"/>
      <c r="BF717" s="234"/>
      <c r="BG717" s="234"/>
      <c r="BH717" s="234"/>
      <c r="BI717" s="234"/>
      <c r="BJ717" s="234"/>
      <c r="BK717" s="234"/>
      <c r="BL717" s="234"/>
      <c r="BM717" s="234"/>
      <c r="BN717" s="234"/>
      <c r="BO717" s="235"/>
      <c r="BP717" s="234"/>
      <c r="BQ717" s="234"/>
      <c r="BR717" s="234"/>
      <c r="BS717" s="234"/>
      <c r="BT717" s="234"/>
      <c r="BU717" s="234"/>
      <c r="BV717" s="234"/>
      <c r="BW717" s="234"/>
      <c r="BX717" s="1"/>
      <c r="BY717" s="1"/>
      <c r="BZ717" s="1"/>
      <c r="CA717" s="1"/>
      <c r="CB717" s="1"/>
      <c r="CC717" s="1"/>
      <c r="CD717" s="1"/>
      <c r="CE717" s="1"/>
      <c r="CF717" s="1"/>
      <c r="CG717" s="1"/>
    </row>
    <row r="718" spans="1:85" ht="15.75" customHeight="1">
      <c r="A718" s="313"/>
      <c r="B718" s="418"/>
      <c r="C718" s="418"/>
      <c r="D718" s="221"/>
      <c r="E718" s="335"/>
      <c r="F718" s="234"/>
      <c r="G718" s="234"/>
      <c r="H718" s="234"/>
      <c r="I718" s="331"/>
      <c r="J718" s="331"/>
      <c r="K718" s="234"/>
      <c r="L718" s="332"/>
      <c r="M718" s="234"/>
      <c r="N718" s="234"/>
      <c r="O718" s="234"/>
      <c r="P718" s="234"/>
      <c r="Q718" s="234"/>
      <c r="R718" s="234"/>
      <c r="S718" s="234"/>
      <c r="T718" s="234"/>
      <c r="U718" s="388"/>
      <c r="V718" s="388"/>
      <c r="W718" s="388"/>
      <c r="X718" s="331"/>
      <c r="Y718" s="331"/>
      <c r="Z718" s="331"/>
      <c r="AA718" s="234"/>
      <c r="AB718" s="234"/>
      <c r="AC718" s="234"/>
      <c r="AD718" s="234"/>
      <c r="AE718" s="334"/>
      <c r="AF718" s="334"/>
      <c r="AG718" s="334"/>
      <c r="AH718" s="334"/>
      <c r="AI718" s="234"/>
      <c r="AJ718" s="234"/>
      <c r="AK718" s="234"/>
      <c r="AL718" s="234"/>
      <c r="AM718" s="234"/>
      <c r="AN718" s="234"/>
      <c r="AO718" s="234"/>
      <c r="AP718" s="234"/>
      <c r="AQ718" s="234"/>
      <c r="AR718" s="234"/>
      <c r="AS718" s="234"/>
      <c r="AT718" s="234"/>
      <c r="AU718" s="234"/>
      <c r="AV718" s="234"/>
      <c r="AW718" s="234"/>
      <c r="AX718" s="234"/>
      <c r="AY718" s="234"/>
      <c r="AZ718" s="234"/>
      <c r="BA718" s="234"/>
      <c r="BB718" s="234"/>
      <c r="BC718" s="234"/>
      <c r="BD718" s="234"/>
      <c r="BE718" s="234"/>
      <c r="BF718" s="234"/>
      <c r="BG718" s="234"/>
      <c r="BH718" s="234"/>
      <c r="BI718" s="234"/>
      <c r="BJ718" s="234"/>
      <c r="BK718" s="234"/>
      <c r="BL718" s="234"/>
      <c r="BM718" s="234"/>
      <c r="BN718" s="234"/>
      <c r="BO718" s="235"/>
      <c r="BP718" s="234"/>
      <c r="BQ718" s="234"/>
      <c r="BR718" s="234"/>
      <c r="BS718" s="234"/>
      <c r="BT718" s="234"/>
      <c r="BU718" s="234"/>
      <c r="BV718" s="234"/>
      <c r="BW718" s="234"/>
      <c r="BX718" s="1"/>
      <c r="BY718" s="1"/>
      <c r="BZ718" s="1"/>
      <c r="CA718" s="1"/>
      <c r="CB718" s="1"/>
      <c r="CC718" s="1"/>
      <c r="CD718" s="1"/>
      <c r="CE718" s="1"/>
      <c r="CF718" s="1"/>
      <c r="CG718" s="1"/>
    </row>
    <row r="719" spans="1:85" ht="15.75" customHeight="1">
      <c r="A719" s="313"/>
      <c r="B719" s="418"/>
      <c r="C719" s="418"/>
      <c r="D719" s="221"/>
      <c r="E719" s="335"/>
      <c r="F719" s="234"/>
      <c r="G719" s="234"/>
      <c r="H719" s="234"/>
      <c r="I719" s="331"/>
      <c r="J719" s="331"/>
      <c r="K719" s="234"/>
      <c r="L719" s="332"/>
      <c r="M719" s="234"/>
      <c r="N719" s="234"/>
      <c r="O719" s="234"/>
      <c r="P719" s="234"/>
      <c r="Q719" s="234"/>
      <c r="R719" s="234"/>
      <c r="S719" s="234"/>
      <c r="T719" s="234"/>
      <c r="U719" s="388"/>
      <c r="V719" s="388"/>
      <c r="W719" s="388"/>
      <c r="X719" s="331"/>
      <c r="Y719" s="331"/>
      <c r="Z719" s="331"/>
      <c r="AA719" s="234"/>
      <c r="AB719" s="234"/>
      <c r="AC719" s="234"/>
      <c r="AD719" s="234"/>
      <c r="AE719" s="334"/>
      <c r="AF719" s="334"/>
      <c r="AG719" s="334"/>
      <c r="AH719" s="334"/>
      <c r="AI719" s="234"/>
      <c r="AJ719" s="234"/>
      <c r="AK719" s="234"/>
      <c r="AL719" s="234"/>
      <c r="AM719" s="234"/>
      <c r="AN719" s="234"/>
      <c r="AO719" s="234"/>
      <c r="AP719" s="234"/>
      <c r="AQ719" s="234"/>
      <c r="AR719" s="234"/>
      <c r="AS719" s="234"/>
      <c r="AT719" s="234"/>
      <c r="AU719" s="234"/>
      <c r="AV719" s="234"/>
      <c r="AW719" s="234"/>
      <c r="AX719" s="234"/>
      <c r="AY719" s="234"/>
      <c r="AZ719" s="234"/>
      <c r="BA719" s="234"/>
      <c r="BB719" s="234"/>
      <c r="BC719" s="234"/>
      <c r="BD719" s="234"/>
      <c r="BE719" s="234"/>
      <c r="BF719" s="234"/>
      <c r="BG719" s="234"/>
      <c r="BH719" s="234"/>
      <c r="BI719" s="234"/>
      <c r="BJ719" s="234"/>
      <c r="BK719" s="234"/>
      <c r="BL719" s="234"/>
      <c r="BM719" s="234"/>
      <c r="BN719" s="234"/>
      <c r="BO719" s="235"/>
      <c r="BP719" s="234"/>
      <c r="BQ719" s="234"/>
      <c r="BR719" s="234"/>
      <c r="BS719" s="234"/>
      <c r="BT719" s="234"/>
      <c r="BU719" s="234"/>
      <c r="BV719" s="234"/>
      <c r="BW719" s="234"/>
      <c r="BX719" s="1"/>
      <c r="BY719" s="1"/>
      <c r="BZ719" s="1"/>
      <c r="CA719" s="1"/>
      <c r="CB719" s="1"/>
      <c r="CC719" s="1"/>
      <c r="CD719" s="1"/>
      <c r="CE719" s="1"/>
      <c r="CF719" s="1"/>
      <c r="CG719" s="1"/>
    </row>
    <row r="720" spans="1:85" ht="15.75" customHeight="1">
      <c r="A720" s="313"/>
      <c r="B720" s="418"/>
      <c r="C720" s="418"/>
      <c r="D720" s="221"/>
      <c r="E720" s="335"/>
      <c r="F720" s="234"/>
      <c r="G720" s="234"/>
      <c r="H720" s="234"/>
      <c r="I720" s="331"/>
      <c r="J720" s="331"/>
      <c r="K720" s="234"/>
      <c r="L720" s="332"/>
      <c r="M720" s="234"/>
      <c r="N720" s="234"/>
      <c r="O720" s="234"/>
      <c r="P720" s="234"/>
      <c r="Q720" s="234"/>
      <c r="R720" s="234"/>
      <c r="S720" s="234"/>
      <c r="T720" s="234"/>
      <c r="U720" s="388"/>
      <c r="V720" s="388"/>
      <c r="W720" s="388"/>
      <c r="X720" s="331"/>
      <c r="Y720" s="331"/>
      <c r="Z720" s="331"/>
      <c r="AA720" s="234"/>
      <c r="AB720" s="234"/>
      <c r="AC720" s="234"/>
      <c r="AD720" s="234"/>
      <c r="AE720" s="334"/>
      <c r="AF720" s="334"/>
      <c r="AG720" s="334"/>
      <c r="AH720" s="334"/>
      <c r="AI720" s="234"/>
      <c r="AJ720" s="234"/>
      <c r="AK720" s="234"/>
      <c r="AL720" s="234"/>
      <c r="AM720" s="234"/>
      <c r="AN720" s="234"/>
      <c r="AO720" s="234"/>
      <c r="AP720" s="234"/>
      <c r="AQ720" s="234"/>
      <c r="AR720" s="234"/>
      <c r="AS720" s="234"/>
      <c r="AT720" s="234"/>
      <c r="AU720" s="234"/>
      <c r="AV720" s="234"/>
      <c r="AW720" s="234"/>
      <c r="AX720" s="234"/>
      <c r="AY720" s="234"/>
      <c r="AZ720" s="234"/>
      <c r="BA720" s="234"/>
      <c r="BB720" s="234"/>
      <c r="BC720" s="234"/>
      <c r="BD720" s="234"/>
      <c r="BE720" s="234"/>
      <c r="BF720" s="234"/>
      <c r="BG720" s="234"/>
      <c r="BH720" s="234"/>
      <c r="BI720" s="234"/>
      <c r="BJ720" s="234"/>
      <c r="BK720" s="234"/>
      <c r="BL720" s="234"/>
      <c r="BM720" s="234"/>
      <c r="BN720" s="234"/>
      <c r="BO720" s="235"/>
      <c r="BP720" s="234"/>
      <c r="BQ720" s="234"/>
      <c r="BR720" s="234"/>
      <c r="BS720" s="234"/>
      <c r="BT720" s="234"/>
      <c r="BU720" s="234"/>
      <c r="BV720" s="234"/>
      <c r="BW720" s="234"/>
      <c r="BX720" s="1"/>
      <c r="BY720" s="1"/>
      <c r="BZ720" s="1"/>
      <c r="CA720" s="1"/>
      <c r="CB720" s="1"/>
      <c r="CC720" s="1"/>
      <c r="CD720" s="1"/>
      <c r="CE720" s="1"/>
      <c r="CF720" s="1"/>
      <c r="CG720" s="1"/>
    </row>
    <row r="721" spans="1:85" ht="15.75" customHeight="1">
      <c r="A721" s="313"/>
      <c r="B721" s="418"/>
      <c r="C721" s="418"/>
      <c r="D721" s="221"/>
      <c r="E721" s="335"/>
      <c r="F721" s="234"/>
      <c r="G721" s="234"/>
      <c r="H721" s="234"/>
      <c r="I721" s="331"/>
      <c r="J721" s="331"/>
      <c r="K721" s="234"/>
      <c r="L721" s="332"/>
      <c r="M721" s="234"/>
      <c r="N721" s="234"/>
      <c r="O721" s="234"/>
      <c r="P721" s="234"/>
      <c r="Q721" s="234"/>
      <c r="R721" s="234"/>
      <c r="S721" s="234"/>
      <c r="T721" s="234"/>
      <c r="U721" s="388"/>
      <c r="V721" s="388"/>
      <c r="W721" s="388"/>
      <c r="X721" s="331"/>
      <c r="Y721" s="331"/>
      <c r="Z721" s="331"/>
      <c r="AA721" s="234"/>
      <c r="AB721" s="234"/>
      <c r="AC721" s="234"/>
      <c r="AD721" s="234"/>
      <c r="AE721" s="334"/>
      <c r="AF721" s="334"/>
      <c r="AG721" s="334"/>
      <c r="AH721" s="334"/>
      <c r="AI721" s="234"/>
      <c r="AJ721" s="234"/>
      <c r="AK721" s="234"/>
      <c r="AL721" s="234"/>
      <c r="AM721" s="234"/>
      <c r="AN721" s="234"/>
      <c r="AO721" s="234"/>
      <c r="AP721" s="234"/>
      <c r="AQ721" s="234"/>
      <c r="AR721" s="234"/>
      <c r="AS721" s="234"/>
      <c r="AT721" s="234"/>
      <c r="AU721" s="234"/>
      <c r="AV721" s="234"/>
      <c r="AW721" s="234"/>
      <c r="AX721" s="234"/>
      <c r="AY721" s="234"/>
      <c r="AZ721" s="234"/>
      <c r="BA721" s="234"/>
      <c r="BB721" s="234"/>
      <c r="BC721" s="234"/>
      <c r="BD721" s="234"/>
      <c r="BE721" s="234"/>
      <c r="BF721" s="234"/>
      <c r="BG721" s="234"/>
      <c r="BH721" s="234"/>
      <c r="BI721" s="234"/>
      <c r="BJ721" s="234"/>
      <c r="BK721" s="234"/>
      <c r="BL721" s="234"/>
      <c r="BM721" s="234"/>
      <c r="BN721" s="234"/>
      <c r="BO721" s="235"/>
      <c r="BP721" s="234"/>
      <c r="BQ721" s="234"/>
      <c r="BR721" s="234"/>
      <c r="BS721" s="234"/>
      <c r="BT721" s="234"/>
      <c r="BU721" s="234"/>
      <c r="BV721" s="234"/>
      <c r="BW721" s="234"/>
      <c r="BX721" s="1"/>
      <c r="BY721" s="1"/>
      <c r="BZ721" s="1"/>
      <c r="CA721" s="1"/>
      <c r="CB721" s="1"/>
      <c r="CC721" s="1"/>
      <c r="CD721" s="1"/>
      <c r="CE721" s="1"/>
      <c r="CF721" s="1"/>
      <c r="CG721" s="1"/>
    </row>
    <row r="722" spans="1:85" ht="15.75" customHeight="1">
      <c r="A722" s="313"/>
      <c r="B722" s="418"/>
      <c r="C722" s="418"/>
      <c r="D722" s="221"/>
      <c r="E722" s="335"/>
      <c r="F722" s="234"/>
      <c r="G722" s="234"/>
      <c r="H722" s="234"/>
      <c r="I722" s="331"/>
      <c r="J722" s="331"/>
      <c r="K722" s="234"/>
      <c r="L722" s="332"/>
      <c r="M722" s="234"/>
      <c r="N722" s="234"/>
      <c r="O722" s="234"/>
      <c r="P722" s="234"/>
      <c r="Q722" s="234"/>
      <c r="R722" s="234"/>
      <c r="S722" s="234"/>
      <c r="T722" s="234"/>
      <c r="U722" s="388"/>
      <c r="V722" s="388"/>
      <c r="W722" s="388"/>
      <c r="X722" s="331"/>
      <c r="Y722" s="331"/>
      <c r="Z722" s="331"/>
      <c r="AA722" s="234"/>
      <c r="AB722" s="234"/>
      <c r="AC722" s="234"/>
      <c r="AD722" s="234"/>
      <c r="AE722" s="334"/>
      <c r="AF722" s="334"/>
      <c r="AG722" s="334"/>
      <c r="AH722" s="334"/>
      <c r="AI722" s="234"/>
      <c r="AJ722" s="234"/>
      <c r="AK722" s="234"/>
      <c r="AL722" s="234"/>
      <c r="AM722" s="234"/>
      <c r="AN722" s="234"/>
      <c r="AO722" s="234"/>
      <c r="AP722" s="234"/>
      <c r="AQ722" s="234"/>
      <c r="AR722" s="234"/>
      <c r="AS722" s="234"/>
      <c r="AT722" s="234"/>
      <c r="AU722" s="234"/>
      <c r="AV722" s="234"/>
      <c r="AW722" s="234"/>
      <c r="AX722" s="234"/>
      <c r="AY722" s="234"/>
      <c r="AZ722" s="234"/>
      <c r="BA722" s="234"/>
      <c r="BB722" s="234"/>
      <c r="BC722" s="234"/>
      <c r="BD722" s="234"/>
      <c r="BE722" s="234"/>
      <c r="BF722" s="234"/>
      <c r="BG722" s="234"/>
      <c r="BH722" s="234"/>
      <c r="BI722" s="234"/>
      <c r="BJ722" s="234"/>
      <c r="BK722" s="234"/>
      <c r="BL722" s="234"/>
      <c r="BM722" s="234"/>
      <c r="BN722" s="234"/>
      <c r="BO722" s="235"/>
      <c r="BP722" s="234"/>
      <c r="BQ722" s="234"/>
      <c r="BR722" s="234"/>
      <c r="BS722" s="234"/>
      <c r="BT722" s="234"/>
      <c r="BU722" s="234"/>
      <c r="BV722" s="234"/>
      <c r="BW722" s="234"/>
      <c r="BX722" s="1"/>
      <c r="BY722" s="1"/>
      <c r="BZ722" s="1"/>
      <c r="CA722" s="1"/>
      <c r="CB722" s="1"/>
      <c r="CC722" s="1"/>
      <c r="CD722" s="1"/>
      <c r="CE722" s="1"/>
      <c r="CF722" s="1"/>
      <c r="CG722" s="1"/>
    </row>
    <row r="723" spans="1:85" ht="15.75" customHeight="1">
      <c r="A723" s="313"/>
      <c r="B723" s="418"/>
      <c r="C723" s="418"/>
      <c r="D723" s="221"/>
      <c r="E723" s="335"/>
      <c r="F723" s="234"/>
      <c r="G723" s="234"/>
      <c r="H723" s="234"/>
      <c r="I723" s="331"/>
      <c r="J723" s="331"/>
      <c r="K723" s="234"/>
      <c r="L723" s="332"/>
      <c r="M723" s="234"/>
      <c r="N723" s="234"/>
      <c r="O723" s="234"/>
      <c r="P723" s="234"/>
      <c r="Q723" s="234"/>
      <c r="R723" s="234"/>
      <c r="S723" s="234"/>
      <c r="T723" s="234"/>
      <c r="U723" s="388"/>
      <c r="V723" s="388"/>
      <c r="W723" s="388"/>
      <c r="X723" s="331"/>
      <c r="Y723" s="331"/>
      <c r="Z723" s="331"/>
      <c r="AA723" s="234"/>
      <c r="AB723" s="234"/>
      <c r="AC723" s="234"/>
      <c r="AD723" s="234"/>
      <c r="AE723" s="334"/>
      <c r="AF723" s="334"/>
      <c r="AG723" s="334"/>
      <c r="AH723" s="334"/>
      <c r="AI723" s="234"/>
      <c r="AJ723" s="234"/>
      <c r="AK723" s="234"/>
      <c r="AL723" s="234"/>
      <c r="AM723" s="234"/>
      <c r="AN723" s="234"/>
      <c r="AO723" s="234"/>
      <c r="AP723" s="234"/>
      <c r="AQ723" s="234"/>
      <c r="AR723" s="234"/>
      <c r="AS723" s="234"/>
      <c r="AT723" s="234"/>
      <c r="AU723" s="234"/>
      <c r="AV723" s="234"/>
      <c r="AW723" s="234"/>
      <c r="AX723" s="234"/>
      <c r="AY723" s="234"/>
      <c r="AZ723" s="234"/>
      <c r="BA723" s="234"/>
      <c r="BB723" s="234"/>
      <c r="BC723" s="234"/>
      <c r="BD723" s="234"/>
      <c r="BE723" s="234"/>
      <c r="BF723" s="234"/>
      <c r="BG723" s="234"/>
      <c r="BH723" s="234"/>
      <c r="BI723" s="234"/>
      <c r="BJ723" s="234"/>
      <c r="BK723" s="234"/>
      <c r="BL723" s="234"/>
      <c r="BM723" s="234"/>
      <c r="BN723" s="234"/>
      <c r="BO723" s="235"/>
      <c r="BP723" s="234"/>
      <c r="BQ723" s="234"/>
      <c r="BR723" s="234"/>
      <c r="BS723" s="234"/>
      <c r="BT723" s="234"/>
      <c r="BU723" s="234"/>
      <c r="BV723" s="234"/>
      <c r="BW723" s="234"/>
      <c r="BX723" s="1"/>
      <c r="BY723" s="1"/>
      <c r="BZ723" s="1"/>
      <c r="CA723" s="1"/>
      <c r="CB723" s="1"/>
      <c r="CC723" s="1"/>
      <c r="CD723" s="1"/>
      <c r="CE723" s="1"/>
      <c r="CF723" s="1"/>
      <c r="CG723" s="1"/>
    </row>
    <row r="724" spans="1:85" ht="15.75" customHeight="1">
      <c r="A724" s="313"/>
      <c r="B724" s="418"/>
      <c r="C724" s="418"/>
      <c r="D724" s="221"/>
      <c r="E724" s="335"/>
      <c r="F724" s="234"/>
      <c r="G724" s="234"/>
      <c r="H724" s="234"/>
      <c r="I724" s="331"/>
      <c r="J724" s="331"/>
      <c r="K724" s="234"/>
      <c r="L724" s="332"/>
      <c r="M724" s="234"/>
      <c r="N724" s="234"/>
      <c r="O724" s="234"/>
      <c r="P724" s="234"/>
      <c r="Q724" s="234"/>
      <c r="R724" s="234"/>
      <c r="S724" s="234"/>
      <c r="T724" s="234"/>
      <c r="U724" s="388"/>
      <c r="V724" s="388"/>
      <c r="W724" s="388"/>
      <c r="X724" s="331"/>
      <c r="Y724" s="331"/>
      <c r="Z724" s="331"/>
      <c r="AA724" s="234"/>
      <c r="AB724" s="234"/>
      <c r="AC724" s="234"/>
      <c r="AD724" s="234"/>
      <c r="AE724" s="334"/>
      <c r="AF724" s="334"/>
      <c r="AG724" s="334"/>
      <c r="AH724" s="334"/>
      <c r="AI724" s="234"/>
      <c r="AJ724" s="234"/>
      <c r="AK724" s="234"/>
      <c r="AL724" s="234"/>
      <c r="AM724" s="234"/>
      <c r="AN724" s="234"/>
      <c r="AO724" s="234"/>
      <c r="AP724" s="234"/>
      <c r="AQ724" s="234"/>
      <c r="AR724" s="234"/>
      <c r="AS724" s="234"/>
      <c r="AT724" s="234"/>
      <c r="AU724" s="234"/>
      <c r="AV724" s="234"/>
      <c r="AW724" s="234"/>
      <c r="AX724" s="234"/>
      <c r="AY724" s="234"/>
      <c r="AZ724" s="234"/>
      <c r="BA724" s="234"/>
      <c r="BB724" s="234"/>
      <c r="BC724" s="234"/>
      <c r="BD724" s="234"/>
      <c r="BE724" s="234"/>
      <c r="BF724" s="234"/>
      <c r="BG724" s="234"/>
      <c r="BH724" s="234"/>
      <c r="BI724" s="234"/>
      <c r="BJ724" s="234"/>
      <c r="BK724" s="234"/>
      <c r="BL724" s="234"/>
      <c r="BM724" s="234"/>
      <c r="BN724" s="234"/>
      <c r="BO724" s="235"/>
      <c r="BP724" s="234"/>
      <c r="BQ724" s="234"/>
      <c r="BR724" s="234"/>
      <c r="BS724" s="234"/>
      <c r="BT724" s="234"/>
      <c r="BU724" s="234"/>
      <c r="BV724" s="234"/>
      <c r="BW724" s="234"/>
      <c r="BX724" s="1"/>
      <c r="BY724" s="1"/>
      <c r="BZ724" s="1"/>
      <c r="CA724" s="1"/>
      <c r="CB724" s="1"/>
      <c r="CC724" s="1"/>
      <c r="CD724" s="1"/>
      <c r="CE724" s="1"/>
      <c r="CF724" s="1"/>
      <c r="CG724" s="1"/>
    </row>
    <row r="725" spans="1:85" ht="15.75" customHeight="1">
      <c r="A725" s="313"/>
      <c r="B725" s="418"/>
      <c r="C725" s="418"/>
      <c r="D725" s="221"/>
      <c r="E725" s="335"/>
      <c r="F725" s="234"/>
      <c r="G725" s="234"/>
      <c r="H725" s="234"/>
      <c r="I725" s="331"/>
      <c r="J725" s="331"/>
      <c r="K725" s="234"/>
      <c r="L725" s="332"/>
      <c r="M725" s="234"/>
      <c r="N725" s="234"/>
      <c r="O725" s="234"/>
      <c r="P725" s="234"/>
      <c r="Q725" s="234"/>
      <c r="R725" s="234"/>
      <c r="S725" s="234"/>
      <c r="T725" s="234"/>
      <c r="U725" s="388"/>
      <c r="V725" s="388"/>
      <c r="W725" s="388"/>
      <c r="X725" s="331"/>
      <c r="Y725" s="331"/>
      <c r="Z725" s="331"/>
      <c r="AA725" s="234"/>
      <c r="AB725" s="234"/>
      <c r="AC725" s="234"/>
      <c r="AD725" s="234"/>
      <c r="AE725" s="334"/>
      <c r="AF725" s="334"/>
      <c r="AG725" s="334"/>
      <c r="AH725" s="334"/>
      <c r="AI725" s="234"/>
      <c r="AJ725" s="234"/>
      <c r="AK725" s="234"/>
      <c r="AL725" s="234"/>
      <c r="AM725" s="234"/>
      <c r="AN725" s="234"/>
      <c r="AO725" s="234"/>
      <c r="AP725" s="234"/>
      <c r="AQ725" s="234"/>
      <c r="AR725" s="234"/>
      <c r="AS725" s="234"/>
      <c r="AT725" s="234"/>
      <c r="AU725" s="234"/>
      <c r="AV725" s="234"/>
      <c r="AW725" s="234"/>
      <c r="AX725" s="234"/>
      <c r="AY725" s="234"/>
      <c r="AZ725" s="234"/>
      <c r="BA725" s="234"/>
      <c r="BB725" s="234"/>
      <c r="BC725" s="234"/>
      <c r="BD725" s="234"/>
      <c r="BE725" s="234"/>
      <c r="BF725" s="234"/>
      <c r="BG725" s="234"/>
      <c r="BH725" s="234"/>
      <c r="BI725" s="234"/>
      <c r="BJ725" s="234"/>
      <c r="BK725" s="234"/>
      <c r="BL725" s="234"/>
      <c r="BM725" s="234"/>
      <c r="BN725" s="234"/>
      <c r="BO725" s="235"/>
      <c r="BP725" s="234"/>
      <c r="BQ725" s="234"/>
      <c r="BR725" s="234"/>
      <c r="BS725" s="234"/>
      <c r="BT725" s="234"/>
      <c r="BU725" s="234"/>
      <c r="BV725" s="234"/>
      <c r="BW725" s="234"/>
      <c r="BX725" s="1"/>
      <c r="BY725" s="1"/>
      <c r="BZ725" s="1"/>
      <c r="CA725" s="1"/>
      <c r="CB725" s="1"/>
      <c r="CC725" s="1"/>
      <c r="CD725" s="1"/>
      <c r="CE725" s="1"/>
      <c r="CF725" s="1"/>
      <c r="CG725" s="1"/>
    </row>
    <row r="726" spans="1:85" ht="15.75" customHeight="1">
      <c r="A726" s="313"/>
      <c r="B726" s="418"/>
      <c r="C726" s="418"/>
      <c r="D726" s="221"/>
      <c r="E726" s="335"/>
      <c r="F726" s="234"/>
      <c r="G726" s="234"/>
      <c r="H726" s="234"/>
      <c r="I726" s="331"/>
      <c r="J726" s="331"/>
      <c r="K726" s="234"/>
      <c r="L726" s="332"/>
      <c r="M726" s="234"/>
      <c r="N726" s="234"/>
      <c r="O726" s="234"/>
      <c r="P726" s="234"/>
      <c r="Q726" s="234"/>
      <c r="R726" s="234"/>
      <c r="S726" s="234"/>
      <c r="T726" s="234"/>
      <c r="U726" s="388"/>
      <c r="V726" s="388"/>
      <c r="W726" s="388"/>
      <c r="X726" s="331"/>
      <c r="Y726" s="331"/>
      <c r="Z726" s="331"/>
      <c r="AA726" s="234"/>
      <c r="AB726" s="234"/>
      <c r="AC726" s="234"/>
      <c r="AD726" s="234"/>
      <c r="AE726" s="334"/>
      <c r="AF726" s="334"/>
      <c r="AG726" s="334"/>
      <c r="AH726" s="334"/>
      <c r="AI726" s="234"/>
      <c r="AJ726" s="234"/>
      <c r="AK726" s="234"/>
      <c r="AL726" s="234"/>
      <c r="AM726" s="234"/>
      <c r="AN726" s="234"/>
      <c r="AO726" s="234"/>
      <c r="AP726" s="234"/>
      <c r="AQ726" s="234"/>
      <c r="AR726" s="234"/>
      <c r="AS726" s="234"/>
      <c r="AT726" s="234"/>
      <c r="AU726" s="234"/>
      <c r="AV726" s="234"/>
      <c r="AW726" s="234"/>
      <c r="AX726" s="234"/>
      <c r="AY726" s="234"/>
      <c r="AZ726" s="234"/>
      <c r="BA726" s="234"/>
      <c r="BB726" s="234"/>
      <c r="BC726" s="234"/>
      <c r="BD726" s="234"/>
      <c r="BE726" s="234"/>
      <c r="BF726" s="234"/>
      <c r="BG726" s="234"/>
      <c r="BH726" s="234"/>
      <c r="BI726" s="234"/>
      <c r="BJ726" s="234"/>
      <c r="BK726" s="234"/>
      <c r="BL726" s="234"/>
      <c r="BM726" s="234"/>
      <c r="BN726" s="234"/>
      <c r="BO726" s="235"/>
      <c r="BP726" s="234"/>
      <c r="BQ726" s="234"/>
      <c r="BR726" s="234"/>
      <c r="BS726" s="234"/>
      <c r="BT726" s="234"/>
      <c r="BU726" s="234"/>
      <c r="BV726" s="234"/>
      <c r="BW726" s="234"/>
      <c r="BX726" s="1"/>
      <c r="BY726" s="1"/>
      <c r="BZ726" s="1"/>
      <c r="CA726" s="1"/>
      <c r="CB726" s="1"/>
      <c r="CC726" s="1"/>
      <c r="CD726" s="1"/>
      <c r="CE726" s="1"/>
      <c r="CF726" s="1"/>
      <c r="CG726" s="1"/>
    </row>
    <row r="727" spans="1:85" ht="15.75" customHeight="1">
      <c r="A727" s="313"/>
      <c r="B727" s="418"/>
      <c r="C727" s="418"/>
      <c r="D727" s="221"/>
      <c r="E727" s="335"/>
      <c r="F727" s="234"/>
      <c r="G727" s="234"/>
      <c r="H727" s="234"/>
      <c r="I727" s="331"/>
      <c r="J727" s="331"/>
      <c r="K727" s="234"/>
      <c r="L727" s="332"/>
      <c r="M727" s="234"/>
      <c r="N727" s="234"/>
      <c r="O727" s="234"/>
      <c r="P727" s="234"/>
      <c r="Q727" s="234"/>
      <c r="R727" s="234"/>
      <c r="S727" s="234"/>
      <c r="T727" s="234"/>
      <c r="U727" s="388"/>
      <c r="V727" s="388"/>
      <c r="W727" s="388"/>
      <c r="X727" s="331"/>
      <c r="Y727" s="331"/>
      <c r="Z727" s="331"/>
      <c r="AA727" s="234"/>
      <c r="AB727" s="234"/>
      <c r="AC727" s="234"/>
      <c r="AD727" s="234"/>
      <c r="AE727" s="334"/>
      <c r="AF727" s="334"/>
      <c r="AG727" s="334"/>
      <c r="AH727" s="334"/>
      <c r="AI727" s="234"/>
      <c r="AJ727" s="234"/>
      <c r="AK727" s="234"/>
      <c r="AL727" s="234"/>
      <c r="AM727" s="234"/>
      <c r="AN727" s="234"/>
      <c r="AO727" s="234"/>
      <c r="AP727" s="234"/>
      <c r="AQ727" s="234"/>
      <c r="AR727" s="234"/>
      <c r="AS727" s="234"/>
      <c r="AT727" s="234"/>
      <c r="AU727" s="234"/>
      <c r="AV727" s="234"/>
      <c r="AW727" s="234"/>
      <c r="AX727" s="234"/>
      <c r="AY727" s="234"/>
      <c r="AZ727" s="234"/>
      <c r="BA727" s="234"/>
      <c r="BB727" s="234"/>
      <c r="BC727" s="234"/>
      <c r="BD727" s="234"/>
      <c r="BE727" s="234"/>
      <c r="BF727" s="234"/>
      <c r="BG727" s="234"/>
      <c r="BH727" s="234"/>
      <c r="BI727" s="234"/>
      <c r="BJ727" s="234"/>
      <c r="BK727" s="234"/>
      <c r="BL727" s="234"/>
      <c r="BM727" s="234"/>
      <c r="BN727" s="234"/>
      <c r="BO727" s="235"/>
      <c r="BP727" s="234"/>
      <c r="BQ727" s="234"/>
      <c r="BR727" s="234"/>
      <c r="BS727" s="234"/>
      <c r="BT727" s="234"/>
      <c r="BU727" s="234"/>
      <c r="BV727" s="234"/>
      <c r="BW727" s="234"/>
      <c r="BX727" s="1"/>
      <c r="BY727" s="1"/>
      <c r="BZ727" s="1"/>
      <c r="CA727" s="1"/>
      <c r="CB727" s="1"/>
      <c r="CC727" s="1"/>
      <c r="CD727" s="1"/>
      <c r="CE727" s="1"/>
      <c r="CF727" s="1"/>
      <c r="CG727" s="1"/>
    </row>
    <row r="728" spans="1:85" ht="15.75" customHeight="1">
      <c r="A728" s="313"/>
      <c r="B728" s="418"/>
      <c r="C728" s="418"/>
      <c r="D728" s="221"/>
      <c r="E728" s="335"/>
      <c r="F728" s="234"/>
      <c r="G728" s="234"/>
      <c r="H728" s="234"/>
      <c r="I728" s="331"/>
      <c r="J728" s="331"/>
      <c r="K728" s="234"/>
      <c r="L728" s="332"/>
      <c r="M728" s="234"/>
      <c r="N728" s="234"/>
      <c r="O728" s="234"/>
      <c r="P728" s="234"/>
      <c r="Q728" s="234"/>
      <c r="R728" s="234"/>
      <c r="S728" s="234"/>
      <c r="T728" s="234"/>
      <c r="U728" s="388"/>
      <c r="V728" s="388"/>
      <c r="W728" s="388"/>
      <c r="X728" s="331"/>
      <c r="Y728" s="331"/>
      <c r="Z728" s="331"/>
      <c r="AA728" s="234"/>
      <c r="AB728" s="234"/>
      <c r="AC728" s="234"/>
      <c r="AD728" s="234"/>
      <c r="AE728" s="334"/>
      <c r="AF728" s="334"/>
      <c r="AG728" s="334"/>
      <c r="AH728" s="334"/>
      <c r="AI728" s="234"/>
      <c r="AJ728" s="234"/>
      <c r="AK728" s="234"/>
      <c r="AL728" s="234"/>
      <c r="AM728" s="234"/>
      <c r="AN728" s="234"/>
      <c r="AO728" s="234"/>
      <c r="AP728" s="234"/>
      <c r="AQ728" s="234"/>
      <c r="AR728" s="234"/>
      <c r="AS728" s="234"/>
      <c r="AT728" s="234"/>
      <c r="AU728" s="234"/>
      <c r="AV728" s="234"/>
      <c r="AW728" s="234"/>
      <c r="AX728" s="234"/>
      <c r="AY728" s="234"/>
      <c r="AZ728" s="234"/>
      <c r="BA728" s="234"/>
      <c r="BB728" s="234"/>
      <c r="BC728" s="234"/>
      <c r="BD728" s="234"/>
      <c r="BE728" s="234"/>
      <c r="BF728" s="234"/>
      <c r="BG728" s="234"/>
      <c r="BH728" s="234"/>
      <c r="BI728" s="234"/>
      <c r="BJ728" s="234"/>
      <c r="BK728" s="234"/>
      <c r="BL728" s="234"/>
      <c r="BM728" s="234"/>
      <c r="BN728" s="234"/>
      <c r="BO728" s="235"/>
      <c r="BP728" s="234"/>
      <c r="BQ728" s="234"/>
      <c r="BR728" s="234"/>
      <c r="BS728" s="234"/>
      <c r="BT728" s="234"/>
      <c r="BU728" s="234"/>
      <c r="BV728" s="234"/>
      <c r="BW728" s="234"/>
      <c r="BX728" s="1"/>
      <c r="BY728" s="1"/>
      <c r="BZ728" s="1"/>
      <c r="CA728" s="1"/>
      <c r="CB728" s="1"/>
      <c r="CC728" s="1"/>
      <c r="CD728" s="1"/>
      <c r="CE728" s="1"/>
      <c r="CF728" s="1"/>
      <c r="CG728" s="1"/>
    </row>
    <row r="729" spans="1:85" ht="15.75" customHeight="1">
      <c r="A729" s="313"/>
      <c r="B729" s="418"/>
      <c r="C729" s="418"/>
      <c r="D729" s="221"/>
      <c r="E729" s="335"/>
      <c r="F729" s="234"/>
      <c r="G729" s="234"/>
      <c r="H729" s="234"/>
      <c r="I729" s="331"/>
      <c r="J729" s="331"/>
      <c r="K729" s="234"/>
      <c r="L729" s="332"/>
      <c r="M729" s="234"/>
      <c r="N729" s="234"/>
      <c r="O729" s="234"/>
      <c r="P729" s="234"/>
      <c r="Q729" s="234"/>
      <c r="R729" s="234"/>
      <c r="S729" s="234"/>
      <c r="T729" s="234"/>
      <c r="U729" s="388"/>
      <c r="V729" s="388"/>
      <c r="W729" s="388"/>
      <c r="X729" s="331"/>
      <c r="Y729" s="331"/>
      <c r="Z729" s="331"/>
      <c r="AA729" s="234"/>
      <c r="AB729" s="234"/>
      <c r="AC729" s="234"/>
      <c r="AD729" s="234"/>
      <c r="AE729" s="334"/>
      <c r="AF729" s="334"/>
      <c r="AG729" s="334"/>
      <c r="AH729" s="334"/>
      <c r="AI729" s="234"/>
      <c r="AJ729" s="234"/>
      <c r="AK729" s="234"/>
      <c r="AL729" s="234"/>
      <c r="AM729" s="234"/>
      <c r="AN729" s="234"/>
      <c r="AO729" s="234"/>
      <c r="AP729" s="234"/>
      <c r="AQ729" s="234"/>
      <c r="AR729" s="234"/>
      <c r="AS729" s="234"/>
      <c r="AT729" s="234"/>
      <c r="AU729" s="234"/>
      <c r="AV729" s="234"/>
      <c r="AW729" s="234"/>
      <c r="AX729" s="234"/>
      <c r="AY729" s="234"/>
      <c r="AZ729" s="234"/>
      <c r="BA729" s="234"/>
      <c r="BB729" s="234"/>
      <c r="BC729" s="234"/>
      <c r="BD729" s="234"/>
      <c r="BE729" s="234"/>
      <c r="BF729" s="234"/>
      <c r="BG729" s="234"/>
      <c r="BH729" s="234"/>
      <c r="BI729" s="234"/>
      <c r="BJ729" s="234"/>
      <c r="BK729" s="234"/>
      <c r="BL729" s="234"/>
      <c r="BM729" s="234"/>
      <c r="BN729" s="234"/>
      <c r="BO729" s="235"/>
      <c r="BP729" s="234"/>
      <c r="BQ729" s="234"/>
      <c r="BR729" s="234"/>
      <c r="BS729" s="234"/>
      <c r="BT729" s="234"/>
      <c r="BU729" s="234"/>
      <c r="BV729" s="234"/>
      <c r="BW729" s="234"/>
      <c r="BX729" s="1"/>
      <c r="BY729" s="1"/>
      <c r="BZ729" s="1"/>
      <c r="CA729" s="1"/>
      <c r="CB729" s="1"/>
      <c r="CC729" s="1"/>
      <c r="CD729" s="1"/>
      <c r="CE729" s="1"/>
      <c r="CF729" s="1"/>
      <c r="CG729" s="1"/>
    </row>
    <row r="730" spans="1:85" ht="15.75" customHeight="1">
      <c r="A730" s="313"/>
      <c r="B730" s="418"/>
      <c r="C730" s="418"/>
      <c r="D730" s="221"/>
      <c r="E730" s="335"/>
      <c r="F730" s="234"/>
      <c r="G730" s="234"/>
      <c r="H730" s="234"/>
      <c r="I730" s="331"/>
      <c r="J730" s="331"/>
      <c r="K730" s="234"/>
      <c r="L730" s="332"/>
      <c r="M730" s="234"/>
      <c r="N730" s="234"/>
      <c r="O730" s="234"/>
      <c r="P730" s="234"/>
      <c r="Q730" s="234"/>
      <c r="R730" s="234"/>
      <c r="S730" s="234"/>
      <c r="T730" s="234"/>
      <c r="U730" s="388"/>
      <c r="V730" s="388"/>
      <c r="W730" s="388"/>
      <c r="X730" s="331"/>
      <c r="Y730" s="331"/>
      <c r="Z730" s="331"/>
      <c r="AA730" s="234"/>
      <c r="AB730" s="234"/>
      <c r="AC730" s="234"/>
      <c r="AD730" s="234"/>
      <c r="AE730" s="334"/>
      <c r="AF730" s="334"/>
      <c r="AG730" s="334"/>
      <c r="AH730" s="334"/>
      <c r="AI730" s="234"/>
      <c r="AJ730" s="234"/>
      <c r="AK730" s="234"/>
      <c r="AL730" s="234"/>
      <c r="AM730" s="234"/>
      <c r="AN730" s="234"/>
      <c r="AO730" s="234"/>
      <c r="AP730" s="234"/>
      <c r="AQ730" s="234"/>
      <c r="AR730" s="234"/>
      <c r="AS730" s="234"/>
      <c r="AT730" s="234"/>
      <c r="AU730" s="234"/>
      <c r="AV730" s="234"/>
      <c r="AW730" s="234"/>
      <c r="AX730" s="234"/>
      <c r="AY730" s="234"/>
      <c r="AZ730" s="234"/>
      <c r="BA730" s="234"/>
      <c r="BB730" s="234"/>
      <c r="BC730" s="234"/>
      <c r="BD730" s="234"/>
      <c r="BE730" s="234"/>
      <c r="BF730" s="234"/>
      <c r="BG730" s="234"/>
      <c r="BH730" s="234"/>
      <c r="BI730" s="234"/>
      <c r="BJ730" s="234"/>
      <c r="BK730" s="234"/>
      <c r="BL730" s="234"/>
      <c r="BM730" s="234"/>
      <c r="BN730" s="234"/>
      <c r="BO730" s="235"/>
      <c r="BP730" s="234"/>
      <c r="BQ730" s="234"/>
      <c r="BR730" s="234"/>
      <c r="BS730" s="234"/>
      <c r="BT730" s="234"/>
      <c r="BU730" s="234"/>
      <c r="BV730" s="234"/>
      <c r="BW730" s="234"/>
      <c r="BX730" s="1"/>
      <c r="BY730" s="1"/>
      <c r="BZ730" s="1"/>
      <c r="CA730" s="1"/>
      <c r="CB730" s="1"/>
      <c r="CC730" s="1"/>
      <c r="CD730" s="1"/>
      <c r="CE730" s="1"/>
      <c r="CF730" s="1"/>
      <c r="CG730" s="1"/>
    </row>
    <row r="731" spans="1:85" ht="15.75" customHeight="1">
      <c r="A731" s="313"/>
      <c r="B731" s="418"/>
      <c r="C731" s="418"/>
      <c r="D731" s="221"/>
      <c r="E731" s="335"/>
      <c r="F731" s="234"/>
      <c r="G731" s="234"/>
      <c r="H731" s="234"/>
      <c r="I731" s="331"/>
      <c r="J731" s="331"/>
      <c r="K731" s="234"/>
      <c r="L731" s="332"/>
      <c r="M731" s="234"/>
      <c r="N731" s="234"/>
      <c r="O731" s="234"/>
      <c r="P731" s="234"/>
      <c r="Q731" s="234"/>
      <c r="R731" s="234"/>
      <c r="S731" s="234"/>
      <c r="T731" s="234"/>
      <c r="U731" s="388"/>
      <c r="V731" s="388"/>
      <c r="W731" s="388"/>
      <c r="X731" s="331"/>
      <c r="Y731" s="331"/>
      <c r="Z731" s="331"/>
      <c r="AA731" s="234"/>
      <c r="AB731" s="234"/>
      <c r="AC731" s="234"/>
      <c r="AD731" s="234"/>
      <c r="AE731" s="334"/>
      <c r="AF731" s="334"/>
      <c r="AG731" s="334"/>
      <c r="AH731" s="334"/>
      <c r="AI731" s="234"/>
      <c r="AJ731" s="234"/>
      <c r="AK731" s="234"/>
      <c r="AL731" s="234"/>
      <c r="AM731" s="234"/>
      <c r="AN731" s="234"/>
      <c r="AO731" s="234"/>
      <c r="AP731" s="234"/>
      <c r="AQ731" s="234"/>
      <c r="AR731" s="234"/>
      <c r="AS731" s="234"/>
      <c r="AT731" s="234"/>
      <c r="AU731" s="234"/>
      <c r="AV731" s="234"/>
      <c r="AW731" s="234"/>
      <c r="AX731" s="234"/>
      <c r="AY731" s="234"/>
      <c r="AZ731" s="234"/>
      <c r="BA731" s="234"/>
      <c r="BB731" s="234"/>
      <c r="BC731" s="234"/>
      <c r="BD731" s="234"/>
      <c r="BE731" s="234"/>
      <c r="BF731" s="234"/>
      <c r="BG731" s="234"/>
      <c r="BH731" s="234"/>
      <c r="BI731" s="234"/>
      <c r="BJ731" s="234"/>
      <c r="BK731" s="234"/>
      <c r="BL731" s="234"/>
      <c r="BM731" s="234"/>
      <c r="BN731" s="234"/>
      <c r="BO731" s="235"/>
      <c r="BP731" s="234"/>
      <c r="BQ731" s="234"/>
      <c r="BR731" s="234"/>
      <c r="BS731" s="234"/>
      <c r="BT731" s="234"/>
      <c r="BU731" s="234"/>
      <c r="BV731" s="234"/>
      <c r="BW731" s="234"/>
      <c r="BX731" s="1"/>
      <c r="BY731" s="1"/>
      <c r="BZ731" s="1"/>
      <c r="CA731" s="1"/>
      <c r="CB731" s="1"/>
      <c r="CC731" s="1"/>
      <c r="CD731" s="1"/>
      <c r="CE731" s="1"/>
      <c r="CF731" s="1"/>
      <c r="CG731" s="1"/>
    </row>
    <row r="732" spans="1:85" ht="15.75" customHeight="1">
      <c r="A732" s="313"/>
      <c r="B732" s="418"/>
      <c r="C732" s="418"/>
      <c r="D732" s="221"/>
      <c r="E732" s="335"/>
      <c r="F732" s="234"/>
      <c r="G732" s="234"/>
      <c r="H732" s="234"/>
      <c r="I732" s="331"/>
      <c r="J732" s="331"/>
      <c r="K732" s="234"/>
      <c r="L732" s="332"/>
      <c r="M732" s="234"/>
      <c r="N732" s="234"/>
      <c r="O732" s="234"/>
      <c r="P732" s="234"/>
      <c r="Q732" s="234"/>
      <c r="R732" s="234"/>
      <c r="S732" s="234"/>
      <c r="T732" s="234"/>
      <c r="U732" s="388"/>
      <c r="V732" s="388"/>
      <c r="W732" s="388"/>
      <c r="X732" s="331"/>
      <c r="Y732" s="331"/>
      <c r="Z732" s="331"/>
      <c r="AA732" s="234"/>
      <c r="AB732" s="234"/>
      <c r="AC732" s="234"/>
      <c r="AD732" s="234"/>
      <c r="AE732" s="334"/>
      <c r="AF732" s="334"/>
      <c r="AG732" s="334"/>
      <c r="AH732" s="334"/>
      <c r="AI732" s="234"/>
      <c r="AJ732" s="234"/>
      <c r="AK732" s="234"/>
      <c r="AL732" s="234"/>
      <c r="AM732" s="234"/>
      <c r="AN732" s="234"/>
      <c r="AO732" s="234"/>
      <c r="AP732" s="234"/>
      <c r="AQ732" s="234"/>
      <c r="AR732" s="234"/>
      <c r="AS732" s="234"/>
      <c r="AT732" s="234"/>
      <c r="AU732" s="234"/>
      <c r="AV732" s="234"/>
      <c r="AW732" s="234"/>
      <c r="AX732" s="234"/>
      <c r="AY732" s="234"/>
      <c r="AZ732" s="234"/>
      <c r="BA732" s="234"/>
      <c r="BB732" s="234"/>
      <c r="BC732" s="234"/>
      <c r="BD732" s="234"/>
      <c r="BE732" s="234"/>
      <c r="BF732" s="234"/>
      <c r="BG732" s="234"/>
      <c r="BH732" s="234"/>
      <c r="BI732" s="234"/>
      <c r="BJ732" s="234"/>
      <c r="BK732" s="234"/>
      <c r="BL732" s="234"/>
      <c r="BM732" s="234"/>
      <c r="BN732" s="234"/>
      <c r="BO732" s="235"/>
      <c r="BP732" s="234"/>
      <c r="BQ732" s="234"/>
      <c r="BR732" s="234"/>
      <c r="BS732" s="234"/>
      <c r="BT732" s="234"/>
      <c r="BU732" s="234"/>
      <c r="BV732" s="234"/>
      <c r="BW732" s="234"/>
      <c r="BX732" s="1"/>
      <c r="BY732" s="1"/>
      <c r="BZ732" s="1"/>
      <c r="CA732" s="1"/>
      <c r="CB732" s="1"/>
      <c r="CC732" s="1"/>
      <c r="CD732" s="1"/>
      <c r="CE732" s="1"/>
      <c r="CF732" s="1"/>
      <c r="CG732" s="1"/>
    </row>
    <row r="733" spans="1:85" ht="15.75" customHeight="1">
      <c r="A733" s="313"/>
      <c r="B733" s="418"/>
      <c r="C733" s="418"/>
      <c r="D733" s="221"/>
      <c r="E733" s="335"/>
      <c r="F733" s="234"/>
      <c r="G733" s="234"/>
      <c r="H733" s="234"/>
      <c r="I733" s="331"/>
      <c r="J733" s="331"/>
      <c r="K733" s="234"/>
      <c r="L733" s="332"/>
      <c r="M733" s="234"/>
      <c r="N733" s="234"/>
      <c r="O733" s="234"/>
      <c r="P733" s="234"/>
      <c r="Q733" s="234"/>
      <c r="R733" s="234"/>
      <c r="S733" s="234"/>
      <c r="T733" s="234"/>
      <c r="U733" s="388"/>
      <c r="V733" s="388"/>
      <c r="W733" s="388"/>
      <c r="X733" s="331"/>
      <c r="Y733" s="331"/>
      <c r="Z733" s="331"/>
      <c r="AA733" s="234"/>
      <c r="AB733" s="234"/>
      <c r="AC733" s="234"/>
      <c r="AD733" s="234"/>
      <c r="AE733" s="334"/>
      <c r="AF733" s="334"/>
      <c r="AG733" s="334"/>
      <c r="AH733" s="334"/>
      <c r="AI733" s="234"/>
      <c r="AJ733" s="234"/>
      <c r="AK733" s="234"/>
      <c r="AL733" s="234"/>
      <c r="AM733" s="234"/>
      <c r="AN733" s="234"/>
      <c r="AO733" s="234"/>
      <c r="AP733" s="234"/>
      <c r="AQ733" s="234"/>
      <c r="AR733" s="234"/>
      <c r="AS733" s="234"/>
      <c r="AT733" s="234"/>
      <c r="AU733" s="234"/>
      <c r="AV733" s="234"/>
      <c r="AW733" s="234"/>
      <c r="AX733" s="234"/>
      <c r="AY733" s="234"/>
      <c r="AZ733" s="234"/>
      <c r="BA733" s="234"/>
      <c r="BB733" s="234"/>
      <c r="BC733" s="234"/>
      <c r="BD733" s="234"/>
      <c r="BE733" s="234"/>
      <c r="BF733" s="234"/>
      <c r="BG733" s="234"/>
      <c r="BH733" s="234"/>
      <c r="BI733" s="234"/>
      <c r="BJ733" s="234"/>
      <c r="BK733" s="234"/>
      <c r="BL733" s="234"/>
      <c r="BM733" s="234"/>
      <c r="BN733" s="234"/>
      <c r="BO733" s="235"/>
      <c r="BP733" s="234"/>
      <c r="BQ733" s="234"/>
      <c r="BR733" s="234"/>
      <c r="BS733" s="234"/>
      <c r="BT733" s="234"/>
      <c r="BU733" s="234"/>
      <c r="BV733" s="234"/>
      <c r="BW733" s="234"/>
      <c r="BX733" s="1"/>
      <c r="BY733" s="1"/>
      <c r="BZ733" s="1"/>
      <c r="CA733" s="1"/>
      <c r="CB733" s="1"/>
      <c r="CC733" s="1"/>
      <c r="CD733" s="1"/>
      <c r="CE733" s="1"/>
      <c r="CF733" s="1"/>
      <c r="CG733" s="1"/>
    </row>
    <row r="734" spans="1:85" ht="15.75" customHeight="1">
      <c r="A734" s="313"/>
      <c r="B734" s="418"/>
      <c r="C734" s="418"/>
      <c r="D734" s="221"/>
      <c r="E734" s="335"/>
      <c r="F734" s="234"/>
      <c r="G734" s="234"/>
      <c r="H734" s="234"/>
      <c r="I734" s="331"/>
      <c r="J734" s="331"/>
      <c r="K734" s="234"/>
      <c r="L734" s="332"/>
      <c r="M734" s="234"/>
      <c r="N734" s="234"/>
      <c r="O734" s="234"/>
      <c r="P734" s="234"/>
      <c r="Q734" s="234"/>
      <c r="R734" s="234"/>
      <c r="S734" s="234"/>
      <c r="T734" s="234"/>
      <c r="U734" s="388"/>
      <c r="V734" s="388"/>
      <c r="W734" s="388"/>
      <c r="X734" s="331"/>
      <c r="Y734" s="331"/>
      <c r="Z734" s="331"/>
      <c r="AA734" s="234"/>
      <c r="AB734" s="234"/>
      <c r="AC734" s="234"/>
      <c r="AD734" s="234"/>
      <c r="AE734" s="334"/>
      <c r="AF734" s="334"/>
      <c r="AG734" s="334"/>
      <c r="AH734" s="334"/>
      <c r="AI734" s="234"/>
      <c r="AJ734" s="234"/>
      <c r="AK734" s="234"/>
      <c r="AL734" s="234"/>
      <c r="AM734" s="234"/>
      <c r="AN734" s="234"/>
      <c r="AO734" s="234"/>
      <c r="AP734" s="234"/>
      <c r="AQ734" s="234"/>
      <c r="AR734" s="234"/>
      <c r="AS734" s="234"/>
      <c r="AT734" s="234"/>
      <c r="AU734" s="234"/>
      <c r="AV734" s="234"/>
      <c r="AW734" s="234"/>
      <c r="AX734" s="234"/>
      <c r="AY734" s="234"/>
      <c r="AZ734" s="234"/>
      <c r="BA734" s="234"/>
      <c r="BB734" s="234"/>
      <c r="BC734" s="234"/>
      <c r="BD734" s="234"/>
      <c r="BE734" s="234"/>
      <c r="BF734" s="234"/>
      <c r="BG734" s="234"/>
      <c r="BH734" s="234"/>
      <c r="BI734" s="234"/>
      <c r="BJ734" s="234"/>
      <c r="BK734" s="234"/>
      <c r="BL734" s="234"/>
      <c r="BM734" s="234"/>
      <c r="BN734" s="234"/>
      <c r="BO734" s="235"/>
      <c r="BP734" s="234"/>
      <c r="BQ734" s="234"/>
      <c r="BR734" s="234"/>
      <c r="BS734" s="234"/>
      <c r="BT734" s="234"/>
      <c r="BU734" s="234"/>
      <c r="BV734" s="234"/>
      <c r="BW734" s="234"/>
      <c r="BX734" s="1"/>
      <c r="BY734" s="1"/>
      <c r="BZ734" s="1"/>
      <c r="CA734" s="1"/>
      <c r="CB734" s="1"/>
      <c r="CC734" s="1"/>
      <c r="CD734" s="1"/>
      <c r="CE734" s="1"/>
      <c r="CF734" s="1"/>
      <c r="CG734" s="1"/>
    </row>
    <row r="735" spans="1:85" ht="15.75" customHeight="1">
      <c r="A735" s="313"/>
      <c r="B735" s="418"/>
      <c r="C735" s="418"/>
      <c r="D735" s="221"/>
      <c r="E735" s="335"/>
      <c r="F735" s="234"/>
      <c r="G735" s="234"/>
      <c r="H735" s="234"/>
      <c r="I735" s="331"/>
      <c r="J735" s="331"/>
      <c r="K735" s="234"/>
      <c r="L735" s="332"/>
      <c r="M735" s="234"/>
      <c r="N735" s="234"/>
      <c r="O735" s="234"/>
      <c r="P735" s="234"/>
      <c r="Q735" s="234"/>
      <c r="R735" s="234"/>
      <c r="S735" s="234"/>
      <c r="T735" s="234"/>
      <c r="U735" s="388"/>
      <c r="V735" s="388"/>
      <c r="W735" s="388"/>
      <c r="X735" s="331"/>
      <c r="Y735" s="331"/>
      <c r="Z735" s="331"/>
      <c r="AA735" s="234"/>
      <c r="AB735" s="234"/>
      <c r="AC735" s="234"/>
      <c r="AD735" s="234"/>
      <c r="AE735" s="334"/>
      <c r="AF735" s="334"/>
      <c r="AG735" s="334"/>
      <c r="AH735" s="334"/>
      <c r="AI735" s="234"/>
      <c r="AJ735" s="234"/>
      <c r="AK735" s="234"/>
      <c r="AL735" s="234"/>
      <c r="AM735" s="234"/>
      <c r="AN735" s="234"/>
      <c r="AO735" s="234"/>
      <c r="AP735" s="234"/>
      <c r="AQ735" s="234"/>
      <c r="AR735" s="234"/>
      <c r="AS735" s="234"/>
      <c r="AT735" s="234"/>
      <c r="AU735" s="234"/>
      <c r="AV735" s="234"/>
      <c r="AW735" s="234"/>
      <c r="AX735" s="234"/>
      <c r="AY735" s="234"/>
      <c r="AZ735" s="234"/>
      <c r="BA735" s="234"/>
      <c r="BB735" s="234"/>
      <c r="BC735" s="234"/>
      <c r="BD735" s="234"/>
      <c r="BE735" s="234"/>
      <c r="BF735" s="234"/>
      <c r="BG735" s="234"/>
      <c r="BH735" s="234"/>
      <c r="BI735" s="234"/>
      <c r="BJ735" s="234"/>
      <c r="BK735" s="234"/>
      <c r="BL735" s="234"/>
      <c r="BM735" s="234"/>
      <c r="BN735" s="234"/>
      <c r="BO735" s="235"/>
      <c r="BP735" s="234"/>
      <c r="BQ735" s="234"/>
      <c r="BR735" s="234"/>
      <c r="BS735" s="234"/>
      <c r="BT735" s="234"/>
      <c r="BU735" s="234"/>
      <c r="BV735" s="234"/>
      <c r="BW735" s="234"/>
      <c r="BX735" s="1"/>
      <c r="BY735" s="1"/>
      <c r="BZ735" s="1"/>
      <c r="CA735" s="1"/>
      <c r="CB735" s="1"/>
      <c r="CC735" s="1"/>
      <c r="CD735" s="1"/>
      <c r="CE735" s="1"/>
      <c r="CF735" s="1"/>
      <c r="CG735" s="1"/>
    </row>
    <row r="736" spans="1:85" ht="15.75" customHeight="1">
      <c r="A736" s="313"/>
      <c r="B736" s="418"/>
      <c r="C736" s="418"/>
      <c r="D736" s="221"/>
      <c r="E736" s="335"/>
      <c r="F736" s="234"/>
      <c r="G736" s="234"/>
      <c r="H736" s="234"/>
      <c r="I736" s="331"/>
      <c r="J736" s="331"/>
      <c r="K736" s="234"/>
      <c r="L736" s="332"/>
      <c r="M736" s="234"/>
      <c r="N736" s="234"/>
      <c r="O736" s="234"/>
      <c r="P736" s="234"/>
      <c r="Q736" s="234"/>
      <c r="R736" s="234"/>
      <c r="S736" s="234"/>
      <c r="T736" s="234"/>
      <c r="U736" s="388"/>
      <c r="V736" s="388"/>
      <c r="W736" s="388"/>
      <c r="X736" s="331"/>
      <c r="Y736" s="331"/>
      <c r="Z736" s="331"/>
      <c r="AA736" s="234"/>
      <c r="AB736" s="234"/>
      <c r="AC736" s="234"/>
      <c r="AD736" s="234"/>
      <c r="AE736" s="334"/>
      <c r="AF736" s="334"/>
      <c r="AG736" s="334"/>
      <c r="AH736" s="334"/>
      <c r="AI736" s="234"/>
      <c r="AJ736" s="234"/>
      <c r="AK736" s="234"/>
      <c r="AL736" s="234"/>
      <c r="AM736" s="234"/>
      <c r="AN736" s="234"/>
      <c r="AO736" s="234"/>
      <c r="AP736" s="234"/>
      <c r="AQ736" s="234"/>
      <c r="AR736" s="234"/>
      <c r="AS736" s="234"/>
      <c r="AT736" s="234"/>
      <c r="AU736" s="234"/>
      <c r="AV736" s="234"/>
      <c r="AW736" s="234"/>
      <c r="AX736" s="234"/>
      <c r="AY736" s="234"/>
      <c r="AZ736" s="234"/>
      <c r="BA736" s="234"/>
      <c r="BB736" s="234"/>
      <c r="BC736" s="234"/>
      <c r="BD736" s="234"/>
      <c r="BE736" s="234"/>
      <c r="BF736" s="234"/>
      <c r="BG736" s="234"/>
      <c r="BH736" s="234"/>
      <c r="BI736" s="234"/>
      <c r="BJ736" s="234"/>
      <c r="BK736" s="234"/>
      <c r="BL736" s="234"/>
      <c r="BM736" s="234"/>
      <c r="BN736" s="234"/>
      <c r="BO736" s="235"/>
      <c r="BP736" s="234"/>
      <c r="BQ736" s="234"/>
      <c r="BR736" s="234"/>
      <c r="BS736" s="234"/>
      <c r="BT736" s="234"/>
      <c r="BU736" s="234"/>
      <c r="BV736" s="234"/>
      <c r="BW736" s="234"/>
      <c r="BX736" s="1"/>
      <c r="BY736" s="1"/>
      <c r="BZ736" s="1"/>
      <c r="CA736" s="1"/>
      <c r="CB736" s="1"/>
      <c r="CC736" s="1"/>
      <c r="CD736" s="1"/>
      <c r="CE736" s="1"/>
      <c r="CF736" s="1"/>
      <c r="CG736" s="1"/>
    </row>
    <row r="737" spans="1:85" ht="15.75" customHeight="1">
      <c r="A737" s="313"/>
      <c r="B737" s="418"/>
      <c r="C737" s="418"/>
      <c r="D737" s="221"/>
      <c r="E737" s="335"/>
      <c r="F737" s="234"/>
      <c r="G737" s="234"/>
      <c r="H737" s="234"/>
      <c r="I737" s="331"/>
      <c r="J737" s="331"/>
      <c r="K737" s="234"/>
      <c r="L737" s="332"/>
      <c r="M737" s="234"/>
      <c r="N737" s="234"/>
      <c r="O737" s="234"/>
      <c r="P737" s="234"/>
      <c r="Q737" s="234"/>
      <c r="R737" s="234"/>
      <c r="S737" s="234"/>
      <c r="T737" s="234"/>
      <c r="U737" s="388"/>
      <c r="V737" s="388"/>
      <c r="W737" s="388"/>
      <c r="X737" s="331"/>
      <c r="Y737" s="331"/>
      <c r="Z737" s="331"/>
      <c r="AA737" s="234"/>
      <c r="AB737" s="234"/>
      <c r="AC737" s="234"/>
      <c r="AD737" s="234"/>
      <c r="AE737" s="334"/>
      <c r="AF737" s="334"/>
      <c r="AG737" s="334"/>
      <c r="AH737" s="334"/>
      <c r="AI737" s="234"/>
      <c r="AJ737" s="234"/>
      <c r="AK737" s="234"/>
      <c r="AL737" s="234"/>
      <c r="AM737" s="234"/>
      <c r="AN737" s="234"/>
      <c r="AO737" s="234"/>
      <c r="AP737" s="234"/>
      <c r="AQ737" s="234"/>
      <c r="AR737" s="234"/>
      <c r="AS737" s="234"/>
      <c r="AT737" s="234"/>
      <c r="AU737" s="234"/>
      <c r="AV737" s="234"/>
      <c r="AW737" s="234"/>
      <c r="AX737" s="234"/>
      <c r="AY737" s="234"/>
      <c r="AZ737" s="234"/>
      <c r="BA737" s="234"/>
      <c r="BB737" s="234"/>
      <c r="BC737" s="234"/>
      <c r="BD737" s="234"/>
      <c r="BE737" s="234"/>
      <c r="BF737" s="234"/>
      <c r="BG737" s="234"/>
      <c r="BH737" s="234"/>
      <c r="BI737" s="234"/>
      <c r="BJ737" s="234"/>
      <c r="BK737" s="234"/>
      <c r="BL737" s="234"/>
      <c r="BM737" s="234"/>
      <c r="BN737" s="234"/>
      <c r="BO737" s="235"/>
      <c r="BP737" s="234"/>
      <c r="BQ737" s="234"/>
      <c r="BR737" s="234"/>
      <c r="BS737" s="234"/>
      <c r="BT737" s="234"/>
      <c r="BU737" s="234"/>
      <c r="BV737" s="234"/>
      <c r="BW737" s="234"/>
      <c r="BX737" s="1"/>
      <c r="BY737" s="1"/>
      <c r="BZ737" s="1"/>
      <c r="CA737" s="1"/>
      <c r="CB737" s="1"/>
      <c r="CC737" s="1"/>
      <c r="CD737" s="1"/>
      <c r="CE737" s="1"/>
      <c r="CF737" s="1"/>
      <c r="CG737" s="1"/>
    </row>
    <row r="738" spans="1:85" ht="15.75" customHeight="1">
      <c r="A738" s="313"/>
      <c r="B738" s="418"/>
      <c r="C738" s="418"/>
      <c r="D738" s="221"/>
      <c r="E738" s="335"/>
      <c r="F738" s="234"/>
      <c r="G738" s="234"/>
      <c r="H738" s="234"/>
      <c r="I738" s="331"/>
      <c r="J738" s="331"/>
      <c r="K738" s="234"/>
      <c r="L738" s="332"/>
      <c r="M738" s="234"/>
      <c r="N738" s="234"/>
      <c r="O738" s="234"/>
      <c r="P738" s="234"/>
      <c r="Q738" s="234"/>
      <c r="R738" s="234"/>
      <c r="S738" s="234"/>
      <c r="T738" s="234"/>
      <c r="U738" s="388"/>
      <c r="V738" s="388"/>
      <c r="W738" s="388"/>
      <c r="X738" s="331"/>
      <c r="Y738" s="331"/>
      <c r="Z738" s="331"/>
      <c r="AA738" s="234"/>
      <c r="AB738" s="234"/>
      <c r="AC738" s="234"/>
      <c r="AD738" s="234"/>
      <c r="AE738" s="334"/>
      <c r="AF738" s="334"/>
      <c r="AG738" s="334"/>
      <c r="AH738" s="334"/>
      <c r="AI738" s="234"/>
      <c r="AJ738" s="234"/>
      <c r="AK738" s="234"/>
      <c r="AL738" s="234"/>
      <c r="AM738" s="234"/>
      <c r="AN738" s="234"/>
      <c r="AO738" s="234"/>
      <c r="AP738" s="234"/>
      <c r="AQ738" s="234"/>
      <c r="AR738" s="234"/>
      <c r="AS738" s="234"/>
      <c r="AT738" s="234"/>
      <c r="AU738" s="234"/>
      <c r="AV738" s="234"/>
      <c r="AW738" s="234"/>
      <c r="AX738" s="234"/>
      <c r="AY738" s="234"/>
      <c r="AZ738" s="234"/>
      <c r="BA738" s="234"/>
      <c r="BB738" s="234"/>
      <c r="BC738" s="234"/>
      <c r="BD738" s="234"/>
      <c r="BE738" s="234"/>
      <c r="BF738" s="234"/>
      <c r="BG738" s="234"/>
      <c r="BH738" s="234"/>
      <c r="BI738" s="234"/>
      <c r="BJ738" s="234"/>
      <c r="BK738" s="234"/>
      <c r="BL738" s="234"/>
      <c r="BM738" s="234"/>
      <c r="BN738" s="234"/>
      <c r="BO738" s="235"/>
      <c r="BP738" s="234"/>
      <c r="BQ738" s="234"/>
      <c r="BR738" s="234"/>
      <c r="BS738" s="234"/>
      <c r="BT738" s="234"/>
      <c r="BU738" s="234"/>
      <c r="BV738" s="234"/>
      <c r="BW738" s="234"/>
      <c r="BX738" s="1"/>
      <c r="BY738" s="1"/>
      <c r="BZ738" s="1"/>
      <c r="CA738" s="1"/>
      <c r="CB738" s="1"/>
      <c r="CC738" s="1"/>
      <c r="CD738" s="1"/>
      <c r="CE738" s="1"/>
      <c r="CF738" s="1"/>
      <c r="CG738" s="1"/>
    </row>
    <row r="739" spans="1:85" ht="15.75" customHeight="1">
      <c r="A739" s="313"/>
      <c r="B739" s="418"/>
      <c r="C739" s="418"/>
      <c r="D739" s="221"/>
      <c r="E739" s="335"/>
      <c r="F739" s="234"/>
      <c r="G739" s="234"/>
      <c r="H739" s="234"/>
      <c r="I739" s="331"/>
      <c r="J739" s="331"/>
      <c r="K739" s="234"/>
      <c r="L739" s="332"/>
      <c r="M739" s="234"/>
      <c r="N739" s="234"/>
      <c r="O739" s="234"/>
      <c r="P739" s="234"/>
      <c r="Q739" s="234"/>
      <c r="R739" s="234"/>
      <c r="S739" s="234"/>
      <c r="T739" s="234"/>
      <c r="U739" s="388"/>
      <c r="V739" s="388"/>
      <c r="W739" s="388"/>
      <c r="X739" s="331"/>
      <c r="Y739" s="331"/>
      <c r="Z739" s="331"/>
      <c r="AA739" s="234"/>
      <c r="AB739" s="234"/>
      <c r="AC739" s="234"/>
      <c r="AD739" s="234"/>
      <c r="AE739" s="334"/>
      <c r="AF739" s="334"/>
      <c r="AG739" s="334"/>
      <c r="AH739" s="334"/>
      <c r="AI739" s="234"/>
      <c r="AJ739" s="234"/>
      <c r="AK739" s="234"/>
      <c r="AL739" s="234"/>
      <c r="AM739" s="234"/>
      <c r="AN739" s="234"/>
      <c r="AO739" s="234"/>
      <c r="AP739" s="234"/>
      <c r="AQ739" s="234"/>
      <c r="AR739" s="234"/>
      <c r="AS739" s="234"/>
      <c r="AT739" s="234"/>
      <c r="AU739" s="234"/>
      <c r="AV739" s="234"/>
      <c r="AW739" s="234"/>
      <c r="AX739" s="234"/>
      <c r="AY739" s="234"/>
      <c r="AZ739" s="234"/>
      <c r="BA739" s="234"/>
      <c r="BB739" s="234"/>
      <c r="BC739" s="234"/>
      <c r="BD739" s="234"/>
      <c r="BE739" s="234"/>
      <c r="BF739" s="234"/>
      <c r="BG739" s="234"/>
      <c r="BH739" s="234"/>
      <c r="BI739" s="234"/>
      <c r="BJ739" s="234"/>
      <c r="BK739" s="234"/>
      <c r="BL739" s="234"/>
      <c r="BM739" s="234"/>
      <c r="BN739" s="234"/>
      <c r="BO739" s="235"/>
      <c r="BP739" s="234"/>
      <c r="BQ739" s="234"/>
      <c r="BR739" s="234"/>
      <c r="BS739" s="234"/>
      <c r="BT739" s="234"/>
      <c r="BU739" s="234"/>
      <c r="BV739" s="234"/>
      <c r="BW739" s="234"/>
      <c r="BX739" s="1"/>
      <c r="BY739" s="1"/>
      <c r="BZ739" s="1"/>
      <c r="CA739" s="1"/>
      <c r="CB739" s="1"/>
      <c r="CC739" s="1"/>
      <c r="CD739" s="1"/>
      <c r="CE739" s="1"/>
      <c r="CF739" s="1"/>
      <c r="CG739" s="1"/>
    </row>
    <row r="740" spans="1:85" ht="15.75" customHeight="1">
      <c r="A740" s="313"/>
      <c r="B740" s="418"/>
      <c r="C740" s="418"/>
      <c r="D740" s="221"/>
      <c r="E740" s="335"/>
      <c r="F740" s="234"/>
      <c r="G740" s="234"/>
      <c r="H740" s="234"/>
      <c r="I740" s="331"/>
      <c r="J740" s="331"/>
      <c r="K740" s="234"/>
      <c r="L740" s="332"/>
      <c r="M740" s="234"/>
      <c r="N740" s="234"/>
      <c r="O740" s="234"/>
      <c r="P740" s="234"/>
      <c r="Q740" s="234"/>
      <c r="R740" s="234"/>
      <c r="S740" s="234"/>
      <c r="T740" s="234"/>
      <c r="U740" s="388"/>
      <c r="V740" s="388"/>
      <c r="W740" s="388"/>
      <c r="X740" s="331"/>
      <c r="Y740" s="331"/>
      <c r="Z740" s="331"/>
      <c r="AA740" s="234"/>
      <c r="AB740" s="234"/>
      <c r="AC740" s="234"/>
      <c r="AD740" s="234"/>
      <c r="AE740" s="334"/>
      <c r="AF740" s="334"/>
      <c r="AG740" s="334"/>
      <c r="AH740" s="334"/>
      <c r="AI740" s="234"/>
      <c r="AJ740" s="234"/>
      <c r="AK740" s="234"/>
      <c r="AL740" s="234"/>
      <c r="AM740" s="234"/>
      <c r="AN740" s="234"/>
      <c r="AO740" s="234"/>
      <c r="AP740" s="234"/>
      <c r="AQ740" s="234"/>
      <c r="AR740" s="234"/>
      <c r="AS740" s="234"/>
      <c r="AT740" s="234"/>
      <c r="AU740" s="234"/>
      <c r="AV740" s="234"/>
      <c r="AW740" s="234"/>
      <c r="AX740" s="234"/>
      <c r="AY740" s="234"/>
      <c r="AZ740" s="234"/>
      <c r="BA740" s="234"/>
      <c r="BB740" s="234"/>
      <c r="BC740" s="234"/>
      <c r="BD740" s="234"/>
      <c r="BE740" s="234"/>
      <c r="BF740" s="234"/>
      <c r="BG740" s="234"/>
      <c r="BH740" s="234"/>
      <c r="BI740" s="234"/>
      <c r="BJ740" s="234"/>
      <c r="BK740" s="234"/>
      <c r="BL740" s="234"/>
      <c r="BM740" s="234"/>
      <c r="BN740" s="234"/>
      <c r="BO740" s="235"/>
      <c r="BP740" s="234"/>
      <c r="BQ740" s="234"/>
      <c r="BR740" s="234"/>
      <c r="BS740" s="234"/>
      <c r="BT740" s="234"/>
      <c r="BU740" s="234"/>
      <c r="BV740" s="234"/>
      <c r="BW740" s="234"/>
      <c r="BX740" s="1"/>
      <c r="BY740" s="1"/>
      <c r="BZ740" s="1"/>
      <c r="CA740" s="1"/>
      <c r="CB740" s="1"/>
      <c r="CC740" s="1"/>
      <c r="CD740" s="1"/>
      <c r="CE740" s="1"/>
      <c r="CF740" s="1"/>
      <c r="CG740" s="1"/>
    </row>
    <row r="741" spans="1:85" ht="15.75" customHeight="1">
      <c r="A741" s="313"/>
      <c r="B741" s="418"/>
      <c r="C741" s="418"/>
      <c r="D741" s="221"/>
      <c r="E741" s="335"/>
      <c r="F741" s="234"/>
      <c r="G741" s="234"/>
      <c r="H741" s="234"/>
      <c r="I741" s="331"/>
      <c r="J741" s="331"/>
      <c r="K741" s="234"/>
      <c r="L741" s="332"/>
      <c r="M741" s="234"/>
      <c r="N741" s="234"/>
      <c r="O741" s="234"/>
      <c r="P741" s="234"/>
      <c r="Q741" s="234"/>
      <c r="R741" s="234"/>
      <c r="S741" s="234"/>
      <c r="T741" s="234"/>
      <c r="U741" s="388"/>
      <c r="V741" s="388"/>
      <c r="W741" s="388"/>
      <c r="X741" s="331"/>
      <c r="Y741" s="331"/>
      <c r="Z741" s="331"/>
      <c r="AA741" s="234"/>
      <c r="AB741" s="234"/>
      <c r="AC741" s="234"/>
      <c r="AD741" s="234"/>
      <c r="AE741" s="334"/>
      <c r="AF741" s="334"/>
      <c r="AG741" s="334"/>
      <c r="AH741" s="334"/>
      <c r="AI741" s="234"/>
      <c r="AJ741" s="234"/>
      <c r="AK741" s="234"/>
      <c r="AL741" s="234"/>
      <c r="AM741" s="234"/>
      <c r="AN741" s="234"/>
      <c r="AO741" s="234"/>
      <c r="AP741" s="234"/>
      <c r="AQ741" s="234"/>
      <c r="AR741" s="234"/>
      <c r="AS741" s="234"/>
      <c r="AT741" s="234"/>
      <c r="AU741" s="234"/>
      <c r="AV741" s="234"/>
      <c r="AW741" s="234"/>
      <c r="AX741" s="234"/>
      <c r="AY741" s="234"/>
      <c r="AZ741" s="234"/>
      <c r="BA741" s="234"/>
      <c r="BB741" s="234"/>
      <c r="BC741" s="234"/>
      <c r="BD741" s="234"/>
      <c r="BE741" s="234"/>
      <c r="BF741" s="234"/>
      <c r="BG741" s="234"/>
      <c r="BH741" s="234"/>
      <c r="BI741" s="234"/>
      <c r="BJ741" s="234"/>
      <c r="BK741" s="234"/>
      <c r="BL741" s="234"/>
      <c r="BM741" s="234"/>
      <c r="BN741" s="234"/>
      <c r="BO741" s="235"/>
      <c r="BP741" s="234"/>
      <c r="BQ741" s="234"/>
      <c r="BR741" s="234"/>
      <c r="BS741" s="234"/>
      <c r="BT741" s="234"/>
      <c r="BU741" s="234"/>
      <c r="BV741" s="234"/>
      <c r="BW741" s="234"/>
      <c r="BX741" s="1"/>
      <c r="BY741" s="1"/>
      <c r="BZ741" s="1"/>
      <c r="CA741" s="1"/>
      <c r="CB741" s="1"/>
      <c r="CC741" s="1"/>
      <c r="CD741" s="1"/>
      <c r="CE741" s="1"/>
      <c r="CF741" s="1"/>
      <c r="CG741" s="1"/>
    </row>
    <row r="742" spans="1:85" ht="15.75" customHeight="1">
      <c r="A742" s="313"/>
      <c r="B742" s="418"/>
      <c r="C742" s="418"/>
      <c r="D742" s="221"/>
      <c r="E742" s="335"/>
      <c r="F742" s="234"/>
      <c r="G742" s="234"/>
      <c r="H742" s="234"/>
      <c r="I742" s="331"/>
      <c r="J742" s="331"/>
      <c r="K742" s="234"/>
      <c r="L742" s="332"/>
      <c r="M742" s="234"/>
      <c r="N742" s="234"/>
      <c r="O742" s="234"/>
      <c r="P742" s="234"/>
      <c r="Q742" s="234"/>
      <c r="R742" s="234"/>
      <c r="S742" s="234"/>
      <c r="T742" s="234"/>
      <c r="U742" s="388"/>
      <c r="V742" s="388"/>
      <c r="W742" s="388"/>
      <c r="X742" s="331"/>
      <c r="Y742" s="331"/>
      <c r="Z742" s="331"/>
      <c r="AA742" s="234"/>
      <c r="AB742" s="234"/>
      <c r="AC742" s="234"/>
      <c r="AD742" s="234"/>
      <c r="AE742" s="334"/>
      <c r="AF742" s="334"/>
      <c r="AG742" s="334"/>
      <c r="AH742" s="334"/>
      <c r="AI742" s="234"/>
      <c r="AJ742" s="234"/>
      <c r="AK742" s="234"/>
      <c r="AL742" s="234"/>
      <c r="AM742" s="234"/>
      <c r="AN742" s="234"/>
      <c r="AO742" s="234"/>
      <c r="AP742" s="234"/>
      <c r="AQ742" s="234"/>
      <c r="AR742" s="234"/>
      <c r="AS742" s="234"/>
      <c r="AT742" s="234"/>
      <c r="AU742" s="234"/>
      <c r="AV742" s="234"/>
      <c r="AW742" s="234"/>
      <c r="AX742" s="234"/>
      <c r="AY742" s="234"/>
      <c r="AZ742" s="234"/>
      <c r="BA742" s="234"/>
      <c r="BB742" s="234"/>
      <c r="BC742" s="234"/>
      <c r="BD742" s="234"/>
      <c r="BE742" s="234"/>
      <c r="BF742" s="234"/>
      <c r="BG742" s="234"/>
      <c r="BH742" s="234"/>
      <c r="BI742" s="234"/>
      <c r="BJ742" s="234"/>
      <c r="BK742" s="234"/>
      <c r="BL742" s="234"/>
      <c r="BM742" s="234"/>
      <c r="BN742" s="234"/>
      <c r="BO742" s="235"/>
      <c r="BP742" s="234"/>
      <c r="BQ742" s="234"/>
      <c r="BR742" s="234"/>
      <c r="BS742" s="234"/>
      <c r="BT742" s="234"/>
      <c r="BU742" s="234"/>
      <c r="BV742" s="234"/>
      <c r="BW742" s="234"/>
      <c r="BX742" s="1"/>
      <c r="BY742" s="1"/>
      <c r="BZ742" s="1"/>
      <c r="CA742" s="1"/>
      <c r="CB742" s="1"/>
      <c r="CC742" s="1"/>
      <c r="CD742" s="1"/>
      <c r="CE742" s="1"/>
      <c r="CF742" s="1"/>
      <c r="CG742" s="1"/>
    </row>
    <row r="743" spans="1:85" ht="15.75" customHeight="1">
      <c r="A743" s="313"/>
      <c r="B743" s="418"/>
      <c r="C743" s="418"/>
      <c r="D743" s="221"/>
      <c r="E743" s="335"/>
      <c r="F743" s="234"/>
      <c r="G743" s="234"/>
      <c r="H743" s="234"/>
      <c r="I743" s="331"/>
      <c r="J743" s="331"/>
      <c r="K743" s="234"/>
      <c r="L743" s="332"/>
      <c r="M743" s="234"/>
      <c r="N743" s="234"/>
      <c r="O743" s="234"/>
      <c r="P743" s="234"/>
      <c r="Q743" s="234"/>
      <c r="R743" s="234"/>
      <c r="S743" s="234"/>
      <c r="T743" s="234"/>
      <c r="U743" s="388"/>
      <c r="V743" s="388"/>
      <c r="W743" s="388"/>
      <c r="X743" s="331"/>
      <c r="Y743" s="331"/>
      <c r="Z743" s="331"/>
      <c r="AA743" s="234"/>
      <c r="AB743" s="234"/>
      <c r="AC743" s="234"/>
      <c r="AD743" s="234"/>
      <c r="AE743" s="334"/>
      <c r="AF743" s="334"/>
      <c r="AG743" s="334"/>
      <c r="AH743" s="334"/>
      <c r="AI743" s="234"/>
      <c r="AJ743" s="234"/>
      <c r="AK743" s="234"/>
      <c r="AL743" s="234"/>
      <c r="AM743" s="234"/>
      <c r="AN743" s="234"/>
      <c r="AO743" s="234"/>
      <c r="AP743" s="234"/>
      <c r="AQ743" s="234"/>
      <c r="AR743" s="234"/>
      <c r="AS743" s="234"/>
      <c r="AT743" s="234"/>
      <c r="AU743" s="234"/>
      <c r="AV743" s="234"/>
      <c r="AW743" s="234"/>
      <c r="AX743" s="234"/>
      <c r="AY743" s="234"/>
      <c r="AZ743" s="234"/>
      <c r="BA743" s="234"/>
      <c r="BB743" s="234"/>
      <c r="BC743" s="234"/>
      <c r="BD743" s="234"/>
      <c r="BE743" s="234"/>
      <c r="BF743" s="234"/>
      <c r="BG743" s="234"/>
      <c r="BH743" s="234"/>
      <c r="BI743" s="234"/>
      <c r="BJ743" s="234"/>
      <c r="BK743" s="234"/>
      <c r="BL743" s="234"/>
      <c r="BM743" s="234"/>
      <c r="BN743" s="234"/>
      <c r="BO743" s="235"/>
      <c r="BP743" s="234"/>
      <c r="BQ743" s="234"/>
      <c r="BR743" s="234"/>
      <c r="BS743" s="234"/>
      <c r="BT743" s="234"/>
      <c r="BU743" s="234"/>
      <c r="BV743" s="234"/>
      <c r="BW743" s="234"/>
      <c r="BX743" s="1"/>
      <c r="BY743" s="1"/>
      <c r="BZ743" s="1"/>
      <c r="CA743" s="1"/>
      <c r="CB743" s="1"/>
      <c r="CC743" s="1"/>
      <c r="CD743" s="1"/>
      <c r="CE743" s="1"/>
      <c r="CF743" s="1"/>
      <c r="CG743" s="1"/>
    </row>
    <row r="744" spans="1:85" ht="15.75" customHeight="1">
      <c r="A744" s="313"/>
      <c r="B744" s="418"/>
      <c r="C744" s="418"/>
      <c r="D744" s="221"/>
      <c r="E744" s="335"/>
      <c r="F744" s="234"/>
      <c r="G744" s="234"/>
      <c r="H744" s="234"/>
      <c r="I744" s="331"/>
      <c r="J744" s="331"/>
      <c r="K744" s="234"/>
      <c r="L744" s="332"/>
      <c r="M744" s="234"/>
      <c r="N744" s="234"/>
      <c r="O744" s="234"/>
      <c r="P744" s="234"/>
      <c r="Q744" s="234"/>
      <c r="R744" s="234"/>
      <c r="S744" s="234"/>
      <c r="T744" s="234"/>
      <c r="U744" s="388"/>
      <c r="V744" s="388"/>
      <c r="W744" s="388"/>
      <c r="X744" s="331"/>
      <c r="Y744" s="331"/>
      <c r="Z744" s="331"/>
      <c r="AA744" s="234"/>
      <c r="AB744" s="234"/>
      <c r="AC744" s="234"/>
      <c r="AD744" s="234"/>
      <c r="AE744" s="334"/>
      <c r="AF744" s="334"/>
      <c r="AG744" s="334"/>
      <c r="AH744" s="334"/>
      <c r="AI744" s="234"/>
      <c r="AJ744" s="234"/>
      <c r="AK744" s="234"/>
      <c r="AL744" s="234"/>
      <c r="AM744" s="234"/>
      <c r="AN744" s="234"/>
      <c r="AO744" s="234"/>
      <c r="AP744" s="234"/>
      <c r="AQ744" s="234"/>
      <c r="AR744" s="234"/>
      <c r="AS744" s="234"/>
      <c r="AT744" s="234"/>
      <c r="AU744" s="234"/>
      <c r="AV744" s="234"/>
      <c r="AW744" s="234"/>
      <c r="AX744" s="234"/>
      <c r="AY744" s="234"/>
      <c r="AZ744" s="234"/>
      <c r="BA744" s="234"/>
      <c r="BB744" s="234"/>
      <c r="BC744" s="234"/>
      <c r="BD744" s="234"/>
      <c r="BE744" s="234"/>
      <c r="BF744" s="234"/>
      <c r="BG744" s="234"/>
      <c r="BH744" s="234"/>
      <c r="BI744" s="234"/>
      <c r="BJ744" s="234"/>
      <c r="BK744" s="234"/>
      <c r="BL744" s="234"/>
      <c r="BM744" s="234"/>
      <c r="BN744" s="234"/>
      <c r="BO744" s="235"/>
      <c r="BP744" s="234"/>
      <c r="BQ744" s="234"/>
      <c r="BR744" s="234"/>
      <c r="BS744" s="234"/>
      <c r="BT744" s="234"/>
      <c r="BU744" s="234"/>
      <c r="BV744" s="234"/>
      <c r="BW744" s="234"/>
      <c r="BX744" s="1"/>
      <c r="BY744" s="1"/>
      <c r="BZ744" s="1"/>
      <c r="CA744" s="1"/>
      <c r="CB744" s="1"/>
      <c r="CC744" s="1"/>
      <c r="CD744" s="1"/>
      <c r="CE744" s="1"/>
      <c r="CF744" s="1"/>
      <c r="CG744" s="1"/>
    </row>
    <row r="745" spans="1:85" ht="15.75" customHeight="1">
      <c r="A745" s="313"/>
      <c r="B745" s="418"/>
      <c r="C745" s="418"/>
      <c r="D745" s="221"/>
      <c r="E745" s="335"/>
      <c r="F745" s="234"/>
      <c r="G745" s="234"/>
      <c r="H745" s="234"/>
      <c r="I745" s="331"/>
      <c r="J745" s="331"/>
      <c r="K745" s="234"/>
      <c r="L745" s="332"/>
      <c r="M745" s="234"/>
      <c r="N745" s="234"/>
      <c r="O745" s="234"/>
      <c r="P745" s="234"/>
      <c r="Q745" s="234"/>
      <c r="R745" s="234"/>
      <c r="S745" s="234"/>
      <c r="T745" s="234"/>
      <c r="U745" s="388"/>
      <c r="V745" s="388"/>
      <c r="W745" s="388"/>
      <c r="X745" s="331"/>
      <c r="Y745" s="331"/>
      <c r="Z745" s="331"/>
      <c r="AA745" s="234"/>
      <c r="AB745" s="234"/>
      <c r="AC745" s="234"/>
      <c r="AD745" s="234"/>
      <c r="AE745" s="334"/>
      <c r="AF745" s="334"/>
      <c r="AG745" s="334"/>
      <c r="AH745" s="334"/>
      <c r="AI745" s="234"/>
      <c r="AJ745" s="234"/>
      <c r="AK745" s="234"/>
      <c r="AL745" s="234"/>
      <c r="AM745" s="234"/>
      <c r="AN745" s="234"/>
      <c r="AO745" s="234"/>
      <c r="AP745" s="234"/>
      <c r="AQ745" s="234"/>
      <c r="AR745" s="234"/>
      <c r="AS745" s="234"/>
      <c r="AT745" s="234"/>
      <c r="AU745" s="234"/>
      <c r="AV745" s="234"/>
      <c r="AW745" s="234"/>
      <c r="AX745" s="234"/>
      <c r="AY745" s="234"/>
      <c r="AZ745" s="234"/>
      <c r="BA745" s="234"/>
      <c r="BB745" s="234"/>
      <c r="BC745" s="234"/>
      <c r="BD745" s="234"/>
      <c r="BE745" s="234"/>
      <c r="BF745" s="234"/>
      <c r="BG745" s="234"/>
      <c r="BH745" s="234"/>
      <c r="BI745" s="234"/>
      <c r="BJ745" s="234"/>
      <c r="BK745" s="234"/>
      <c r="BL745" s="234"/>
      <c r="BM745" s="234"/>
      <c r="BN745" s="234"/>
      <c r="BO745" s="235"/>
      <c r="BP745" s="234"/>
      <c r="BQ745" s="234"/>
      <c r="BR745" s="234"/>
      <c r="BS745" s="234"/>
      <c r="BT745" s="234"/>
      <c r="BU745" s="234"/>
      <c r="BV745" s="234"/>
      <c r="BW745" s="234"/>
      <c r="BX745" s="1"/>
      <c r="BY745" s="1"/>
      <c r="BZ745" s="1"/>
      <c r="CA745" s="1"/>
      <c r="CB745" s="1"/>
      <c r="CC745" s="1"/>
      <c r="CD745" s="1"/>
      <c r="CE745" s="1"/>
      <c r="CF745" s="1"/>
      <c r="CG745" s="1"/>
    </row>
    <row r="746" spans="1:85" ht="15.75" customHeight="1">
      <c r="A746" s="313"/>
      <c r="B746" s="418"/>
      <c r="C746" s="418"/>
      <c r="D746" s="221"/>
      <c r="E746" s="335"/>
      <c r="F746" s="234"/>
      <c r="G746" s="234"/>
      <c r="H746" s="234"/>
      <c r="I746" s="331"/>
      <c r="J746" s="331"/>
      <c r="K746" s="234"/>
      <c r="L746" s="332"/>
      <c r="M746" s="234"/>
      <c r="N746" s="234"/>
      <c r="O746" s="234"/>
      <c r="P746" s="234"/>
      <c r="Q746" s="234"/>
      <c r="R746" s="234"/>
      <c r="S746" s="234"/>
      <c r="T746" s="234"/>
      <c r="U746" s="388"/>
      <c r="V746" s="388"/>
      <c r="W746" s="388"/>
      <c r="X746" s="331"/>
      <c r="Y746" s="331"/>
      <c r="Z746" s="331"/>
      <c r="AA746" s="234"/>
      <c r="AB746" s="234"/>
      <c r="AC746" s="234"/>
      <c r="AD746" s="234"/>
      <c r="AE746" s="334"/>
      <c r="AF746" s="334"/>
      <c r="AG746" s="334"/>
      <c r="AH746" s="334"/>
      <c r="AI746" s="234"/>
      <c r="AJ746" s="234"/>
      <c r="AK746" s="234"/>
      <c r="AL746" s="234"/>
      <c r="AM746" s="234"/>
      <c r="AN746" s="234"/>
      <c r="AO746" s="234"/>
      <c r="AP746" s="234"/>
      <c r="AQ746" s="234"/>
      <c r="AR746" s="234"/>
      <c r="AS746" s="234"/>
      <c r="AT746" s="234"/>
      <c r="AU746" s="234"/>
      <c r="AV746" s="234"/>
      <c r="AW746" s="234"/>
      <c r="AX746" s="234"/>
      <c r="AY746" s="234"/>
      <c r="AZ746" s="234"/>
      <c r="BA746" s="234"/>
      <c r="BB746" s="234"/>
      <c r="BC746" s="234"/>
      <c r="BD746" s="234"/>
      <c r="BE746" s="234"/>
      <c r="BF746" s="234"/>
      <c r="BG746" s="234"/>
      <c r="BH746" s="234"/>
      <c r="BI746" s="234"/>
      <c r="BJ746" s="234"/>
      <c r="BK746" s="234"/>
      <c r="BL746" s="234"/>
      <c r="BM746" s="234"/>
      <c r="BN746" s="234"/>
      <c r="BO746" s="235"/>
      <c r="BP746" s="234"/>
      <c r="BQ746" s="234"/>
      <c r="BR746" s="234"/>
      <c r="BS746" s="234"/>
      <c r="BT746" s="234"/>
      <c r="BU746" s="234"/>
      <c r="BV746" s="234"/>
      <c r="BW746" s="234"/>
      <c r="BX746" s="1"/>
      <c r="BY746" s="1"/>
      <c r="BZ746" s="1"/>
      <c r="CA746" s="1"/>
      <c r="CB746" s="1"/>
      <c r="CC746" s="1"/>
      <c r="CD746" s="1"/>
      <c r="CE746" s="1"/>
      <c r="CF746" s="1"/>
      <c r="CG746" s="1"/>
    </row>
    <row r="747" spans="1:85" ht="15.75" customHeight="1">
      <c r="A747" s="313"/>
      <c r="B747" s="418"/>
      <c r="C747" s="418"/>
      <c r="D747" s="221"/>
      <c r="E747" s="335"/>
      <c r="F747" s="234"/>
      <c r="G747" s="234"/>
      <c r="H747" s="234"/>
      <c r="I747" s="331"/>
      <c r="J747" s="331"/>
      <c r="K747" s="234"/>
      <c r="L747" s="332"/>
      <c r="M747" s="234"/>
      <c r="N747" s="234"/>
      <c r="O747" s="234"/>
      <c r="P747" s="234"/>
      <c r="Q747" s="234"/>
      <c r="R747" s="234"/>
      <c r="S747" s="234"/>
      <c r="T747" s="234"/>
      <c r="U747" s="388"/>
      <c r="V747" s="388"/>
      <c r="W747" s="388"/>
      <c r="X747" s="331"/>
      <c r="Y747" s="331"/>
      <c r="Z747" s="331"/>
      <c r="AA747" s="234"/>
      <c r="AB747" s="234"/>
      <c r="AC747" s="234"/>
      <c r="AD747" s="234"/>
      <c r="AE747" s="334"/>
      <c r="AF747" s="334"/>
      <c r="AG747" s="334"/>
      <c r="AH747" s="334"/>
      <c r="AI747" s="234"/>
      <c r="AJ747" s="234"/>
      <c r="AK747" s="234"/>
      <c r="AL747" s="234"/>
      <c r="AM747" s="234"/>
      <c r="AN747" s="234"/>
      <c r="AO747" s="234"/>
      <c r="AP747" s="234"/>
      <c r="AQ747" s="234"/>
      <c r="AR747" s="234"/>
      <c r="AS747" s="234"/>
      <c r="AT747" s="234"/>
      <c r="AU747" s="234"/>
      <c r="AV747" s="234"/>
      <c r="AW747" s="234"/>
      <c r="AX747" s="234"/>
      <c r="AY747" s="234"/>
      <c r="AZ747" s="234"/>
      <c r="BA747" s="234"/>
      <c r="BB747" s="234"/>
      <c r="BC747" s="234"/>
      <c r="BD747" s="234"/>
      <c r="BE747" s="234"/>
      <c r="BF747" s="234"/>
      <c r="BG747" s="234"/>
      <c r="BH747" s="234"/>
      <c r="BI747" s="234"/>
      <c r="BJ747" s="234"/>
      <c r="BK747" s="234"/>
      <c r="BL747" s="234"/>
      <c r="BM747" s="234"/>
      <c r="BN747" s="234"/>
      <c r="BO747" s="235"/>
      <c r="BP747" s="234"/>
      <c r="BQ747" s="234"/>
      <c r="BR747" s="234"/>
      <c r="BS747" s="234"/>
      <c r="BT747" s="234"/>
      <c r="BU747" s="234"/>
      <c r="BV747" s="234"/>
      <c r="BW747" s="234"/>
      <c r="BX747" s="1"/>
      <c r="BY747" s="1"/>
      <c r="BZ747" s="1"/>
      <c r="CA747" s="1"/>
      <c r="CB747" s="1"/>
      <c r="CC747" s="1"/>
      <c r="CD747" s="1"/>
      <c r="CE747" s="1"/>
      <c r="CF747" s="1"/>
      <c r="CG747" s="1"/>
    </row>
    <row r="748" spans="1:85" ht="15.75" customHeight="1">
      <c r="A748" s="313"/>
      <c r="B748" s="418"/>
      <c r="C748" s="418"/>
      <c r="D748" s="221"/>
      <c r="E748" s="335"/>
      <c r="F748" s="234"/>
      <c r="G748" s="234"/>
      <c r="H748" s="234"/>
      <c r="I748" s="331"/>
      <c r="J748" s="331"/>
      <c r="K748" s="234"/>
      <c r="L748" s="332"/>
      <c r="M748" s="234"/>
      <c r="N748" s="234"/>
      <c r="O748" s="234"/>
      <c r="P748" s="234"/>
      <c r="Q748" s="234"/>
      <c r="R748" s="234"/>
      <c r="S748" s="234"/>
      <c r="T748" s="234"/>
      <c r="U748" s="388"/>
      <c r="V748" s="388"/>
      <c r="W748" s="388"/>
      <c r="X748" s="331"/>
      <c r="Y748" s="331"/>
      <c r="Z748" s="331"/>
      <c r="AA748" s="234"/>
      <c r="AB748" s="234"/>
      <c r="AC748" s="234"/>
      <c r="AD748" s="234"/>
      <c r="AE748" s="334"/>
      <c r="AF748" s="334"/>
      <c r="AG748" s="334"/>
      <c r="AH748" s="334"/>
      <c r="AI748" s="234"/>
      <c r="AJ748" s="234"/>
      <c r="AK748" s="234"/>
      <c r="AL748" s="234"/>
      <c r="AM748" s="234"/>
      <c r="AN748" s="234"/>
      <c r="AO748" s="234"/>
      <c r="AP748" s="234"/>
      <c r="AQ748" s="234"/>
      <c r="AR748" s="234"/>
      <c r="AS748" s="234"/>
      <c r="AT748" s="234"/>
      <c r="AU748" s="234"/>
      <c r="AV748" s="234"/>
      <c r="AW748" s="234"/>
      <c r="AX748" s="234"/>
      <c r="AY748" s="234"/>
      <c r="AZ748" s="234"/>
      <c r="BA748" s="234"/>
      <c r="BB748" s="234"/>
      <c r="BC748" s="234"/>
      <c r="BD748" s="234"/>
      <c r="BE748" s="234"/>
      <c r="BF748" s="234"/>
      <c r="BG748" s="234"/>
      <c r="BH748" s="234"/>
      <c r="BI748" s="234"/>
      <c r="BJ748" s="234"/>
      <c r="BK748" s="234"/>
      <c r="BL748" s="234"/>
      <c r="BM748" s="234"/>
      <c r="BN748" s="234"/>
      <c r="BO748" s="235"/>
      <c r="BP748" s="234"/>
      <c r="BQ748" s="234"/>
      <c r="BR748" s="234"/>
      <c r="BS748" s="234"/>
      <c r="BT748" s="234"/>
      <c r="BU748" s="234"/>
      <c r="BV748" s="234"/>
      <c r="BW748" s="234"/>
      <c r="BX748" s="1"/>
      <c r="BY748" s="1"/>
      <c r="BZ748" s="1"/>
      <c r="CA748" s="1"/>
      <c r="CB748" s="1"/>
      <c r="CC748" s="1"/>
      <c r="CD748" s="1"/>
      <c r="CE748" s="1"/>
      <c r="CF748" s="1"/>
      <c r="CG748" s="1"/>
    </row>
    <row r="749" spans="1:85" ht="15.75" customHeight="1">
      <c r="A749" s="313"/>
      <c r="B749" s="418"/>
      <c r="C749" s="418"/>
      <c r="D749" s="221"/>
      <c r="E749" s="335"/>
      <c r="F749" s="234"/>
      <c r="G749" s="234"/>
      <c r="H749" s="234"/>
      <c r="I749" s="331"/>
      <c r="J749" s="331"/>
      <c r="K749" s="234"/>
      <c r="L749" s="332"/>
      <c r="M749" s="234"/>
      <c r="N749" s="234"/>
      <c r="O749" s="234"/>
      <c r="P749" s="234"/>
      <c r="Q749" s="234"/>
      <c r="R749" s="234"/>
      <c r="S749" s="234"/>
      <c r="T749" s="234"/>
      <c r="U749" s="388"/>
      <c r="V749" s="388"/>
      <c r="W749" s="388"/>
      <c r="X749" s="331"/>
      <c r="Y749" s="331"/>
      <c r="Z749" s="331"/>
      <c r="AA749" s="234"/>
      <c r="AB749" s="234"/>
      <c r="AC749" s="234"/>
      <c r="AD749" s="234"/>
      <c r="AE749" s="334"/>
      <c r="AF749" s="334"/>
      <c r="AG749" s="334"/>
      <c r="AH749" s="334"/>
      <c r="AI749" s="234"/>
      <c r="AJ749" s="234"/>
      <c r="AK749" s="234"/>
      <c r="AL749" s="234"/>
      <c r="AM749" s="234"/>
      <c r="AN749" s="234"/>
      <c r="AO749" s="234"/>
      <c r="AP749" s="234"/>
      <c r="AQ749" s="234"/>
      <c r="AR749" s="234"/>
      <c r="AS749" s="234"/>
      <c r="AT749" s="234"/>
      <c r="AU749" s="234"/>
      <c r="AV749" s="234"/>
      <c r="AW749" s="234"/>
      <c r="AX749" s="234"/>
      <c r="AY749" s="234"/>
      <c r="AZ749" s="234"/>
      <c r="BA749" s="234"/>
      <c r="BB749" s="234"/>
      <c r="BC749" s="234"/>
      <c r="BD749" s="234"/>
      <c r="BE749" s="234"/>
      <c r="BF749" s="234"/>
      <c r="BG749" s="234"/>
      <c r="BH749" s="234"/>
      <c r="BI749" s="234"/>
      <c r="BJ749" s="234"/>
      <c r="BK749" s="234"/>
      <c r="BL749" s="234"/>
      <c r="BM749" s="234"/>
      <c r="BN749" s="234"/>
      <c r="BO749" s="235"/>
      <c r="BP749" s="234"/>
      <c r="BQ749" s="234"/>
      <c r="BR749" s="234"/>
      <c r="BS749" s="234"/>
      <c r="BT749" s="234"/>
      <c r="BU749" s="234"/>
      <c r="BV749" s="234"/>
      <c r="BW749" s="234"/>
      <c r="BX749" s="1"/>
      <c r="BY749" s="1"/>
      <c r="BZ749" s="1"/>
      <c r="CA749" s="1"/>
      <c r="CB749" s="1"/>
      <c r="CC749" s="1"/>
      <c r="CD749" s="1"/>
      <c r="CE749" s="1"/>
      <c r="CF749" s="1"/>
      <c r="CG749" s="1"/>
    </row>
    <row r="750" spans="1:85" ht="15.75" customHeight="1">
      <c r="A750" s="313"/>
      <c r="B750" s="418"/>
      <c r="C750" s="418"/>
      <c r="D750" s="221"/>
      <c r="E750" s="335"/>
      <c r="F750" s="234"/>
      <c r="G750" s="234"/>
      <c r="H750" s="234"/>
      <c r="I750" s="331"/>
      <c r="J750" s="331"/>
      <c r="K750" s="234"/>
      <c r="L750" s="332"/>
      <c r="M750" s="234"/>
      <c r="N750" s="234"/>
      <c r="O750" s="234"/>
      <c r="P750" s="234"/>
      <c r="Q750" s="234"/>
      <c r="R750" s="234"/>
      <c r="S750" s="234"/>
      <c r="T750" s="234"/>
      <c r="U750" s="388"/>
      <c r="V750" s="388"/>
      <c r="W750" s="388"/>
      <c r="X750" s="331"/>
      <c r="Y750" s="331"/>
      <c r="Z750" s="331"/>
      <c r="AA750" s="234"/>
      <c r="AB750" s="234"/>
      <c r="AC750" s="234"/>
      <c r="AD750" s="234"/>
      <c r="AE750" s="334"/>
      <c r="AF750" s="334"/>
      <c r="AG750" s="334"/>
      <c r="AH750" s="334"/>
      <c r="AI750" s="234"/>
      <c r="AJ750" s="234"/>
      <c r="AK750" s="234"/>
      <c r="AL750" s="234"/>
      <c r="AM750" s="234"/>
      <c r="AN750" s="234"/>
      <c r="AO750" s="234"/>
      <c r="AP750" s="234"/>
      <c r="AQ750" s="234"/>
      <c r="AR750" s="234"/>
      <c r="AS750" s="234"/>
      <c r="AT750" s="234"/>
      <c r="AU750" s="234"/>
      <c r="AV750" s="234"/>
      <c r="AW750" s="234"/>
      <c r="AX750" s="234"/>
      <c r="AY750" s="234"/>
      <c r="AZ750" s="234"/>
      <c r="BA750" s="234"/>
      <c r="BB750" s="234"/>
      <c r="BC750" s="234"/>
      <c r="BD750" s="234"/>
      <c r="BE750" s="234"/>
      <c r="BF750" s="234"/>
      <c r="BG750" s="234"/>
      <c r="BH750" s="234"/>
      <c r="BI750" s="234"/>
      <c r="BJ750" s="234"/>
      <c r="BK750" s="234"/>
      <c r="BL750" s="234"/>
      <c r="BM750" s="234"/>
      <c r="BN750" s="234"/>
      <c r="BO750" s="235"/>
      <c r="BP750" s="234"/>
      <c r="BQ750" s="234"/>
      <c r="BR750" s="234"/>
      <c r="BS750" s="234"/>
      <c r="BT750" s="234"/>
      <c r="BU750" s="234"/>
      <c r="BV750" s="234"/>
      <c r="BW750" s="234"/>
      <c r="BX750" s="1"/>
      <c r="BY750" s="1"/>
      <c r="BZ750" s="1"/>
      <c r="CA750" s="1"/>
      <c r="CB750" s="1"/>
      <c r="CC750" s="1"/>
      <c r="CD750" s="1"/>
      <c r="CE750" s="1"/>
      <c r="CF750" s="1"/>
      <c r="CG750" s="1"/>
    </row>
    <row r="751" spans="1:85" ht="15.75" customHeight="1">
      <c r="A751" s="313"/>
      <c r="B751" s="418"/>
      <c r="C751" s="418"/>
      <c r="D751" s="221"/>
      <c r="E751" s="335"/>
      <c r="F751" s="234"/>
      <c r="G751" s="234"/>
      <c r="H751" s="234"/>
      <c r="I751" s="331"/>
      <c r="J751" s="331"/>
      <c r="K751" s="234"/>
      <c r="L751" s="332"/>
      <c r="M751" s="234"/>
      <c r="N751" s="234"/>
      <c r="O751" s="234"/>
      <c r="P751" s="234"/>
      <c r="Q751" s="234"/>
      <c r="R751" s="234"/>
      <c r="S751" s="234"/>
      <c r="T751" s="234"/>
      <c r="U751" s="388"/>
      <c r="V751" s="388"/>
      <c r="W751" s="388"/>
      <c r="X751" s="331"/>
      <c r="Y751" s="331"/>
      <c r="Z751" s="331"/>
      <c r="AA751" s="234"/>
      <c r="AB751" s="234"/>
      <c r="AC751" s="234"/>
      <c r="AD751" s="234"/>
      <c r="AE751" s="334"/>
      <c r="AF751" s="334"/>
      <c r="AG751" s="334"/>
      <c r="AH751" s="334"/>
      <c r="AI751" s="234"/>
      <c r="AJ751" s="234"/>
      <c r="AK751" s="234"/>
      <c r="AL751" s="234"/>
      <c r="AM751" s="234"/>
      <c r="AN751" s="234"/>
      <c r="AO751" s="234"/>
      <c r="AP751" s="234"/>
      <c r="AQ751" s="234"/>
      <c r="AR751" s="234"/>
      <c r="AS751" s="234"/>
      <c r="AT751" s="234"/>
      <c r="AU751" s="234"/>
      <c r="AV751" s="234"/>
      <c r="AW751" s="234"/>
      <c r="AX751" s="234"/>
      <c r="AY751" s="234"/>
      <c r="AZ751" s="234"/>
      <c r="BA751" s="234"/>
      <c r="BB751" s="234"/>
      <c r="BC751" s="234"/>
      <c r="BD751" s="234"/>
      <c r="BE751" s="234"/>
      <c r="BF751" s="234"/>
      <c r="BG751" s="234"/>
      <c r="BH751" s="234"/>
      <c r="BI751" s="234"/>
      <c r="BJ751" s="234"/>
      <c r="BK751" s="234"/>
      <c r="BL751" s="234"/>
      <c r="BM751" s="234"/>
      <c r="BN751" s="234"/>
      <c r="BO751" s="235"/>
      <c r="BP751" s="234"/>
      <c r="BQ751" s="234"/>
      <c r="BR751" s="234"/>
      <c r="BS751" s="234"/>
      <c r="BT751" s="234"/>
      <c r="BU751" s="234"/>
      <c r="BV751" s="234"/>
      <c r="BW751" s="234"/>
      <c r="BX751" s="1"/>
      <c r="BY751" s="1"/>
      <c r="BZ751" s="1"/>
      <c r="CA751" s="1"/>
      <c r="CB751" s="1"/>
      <c r="CC751" s="1"/>
      <c r="CD751" s="1"/>
      <c r="CE751" s="1"/>
      <c r="CF751" s="1"/>
      <c r="CG751" s="1"/>
    </row>
    <row r="752" spans="1:85" ht="15.75" customHeight="1">
      <c r="A752" s="313"/>
      <c r="B752" s="418"/>
      <c r="C752" s="418"/>
      <c r="D752" s="221"/>
      <c r="E752" s="335"/>
      <c r="F752" s="234"/>
      <c r="G752" s="234"/>
      <c r="H752" s="234"/>
      <c r="I752" s="331"/>
      <c r="J752" s="331"/>
      <c r="K752" s="234"/>
      <c r="L752" s="332"/>
      <c r="M752" s="234"/>
      <c r="N752" s="234"/>
      <c r="O752" s="234"/>
      <c r="P752" s="234"/>
      <c r="Q752" s="234"/>
      <c r="R752" s="234"/>
      <c r="S752" s="234"/>
      <c r="T752" s="234"/>
      <c r="U752" s="388"/>
      <c r="V752" s="388"/>
      <c r="W752" s="388"/>
      <c r="X752" s="331"/>
      <c r="Y752" s="331"/>
      <c r="Z752" s="331"/>
      <c r="AA752" s="234"/>
      <c r="AB752" s="234"/>
      <c r="AC752" s="234"/>
      <c r="AD752" s="234"/>
      <c r="AE752" s="334"/>
      <c r="AF752" s="334"/>
      <c r="AG752" s="334"/>
      <c r="AH752" s="334"/>
      <c r="AI752" s="234"/>
      <c r="AJ752" s="234"/>
      <c r="AK752" s="234"/>
      <c r="AL752" s="234"/>
      <c r="AM752" s="234"/>
      <c r="AN752" s="234"/>
      <c r="AO752" s="234"/>
      <c r="AP752" s="234"/>
      <c r="AQ752" s="234"/>
      <c r="AR752" s="234"/>
      <c r="AS752" s="234"/>
      <c r="AT752" s="234"/>
      <c r="AU752" s="234"/>
      <c r="AV752" s="234"/>
      <c r="AW752" s="234"/>
      <c r="AX752" s="234"/>
      <c r="AY752" s="234"/>
      <c r="AZ752" s="234"/>
      <c r="BA752" s="234"/>
      <c r="BB752" s="234"/>
      <c r="BC752" s="234"/>
      <c r="BD752" s="234"/>
      <c r="BE752" s="234"/>
      <c r="BF752" s="234"/>
      <c r="BG752" s="234"/>
      <c r="BH752" s="234"/>
      <c r="BI752" s="234"/>
      <c r="BJ752" s="234"/>
      <c r="BK752" s="234"/>
      <c r="BL752" s="234"/>
      <c r="BM752" s="234"/>
      <c r="BN752" s="234"/>
      <c r="BO752" s="235"/>
      <c r="BP752" s="234"/>
      <c r="BQ752" s="234"/>
      <c r="BR752" s="234"/>
      <c r="BS752" s="234"/>
      <c r="BT752" s="234"/>
      <c r="BU752" s="234"/>
      <c r="BV752" s="234"/>
      <c r="BW752" s="234"/>
      <c r="BX752" s="1"/>
      <c r="BY752" s="1"/>
      <c r="BZ752" s="1"/>
      <c r="CA752" s="1"/>
      <c r="CB752" s="1"/>
      <c r="CC752" s="1"/>
      <c r="CD752" s="1"/>
      <c r="CE752" s="1"/>
      <c r="CF752" s="1"/>
      <c r="CG752" s="1"/>
    </row>
    <row r="753" spans="1:85" ht="15.75" customHeight="1">
      <c r="A753" s="313"/>
      <c r="B753" s="418"/>
      <c r="C753" s="418"/>
      <c r="D753" s="221"/>
      <c r="E753" s="335"/>
      <c r="F753" s="234"/>
      <c r="G753" s="234"/>
      <c r="H753" s="234"/>
      <c r="I753" s="331"/>
      <c r="J753" s="331"/>
      <c r="K753" s="234"/>
      <c r="L753" s="332"/>
      <c r="M753" s="234"/>
      <c r="N753" s="234"/>
      <c r="O753" s="234"/>
      <c r="P753" s="234"/>
      <c r="Q753" s="234"/>
      <c r="R753" s="234"/>
      <c r="S753" s="234"/>
      <c r="T753" s="234"/>
      <c r="U753" s="388"/>
      <c r="V753" s="388"/>
      <c r="W753" s="388"/>
      <c r="X753" s="331"/>
      <c r="Y753" s="331"/>
      <c r="Z753" s="331"/>
      <c r="AA753" s="234"/>
      <c r="AB753" s="234"/>
      <c r="AC753" s="234"/>
      <c r="AD753" s="234"/>
      <c r="AE753" s="334"/>
      <c r="AF753" s="334"/>
      <c r="AG753" s="334"/>
      <c r="AH753" s="334"/>
      <c r="AI753" s="234"/>
      <c r="AJ753" s="234"/>
      <c r="AK753" s="234"/>
      <c r="AL753" s="234"/>
      <c r="AM753" s="234"/>
      <c r="AN753" s="234"/>
      <c r="AO753" s="234"/>
      <c r="AP753" s="234"/>
      <c r="AQ753" s="234"/>
      <c r="AR753" s="234"/>
      <c r="AS753" s="234"/>
      <c r="AT753" s="234"/>
      <c r="AU753" s="234"/>
      <c r="AV753" s="234"/>
      <c r="AW753" s="234"/>
      <c r="AX753" s="234"/>
      <c r="AY753" s="234"/>
      <c r="AZ753" s="234"/>
      <c r="BA753" s="234"/>
      <c r="BB753" s="234"/>
      <c r="BC753" s="234"/>
      <c r="BD753" s="234"/>
      <c r="BE753" s="234"/>
      <c r="BF753" s="234"/>
      <c r="BG753" s="234"/>
      <c r="BH753" s="234"/>
      <c r="BI753" s="234"/>
      <c r="BJ753" s="234"/>
      <c r="BK753" s="234"/>
      <c r="BL753" s="234"/>
      <c r="BM753" s="234"/>
      <c r="BN753" s="234"/>
      <c r="BO753" s="235"/>
      <c r="BP753" s="234"/>
      <c r="BQ753" s="234"/>
      <c r="BR753" s="234"/>
      <c r="BS753" s="234"/>
      <c r="BT753" s="234"/>
      <c r="BU753" s="234"/>
      <c r="BV753" s="234"/>
      <c r="BW753" s="234"/>
      <c r="BX753" s="1"/>
      <c r="BY753" s="1"/>
      <c r="BZ753" s="1"/>
      <c r="CA753" s="1"/>
      <c r="CB753" s="1"/>
      <c r="CC753" s="1"/>
      <c r="CD753" s="1"/>
      <c r="CE753" s="1"/>
      <c r="CF753" s="1"/>
      <c r="CG753" s="1"/>
    </row>
    <row r="754" spans="1:85" ht="15.75" customHeight="1">
      <c r="A754" s="313"/>
      <c r="B754" s="418"/>
      <c r="C754" s="418"/>
      <c r="D754" s="221"/>
      <c r="E754" s="335"/>
      <c r="F754" s="234"/>
      <c r="G754" s="234"/>
      <c r="H754" s="234"/>
      <c r="I754" s="331"/>
      <c r="J754" s="331"/>
      <c r="K754" s="234"/>
      <c r="L754" s="332"/>
      <c r="M754" s="234"/>
      <c r="N754" s="234"/>
      <c r="O754" s="234"/>
      <c r="P754" s="234"/>
      <c r="Q754" s="234"/>
      <c r="R754" s="234"/>
      <c r="S754" s="234"/>
      <c r="T754" s="234"/>
      <c r="U754" s="388"/>
      <c r="V754" s="388"/>
      <c r="W754" s="388"/>
      <c r="X754" s="331"/>
      <c r="Y754" s="331"/>
      <c r="Z754" s="331"/>
      <c r="AA754" s="234"/>
      <c r="AB754" s="234"/>
      <c r="AC754" s="234"/>
      <c r="AD754" s="234"/>
      <c r="AE754" s="334"/>
      <c r="AF754" s="334"/>
      <c r="AG754" s="334"/>
      <c r="AH754" s="334"/>
      <c r="AI754" s="234"/>
      <c r="AJ754" s="234"/>
      <c r="AK754" s="234"/>
      <c r="AL754" s="234"/>
      <c r="AM754" s="234"/>
      <c r="AN754" s="234"/>
      <c r="AO754" s="234"/>
      <c r="AP754" s="234"/>
      <c r="AQ754" s="234"/>
      <c r="AR754" s="234"/>
      <c r="AS754" s="234"/>
      <c r="AT754" s="234"/>
      <c r="AU754" s="234"/>
      <c r="AV754" s="234"/>
      <c r="AW754" s="234"/>
      <c r="AX754" s="234"/>
      <c r="AY754" s="234"/>
      <c r="AZ754" s="234"/>
      <c r="BA754" s="234"/>
      <c r="BB754" s="234"/>
      <c r="BC754" s="234"/>
      <c r="BD754" s="234"/>
      <c r="BE754" s="234"/>
      <c r="BF754" s="234"/>
      <c r="BG754" s="234"/>
      <c r="BH754" s="234"/>
      <c r="BI754" s="234"/>
      <c r="BJ754" s="234"/>
      <c r="BK754" s="234"/>
      <c r="BL754" s="234"/>
      <c r="BM754" s="234"/>
      <c r="BN754" s="234"/>
      <c r="BO754" s="235"/>
      <c r="BP754" s="234"/>
      <c r="BQ754" s="234"/>
      <c r="BR754" s="234"/>
      <c r="BS754" s="234"/>
      <c r="BT754" s="234"/>
      <c r="BU754" s="234"/>
      <c r="BV754" s="234"/>
      <c r="BW754" s="234"/>
      <c r="BX754" s="1"/>
      <c r="BY754" s="1"/>
      <c r="BZ754" s="1"/>
      <c r="CA754" s="1"/>
      <c r="CB754" s="1"/>
      <c r="CC754" s="1"/>
      <c r="CD754" s="1"/>
      <c r="CE754" s="1"/>
      <c r="CF754" s="1"/>
      <c r="CG754" s="1"/>
    </row>
    <row r="755" spans="1:85" ht="15.75" customHeight="1">
      <c r="A755" s="313"/>
      <c r="B755" s="418"/>
      <c r="C755" s="418"/>
      <c r="D755" s="221"/>
      <c r="E755" s="335"/>
      <c r="F755" s="234"/>
      <c r="G755" s="234"/>
      <c r="H755" s="234"/>
      <c r="I755" s="331"/>
      <c r="J755" s="331"/>
      <c r="K755" s="234"/>
      <c r="L755" s="332"/>
      <c r="M755" s="234"/>
      <c r="N755" s="234"/>
      <c r="O755" s="234"/>
      <c r="P755" s="234"/>
      <c r="Q755" s="234"/>
      <c r="R755" s="234"/>
      <c r="S755" s="234"/>
      <c r="T755" s="234"/>
      <c r="U755" s="388"/>
      <c r="V755" s="388"/>
      <c r="W755" s="388"/>
      <c r="X755" s="331"/>
      <c r="Y755" s="331"/>
      <c r="Z755" s="331"/>
      <c r="AA755" s="234"/>
      <c r="AB755" s="234"/>
      <c r="AC755" s="234"/>
      <c r="AD755" s="234"/>
      <c r="AE755" s="334"/>
      <c r="AF755" s="334"/>
      <c r="AG755" s="334"/>
      <c r="AH755" s="334"/>
      <c r="AI755" s="234"/>
      <c r="AJ755" s="234"/>
      <c r="AK755" s="234"/>
      <c r="AL755" s="234"/>
      <c r="AM755" s="234"/>
      <c r="AN755" s="234"/>
      <c r="AO755" s="234"/>
      <c r="AP755" s="234"/>
      <c r="AQ755" s="234"/>
      <c r="AR755" s="234"/>
      <c r="AS755" s="234"/>
      <c r="AT755" s="234"/>
      <c r="AU755" s="234"/>
      <c r="AV755" s="234"/>
      <c r="AW755" s="234"/>
      <c r="AX755" s="234"/>
      <c r="AY755" s="234"/>
      <c r="AZ755" s="234"/>
      <c r="BA755" s="234"/>
      <c r="BB755" s="234"/>
      <c r="BC755" s="234"/>
      <c r="BD755" s="234"/>
      <c r="BE755" s="234"/>
      <c r="BF755" s="234"/>
      <c r="BG755" s="234"/>
      <c r="BH755" s="234"/>
      <c r="BI755" s="234"/>
      <c r="BJ755" s="234"/>
      <c r="BK755" s="234"/>
      <c r="BL755" s="234"/>
      <c r="BM755" s="234"/>
      <c r="BN755" s="234"/>
      <c r="BO755" s="235"/>
      <c r="BP755" s="234"/>
      <c r="BQ755" s="234"/>
      <c r="BR755" s="234"/>
      <c r="BS755" s="234"/>
      <c r="BT755" s="234"/>
      <c r="BU755" s="234"/>
      <c r="BV755" s="234"/>
      <c r="BW755" s="234"/>
      <c r="BX755" s="1"/>
      <c r="BY755" s="1"/>
      <c r="BZ755" s="1"/>
      <c r="CA755" s="1"/>
      <c r="CB755" s="1"/>
      <c r="CC755" s="1"/>
      <c r="CD755" s="1"/>
      <c r="CE755" s="1"/>
      <c r="CF755" s="1"/>
      <c r="CG755" s="1"/>
    </row>
    <row r="756" spans="1:85" ht="15.75" customHeight="1">
      <c r="A756" s="313"/>
      <c r="B756" s="418"/>
      <c r="C756" s="418"/>
      <c r="D756" s="221"/>
      <c r="E756" s="335"/>
      <c r="F756" s="234"/>
      <c r="G756" s="234"/>
      <c r="H756" s="234"/>
      <c r="I756" s="331"/>
      <c r="J756" s="331"/>
      <c r="K756" s="234"/>
      <c r="L756" s="332"/>
      <c r="M756" s="234"/>
      <c r="N756" s="234"/>
      <c r="O756" s="234"/>
      <c r="P756" s="234"/>
      <c r="Q756" s="234"/>
      <c r="R756" s="234"/>
      <c r="S756" s="234"/>
      <c r="T756" s="234"/>
      <c r="U756" s="388"/>
      <c r="V756" s="388"/>
      <c r="W756" s="388"/>
      <c r="X756" s="331"/>
      <c r="Y756" s="331"/>
      <c r="Z756" s="331"/>
      <c r="AA756" s="234"/>
      <c r="AB756" s="234"/>
      <c r="AC756" s="234"/>
      <c r="AD756" s="234"/>
      <c r="AE756" s="334"/>
      <c r="AF756" s="334"/>
      <c r="AG756" s="334"/>
      <c r="AH756" s="334"/>
      <c r="AI756" s="234"/>
      <c r="AJ756" s="234"/>
      <c r="AK756" s="234"/>
      <c r="AL756" s="234"/>
      <c r="AM756" s="234"/>
      <c r="AN756" s="234"/>
      <c r="AO756" s="234"/>
      <c r="AP756" s="234"/>
      <c r="AQ756" s="234"/>
      <c r="AR756" s="234"/>
      <c r="AS756" s="234"/>
      <c r="AT756" s="234"/>
      <c r="AU756" s="234"/>
      <c r="AV756" s="234"/>
      <c r="AW756" s="234"/>
      <c r="AX756" s="234"/>
      <c r="AY756" s="234"/>
      <c r="AZ756" s="234"/>
      <c r="BA756" s="234"/>
      <c r="BB756" s="234"/>
      <c r="BC756" s="234"/>
      <c r="BD756" s="234"/>
      <c r="BE756" s="234"/>
      <c r="BF756" s="234"/>
      <c r="BG756" s="234"/>
      <c r="BH756" s="234"/>
      <c r="BI756" s="234"/>
      <c r="BJ756" s="234"/>
      <c r="BK756" s="234"/>
      <c r="BL756" s="234"/>
      <c r="BM756" s="234"/>
      <c r="BN756" s="234"/>
      <c r="BO756" s="235"/>
      <c r="BP756" s="234"/>
      <c r="BQ756" s="234"/>
      <c r="BR756" s="234"/>
      <c r="BS756" s="234"/>
      <c r="BT756" s="234"/>
      <c r="BU756" s="234"/>
      <c r="BV756" s="234"/>
      <c r="BW756" s="234"/>
      <c r="BX756" s="1"/>
      <c r="BY756" s="1"/>
      <c r="BZ756" s="1"/>
      <c r="CA756" s="1"/>
      <c r="CB756" s="1"/>
      <c r="CC756" s="1"/>
      <c r="CD756" s="1"/>
      <c r="CE756" s="1"/>
      <c r="CF756" s="1"/>
      <c r="CG756" s="1"/>
    </row>
    <row r="757" spans="1:85" ht="15.75" customHeight="1">
      <c r="A757" s="313"/>
      <c r="B757" s="418"/>
      <c r="C757" s="418"/>
      <c r="D757" s="221"/>
      <c r="E757" s="335"/>
      <c r="F757" s="234"/>
      <c r="G757" s="234"/>
      <c r="H757" s="234"/>
      <c r="I757" s="331"/>
      <c r="J757" s="331"/>
      <c r="K757" s="234"/>
      <c r="L757" s="332"/>
      <c r="M757" s="234"/>
      <c r="N757" s="234"/>
      <c r="O757" s="234"/>
      <c r="P757" s="234"/>
      <c r="Q757" s="234"/>
      <c r="R757" s="234"/>
      <c r="S757" s="234"/>
      <c r="T757" s="234"/>
      <c r="U757" s="388"/>
      <c r="V757" s="388"/>
      <c r="W757" s="388"/>
      <c r="X757" s="331"/>
      <c r="Y757" s="331"/>
      <c r="Z757" s="331"/>
      <c r="AA757" s="234"/>
      <c r="AB757" s="234"/>
      <c r="AC757" s="234"/>
      <c r="AD757" s="234"/>
      <c r="AE757" s="334"/>
      <c r="AF757" s="334"/>
      <c r="AG757" s="334"/>
      <c r="AH757" s="334"/>
      <c r="AI757" s="234"/>
      <c r="AJ757" s="234"/>
      <c r="AK757" s="234"/>
      <c r="AL757" s="234"/>
      <c r="AM757" s="234"/>
      <c r="AN757" s="234"/>
      <c r="AO757" s="234"/>
      <c r="AP757" s="234"/>
      <c r="AQ757" s="234"/>
      <c r="AR757" s="234"/>
      <c r="AS757" s="234"/>
      <c r="AT757" s="234"/>
      <c r="AU757" s="234"/>
      <c r="AV757" s="234"/>
      <c r="AW757" s="234"/>
      <c r="AX757" s="234"/>
      <c r="AY757" s="234"/>
      <c r="AZ757" s="234"/>
      <c r="BA757" s="234"/>
      <c r="BB757" s="234"/>
      <c r="BC757" s="234"/>
      <c r="BD757" s="234"/>
      <c r="BE757" s="234"/>
      <c r="BF757" s="234"/>
      <c r="BG757" s="234"/>
      <c r="BH757" s="234"/>
      <c r="BI757" s="234"/>
      <c r="BJ757" s="234"/>
      <c r="BK757" s="234"/>
      <c r="BL757" s="234"/>
      <c r="BM757" s="234"/>
      <c r="BN757" s="234"/>
      <c r="BO757" s="235"/>
      <c r="BP757" s="234"/>
      <c r="BQ757" s="234"/>
      <c r="BR757" s="234"/>
      <c r="BS757" s="234"/>
      <c r="BT757" s="234"/>
      <c r="BU757" s="234"/>
      <c r="BV757" s="234"/>
      <c r="BW757" s="234"/>
      <c r="BX757" s="1"/>
      <c r="BY757" s="1"/>
      <c r="BZ757" s="1"/>
      <c r="CA757" s="1"/>
      <c r="CB757" s="1"/>
      <c r="CC757" s="1"/>
      <c r="CD757" s="1"/>
      <c r="CE757" s="1"/>
      <c r="CF757" s="1"/>
      <c r="CG757" s="1"/>
    </row>
    <row r="758" spans="1:85" ht="15.75" customHeight="1">
      <c r="A758" s="313"/>
      <c r="B758" s="418"/>
      <c r="C758" s="418"/>
      <c r="D758" s="221"/>
      <c r="E758" s="335"/>
      <c r="F758" s="234"/>
      <c r="G758" s="234"/>
      <c r="H758" s="234"/>
      <c r="I758" s="331"/>
      <c r="J758" s="331"/>
      <c r="K758" s="234"/>
      <c r="L758" s="332"/>
      <c r="M758" s="234"/>
      <c r="N758" s="234"/>
      <c r="O758" s="234"/>
      <c r="P758" s="234"/>
      <c r="Q758" s="234"/>
      <c r="R758" s="234"/>
      <c r="S758" s="234"/>
      <c r="T758" s="234"/>
      <c r="U758" s="388"/>
      <c r="V758" s="388"/>
      <c r="W758" s="388"/>
      <c r="X758" s="331"/>
      <c r="Y758" s="331"/>
      <c r="Z758" s="331"/>
      <c r="AA758" s="234"/>
      <c r="AB758" s="234"/>
      <c r="AC758" s="234"/>
      <c r="AD758" s="234"/>
      <c r="AE758" s="334"/>
      <c r="AF758" s="334"/>
      <c r="AG758" s="334"/>
      <c r="AH758" s="334"/>
      <c r="AI758" s="234"/>
      <c r="AJ758" s="234"/>
      <c r="AK758" s="234"/>
      <c r="AL758" s="234"/>
      <c r="AM758" s="234"/>
      <c r="AN758" s="234"/>
      <c r="AO758" s="234"/>
      <c r="AP758" s="234"/>
      <c r="AQ758" s="234"/>
      <c r="AR758" s="234"/>
      <c r="AS758" s="234"/>
      <c r="AT758" s="234"/>
      <c r="AU758" s="234"/>
      <c r="AV758" s="234"/>
      <c r="AW758" s="234"/>
      <c r="AX758" s="234"/>
      <c r="AY758" s="234"/>
      <c r="AZ758" s="234"/>
      <c r="BA758" s="234"/>
      <c r="BB758" s="234"/>
      <c r="BC758" s="234"/>
      <c r="BD758" s="234"/>
      <c r="BE758" s="234"/>
      <c r="BF758" s="234"/>
      <c r="BG758" s="234"/>
      <c r="BH758" s="234"/>
      <c r="BI758" s="234"/>
      <c r="BJ758" s="234"/>
      <c r="BK758" s="234"/>
      <c r="BL758" s="234"/>
      <c r="BM758" s="234"/>
      <c r="BN758" s="234"/>
      <c r="BO758" s="235"/>
      <c r="BP758" s="234"/>
      <c r="BQ758" s="234"/>
      <c r="BR758" s="234"/>
      <c r="BS758" s="234"/>
      <c r="BT758" s="234"/>
      <c r="BU758" s="234"/>
      <c r="BV758" s="234"/>
      <c r="BW758" s="234"/>
      <c r="BX758" s="1"/>
      <c r="BY758" s="1"/>
      <c r="BZ758" s="1"/>
      <c r="CA758" s="1"/>
      <c r="CB758" s="1"/>
      <c r="CC758" s="1"/>
      <c r="CD758" s="1"/>
      <c r="CE758" s="1"/>
      <c r="CF758" s="1"/>
      <c r="CG758" s="1"/>
    </row>
    <row r="759" spans="1:85" ht="15.75" customHeight="1">
      <c r="A759" s="313"/>
      <c r="B759" s="418"/>
      <c r="C759" s="418"/>
      <c r="D759" s="221"/>
      <c r="E759" s="335"/>
      <c r="F759" s="234"/>
      <c r="G759" s="234"/>
      <c r="H759" s="234"/>
      <c r="I759" s="331"/>
      <c r="J759" s="331"/>
      <c r="K759" s="234"/>
      <c r="L759" s="332"/>
      <c r="M759" s="234"/>
      <c r="N759" s="234"/>
      <c r="O759" s="234"/>
      <c r="P759" s="234"/>
      <c r="Q759" s="234"/>
      <c r="R759" s="234"/>
      <c r="S759" s="234"/>
      <c r="T759" s="234"/>
      <c r="U759" s="388"/>
      <c r="V759" s="388"/>
      <c r="W759" s="388"/>
      <c r="X759" s="331"/>
      <c r="Y759" s="331"/>
      <c r="Z759" s="331"/>
      <c r="AA759" s="234"/>
      <c r="AB759" s="234"/>
      <c r="AC759" s="234"/>
      <c r="AD759" s="234"/>
      <c r="AE759" s="334"/>
      <c r="AF759" s="334"/>
      <c r="AG759" s="334"/>
      <c r="AH759" s="334"/>
      <c r="AI759" s="234"/>
      <c r="AJ759" s="234"/>
      <c r="AK759" s="234"/>
      <c r="AL759" s="234"/>
      <c r="AM759" s="234"/>
      <c r="AN759" s="234"/>
      <c r="AO759" s="234"/>
      <c r="AP759" s="234"/>
      <c r="AQ759" s="234"/>
      <c r="AR759" s="234"/>
      <c r="AS759" s="234"/>
      <c r="AT759" s="234"/>
      <c r="AU759" s="234"/>
      <c r="AV759" s="234"/>
      <c r="AW759" s="234"/>
      <c r="AX759" s="234"/>
      <c r="AY759" s="234"/>
      <c r="AZ759" s="234"/>
      <c r="BA759" s="234"/>
      <c r="BB759" s="234"/>
      <c r="BC759" s="234"/>
      <c r="BD759" s="234"/>
      <c r="BE759" s="234"/>
      <c r="BF759" s="234"/>
      <c r="BG759" s="234"/>
      <c r="BH759" s="234"/>
      <c r="BI759" s="234"/>
      <c r="BJ759" s="234"/>
      <c r="BK759" s="234"/>
      <c r="BL759" s="234"/>
      <c r="BM759" s="234"/>
      <c r="BN759" s="234"/>
      <c r="BO759" s="235"/>
      <c r="BP759" s="234"/>
      <c r="BQ759" s="234"/>
      <c r="BR759" s="234"/>
      <c r="BS759" s="234"/>
      <c r="BT759" s="234"/>
      <c r="BU759" s="234"/>
      <c r="BV759" s="234"/>
      <c r="BW759" s="234"/>
      <c r="BX759" s="1"/>
      <c r="BY759" s="1"/>
      <c r="BZ759" s="1"/>
      <c r="CA759" s="1"/>
      <c r="CB759" s="1"/>
      <c r="CC759" s="1"/>
      <c r="CD759" s="1"/>
      <c r="CE759" s="1"/>
      <c r="CF759" s="1"/>
      <c r="CG759" s="1"/>
    </row>
    <row r="760" spans="1:85" ht="15.75" customHeight="1">
      <c r="A760" s="313"/>
      <c r="B760" s="418"/>
      <c r="C760" s="418"/>
      <c r="D760" s="221"/>
      <c r="E760" s="335"/>
      <c r="F760" s="234"/>
      <c r="G760" s="234"/>
      <c r="H760" s="234"/>
      <c r="I760" s="331"/>
      <c r="J760" s="331"/>
      <c r="K760" s="234"/>
      <c r="L760" s="332"/>
      <c r="M760" s="234"/>
      <c r="N760" s="234"/>
      <c r="O760" s="234"/>
      <c r="P760" s="234"/>
      <c r="Q760" s="234"/>
      <c r="R760" s="234"/>
      <c r="S760" s="234"/>
      <c r="T760" s="234"/>
      <c r="U760" s="388"/>
      <c r="V760" s="388"/>
      <c r="W760" s="388"/>
      <c r="X760" s="331"/>
      <c r="Y760" s="331"/>
      <c r="Z760" s="331"/>
      <c r="AA760" s="234"/>
      <c r="AB760" s="234"/>
      <c r="AC760" s="234"/>
      <c r="AD760" s="234"/>
      <c r="AE760" s="334"/>
      <c r="AF760" s="334"/>
      <c r="AG760" s="334"/>
      <c r="AH760" s="334"/>
      <c r="AI760" s="234"/>
      <c r="AJ760" s="234"/>
      <c r="AK760" s="234"/>
      <c r="AL760" s="234"/>
      <c r="AM760" s="234"/>
      <c r="AN760" s="234"/>
      <c r="AO760" s="234"/>
      <c r="AP760" s="234"/>
      <c r="AQ760" s="234"/>
      <c r="AR760" s="234"/>
      <c r="AS760" s="234"/>
      <c r="AT760" s="234"/>
      <c r="AU760" s="234"/>
      <c r="AV760" s="234"/>
      <c r="AW760" s="234"/>
      <c r="AX760" s="234"/>
      <c r="AY760" s="234"/>
      <c r="AZ760" s="234"/>
      <c r="BA760" s="234"/>
      <c r="BB760" s="234"/>
      <c r="BC760" s="234"/>
      <c r="BD760" s="234"/>
      <c r="BE760" s="234"/>
      <c r="BF760" s="234"/>
      <c r="BG760" s="234"/>
      <c r="BH760" s="234"/>
      <c r="BI760" s="234"/>
      <c r="BJ760" s="234"/>
      <c r="BK760" s="234"/>
      <c r="BL760" s="234"/>
      <c r="BM760" s="234"/>
      <c r="BN760" s="234"/>
      <c r="BO760" s="235"/>
      <c r="BP760" s="234"/>
      <c r="BQ760" s="234"/>
      <c r="BR760" s="234"/>
      <c r="BS760" s="234"/>
      <c r="BT760" s="234"/>
      <c r="BU760" s="234"/>
      <c r="BV760" s="234"/>
      <c r="BW760" s="234"/>
      <c r="BX760" s="1"/>
      <c r="BY760" s="1"/>
      <c r="BZ760" s="1"/>
      <c r="CA760" s="1"/>
      <c r="CB760" s="1"/>
      <c r="CC760" s="1"/>
      <c r="CD760" s="1"/>
      <c r="CE760" s="1"/>
      <c r="CF760" s="1"/>
      <c r="CG760" s="1"/>
    </row>
    <row r="761" spans="1:85" ht="15.75" customHeight="1">
      <c r="A761" s="313"/>
      <c r="B761" s="418"/>
      <c r="C761" s="418"/>
      <c r="D761" s="221"/>
      <c r="E761" s="335"/>
      <c r="F761" s="234"/>
      <c r="G761" s="234"/>
      <c r="H761" s="234"/>
      <c r="I761" s="331"/>
      <c r="J761" s="331"/>
      <c r="K761" s="234"/>
      <c r="L761" s="332"/>
      <c r="M761" s="234"/>
      <c r="N761" s="234"/>
      <c r="O761" s="234"/>
      <c r="P761" s="234"/>
      <c r="Q761" s="234"/>
      <c r="R761" s="234"/>
      <c r="S761" s="234"/>
      <c r="T761" s="234"/>
      <c r="U761" s="388"/>
      <c r="V761" s="388"/>
      <c r="W761" s="388"/>
      <c r="X761" s="331"/>
      <c r="Y761" s="331"/>
      <c r="Z761" s="331"/>
      <c r="AA761" s="234"/>
      <c r="AB761" s="234"/>
      <c r="AC761" s="234"/>
      <c r="AD761" s="234"/>
      <c r="AE761" s="334"/>
      <c r="AF761" s="334"/>
      <c r="AG761" s="334"/>
      <c r="AH761" s="334"/>
      <c r="AI761" s="234"/>
      <c r="AJ761" s="234"/>
      <c r="AK761" s="234"/>
      <c r="AL761" s="234"/>
      <c r="AM761" s="234"/>
      <c r="AN761" s="234"/>
      <c r="AO761" s="234"/>
      <c r="AP761" s="234"/>
      <c r="AQ761" s="234"/>
      <c r="AR761" s="234"/>
      <c r="AS761" s="234"/>
      <c r="AT761" s="234"/>
      <c r="AU761" s="234"/>
      <c r="AV761" s="234"/>
      <c r="AW761" s="234"/>
      <c r="AX761" s="234"/>
      <c r="AY761" s="234"/>
      <c r="AZ761" s="234"/>
      <c r="BA761" s="234"/>
      <c r="BB761" s="234"/>
      <c r="BC761" s="234"/>
      <c r="BD761" s="234"/>
      <c r="BE761" s="234"/>
      <c r="BF761" s="234"/>
      <c r="BG761" s="234"/>
      <c r="BH761" s="234"/>
      <c r="BI761" s="234"/>
      <c r="BJ761" s="234"/>
      <c r="BK761" s="234"/>
      <c r="BL761" s="234"/>
      <c r="BM761" s="234"/>
      <c r="BN761" s="234"/>
      <c r="BO761" s="235"/>
      <c r="BP761" s="234"/>
      <c r="BQ761" s="234"/>
      <c r="BR761" s="234"/>
      <c r="BS761" s="234"/>
      <c r="BT761" s="234"/>
      <c r="BU761" s="234"/>
      <c r="BV761" s="234"/>
      <c r="BW761" s="234"/>
      <c r="BX761" s="1"/>
      <c r="BY761" s="1"/>
      <c r="BZ761" s="1"/>
      <c r="CA761" s="1"/>
      <c r="CB761" s="1"/>
      <c r="CC761" s="1"/>
      <c r="CD761" s="1"/>
      <c r="CE761" s="1"/>
      <c r="CF761" s="1"/>
      <c r="CG761" s="1"/>
    </row>
    <row r="762" spans="1:85" ht="15.75" customHeight="1">
      <c r="A762" s="313"/>
      <c r="B762" s="418"/>
      <c r="C762" s="418"/>
      <c r="D762" s="221"/>
      <c r="E762" s="335"/>
      <c r="F762" s="234"/>
      <c r="G762" s="234"/>
      <c r="H762" s="234"/>
      <c r="I762" s="331"/>
      <c r="J762" s="331"/>
      <c r="K762" s="234"/>
      <c r="L762" s="332"/>
      <c r="M762" s="234"/>
      <c r="N762" s="234"/>
      <c r="O762" s="234"/>
      <c r="P762" s="234"/>
      <c r="Q762" s="234"/>
      <c r="R762" s="234"/>
      <c r="S762" s="234"/>
      <c r="T762" s="234"/>
      <c r="U762" s="388"/>
      <c r="V762" s="388"/>
      <c r="W762" s="388"/>
      <c r="X762" s="331"/>
      <c r="Y762" s="331"/>
      <c r="Z762" s="331"/>
      <c r="AA762" s="234"/>
      <c r="AB762" s="234"/>
      <c r="AC762" s="234"/>
      <c r="AD762" s="234"/>
      <c r="AE762" s="334"/>
      <c r="AF762" s="334"/>
      <c r="AG762" s="334"/>
      <c r="AH762" s="334"/>
      <c r="AI762" s="234"/>
      <c r="AJ762" s="234"/>
      <c r="AK762" s="234"/>
      <c r="AL762" s="234"/>
      <c r="AM762" s="234"/>
      <c r="AN762" s="234"/>
      <c r="AO762" s="234"/>
      <c r="AP762" s="234"/>
      <c r="AQ762" s="234"/>
      <c r="AR762" s="234"/>
      <c r="AS762" s="234"/>
      <c r="AT762" s="234"/>
      <c r="AU762" s="234"/>
      <c r="AV762" s="234"/>
      <c r="AW762" s="234"/>
      <c r="AX762" s="234"/>
      <c r="AY762" s="234"/>
      <c r="AZ762" s="234"/>
      <c r="BA762" s="234"/>
      <c r="BB762" s="234"/>
      <c r="BC762" s="234"/>
      <c r="BD762" s="234"/>
      <c r="BE762" s="234"/>
      <c r="BF762" s="234"/>
      <c r="BG762" s="234"/>
      <c r="BH762" s="234"/>
      <c r="BI762" s="234"/>
      <c r="BJ762" s="234"/>
      <c r="BK762" s="234"/>
      <c r="BL762" s="234"/>
      <c r="BM762" s="234"/>
      <c r="BN762" s="234"/>
      <c r="BO762" s="235"/>
      <c r="BP762" s="234"/>
      <c r="BQ762" s="234"/>
      <c r="BR762" s="234"/>
      <c r="BS762" s="234"/>
      <c r="BT762" s="234"/>
      <c r="BU762" s="234"/>
      <c r="BV762" s="234"/>
      <c r="BW762" s="234"/>
      <c r="BX762" s="1"/>
      <c r="BY762" s="1"/>
      <c r="BZ762" s="1"/>
      <c r="CA762" s="1"/>
      <c r="CB762" s="1"/>
      <c r="CC762" s="1"/>
      <c r="CD762" s="1"/>
      <c r="CE762" s="1"/>
      <c r="CF762" s="1"/>
      <c r="CG762" s="1"/>
    </row>
    <row r="763" spans="1:85" ht="15.75" customHeight="1">
      <c r="A763" s="313"/>
      <c r="B763" s="418"/>
      <c r="C763" s="418"/>
      <c r="D763" s="221"/>
      <c r="E763" s="335"/>
      <c r="F763" s="234"/>
      <c r="G763" s="234"/>
      <c r="H763" s="234"/>
      <c r="I763" s="331"/>
      <c r="J763" s="331"/>
      <c r="K763" s="234"/>
      <c r="L763" s="332"/>
      <c r="M763" s="234"/>
      <c r="N763" s="234"/>
      <c r="O763" s="234"/>
      <c r="P763" s="234"/>
      <c r="Q763" s="234"/>
      <c r="R763" s="234"/>
      <c r="S763" s="234"/>
      <c r="T763" s="234"/>
      <c r="U763" s="388"/>
      <c r="V763" s="388"/>
      <c r="W763" s="388"/>
      <c r="X763" s="331"/>
      <c r="Y763" s="331"/>
      <c r="Z763" s="331"/>
      <c r="AA763" s="234"/>
      <c r="AB763" s="234"/>
      <c r="AC763" s="234"/>
      <c r="AD763" s="234"/>
      <c r="AE763" s="334"/>
      <c r="AF763" s="334"/>
      <c r="AG763" s="334"/>
      <c r="AH763" s="334"/>
      <c r="AI763" s="234"/>
      <c r="AJ763" s="234"/>
      <c r="AK763" s="234"/>
      <c r="AL763" s="234"/>
      <c r="AM763" s="234"/>
      <c r="AN763" s="234"/>
      <c r="AO763" s="234"/>
      <c r="AP763" s="234"/>
      <c r="AQ763" s="234"/>
      <c r="AR763" s="234"/>
      <c r="AS763" s="234"/>
      <c r="AT763" s="234"/>
      <c r="AU763" s="234"/>
      <c r="AV763" s="234"/>
      <c r="AW763" s="234"/>
      <c r="AX763" s="234"/>
      <c r="AY763" s="234"/>
      <c r="AZ763" s="234"/>
      <c r="BA763" s="234"/>
      <c r="BB763" s="234"/>
      <c r="BC763" s="234"/>
      <c r="BD763" s="234"/>
      <c r="BE763" s="234"/>
      <c r="BF763" s="234"/>
      <c r="BG763" s="234"/>
      <c r="BH763" s="234"/>
      <c r="BI763" s="234"/>
      <c r="BJ763" s="234"/>
      <c r="BK763" s="234"/>
      <c r="BL763" s="234"/>
      <c r="BM763" s="234"/>
      <c r="BN763" s="234"/>
      <c r="BO763" s="235"/>
      <c r="BP763" s="234"/>
      <c r="BQ763" s="234"/>
      <c r="BR763" s="234"/>
      <c r="BS763" s="234"/>
      <c r="BT763" s="234"/>
      <c r="BU763" s="234"/>
      <c r="BV763" s="234"/>
      <c r="BW763" s="234"/>
      <c r="BX763" s="1"/>
      <c r="BY763" s="1"/>
      <c r="BZ763" s="1"/>
      <c r="CA763" s="1"/>
      <c r="CB763" s="1"/>
      <c r="CC763" s="1"/>
      <c r="CD763" s="1"/>
      <c r="CE763" s="1"/>
      <c r="CF763" s="1"/>
      <c r="CG763" s="1"/>
    </row>
    <row r="764" spans="1:85" ht="15.75" customHeight="1">
      <c r="A764" s="313"/>
      <c r="B764" s="418"/>
      <c r="C764" s="418"/>
      <c r="D764" s="221"/>
      <c r="E764" s="335"/>
      <c r="F764" s="234"/>
      <c r="G764" s="234"/>
      <c r="H764" s="234"/>
      <c r="I764" s="331"/>
      <c r="J764" s="331"/>
      <c r="K764" s="234"/>
      <c r="L764" s="332"/>
      <c r="M764" s="234"/>
      <c r="N764" s="234"/>
      <c r="O764" s="234"/>
      <c r="P764" s="234"/>
      <c r="Q764" s="234"/>
      <c r="R764" s="234"/>
      <c r="S764" s="234"/>
      <c r="T764" s="234"/>
      <c r="U764" s="388"/>
      <c r="V764" s="388"/>
      <c r="W764" s="388"/>
      <c r="X764" s="331"/>
      <c r="Y764" s="331"/>
      <c r="Z764" s="331"/>
      <c r="AA764" s="234"/>
      <c r="AB764" s="234"/>
      <c r="AC764" s="234"/>
      <c r="AD764" s="234"/>
      <c r="AE764" s="334"/>
      <c r="AF764" s="334"/>
      <c r="AG764" s="334"/>
      <c r="AH764" s="334"/>
      <c r="AI764" s="234"/>
      <c r="AJ764" s="234"/>
      <c r="AK764" s="234"/>
      <c r="AL764" s="234"/>
      <c r="AM764" s="234"/>
      <c r="AN764" s="234"/>
      <c r="AO764" s="234"/>
      <c r="AP764" s="234"/>
      <c r="AQ764" s="234"/>
      <c r="AR764" s="234"/>
      <c r="AS764" s="234"/>
      <c r="AT764" s="234"/>
      <c r="AU764" s="234"/>
      <c r="AV764" s="234"/>
      <c r="AW764" s="234"/>
      <c r="AX764" s="234"/>
      <c r="AY764" s="234"/>
      <c r="AZ764" s="234"/>
      <c r="BA764" s="234"/>
      <c r="BB764" s="234"/>
      <c r="BC764" s="234"/>
      <c r="BD764" s="234"/>
      <c r="BE764" s="234"/>
      <c r="BF764" s="234"/>
      <c r="BG764" s="234"/>
      <c r="BH764" s="234"/>
      <c r="BI764" s="234"/>
      <c r="BJ764" s="234"/>
      <c r="BK764" s="234"/>
      <c r="BL764" s="234"/>
      <c r="BM764" s="234"/>
      <c r="BN764" s="234"/>
      <c r="BO764" s="235"/>
      <c r="BP764" s="234"/>
      <c r="BQ764" s="234"/>
      <c r="BR764" s="234"/>
      <c r="BS764" s="234"/>
      <c r="BT764" s="234"/>
      <c r="BU764" s="234"/>
      <c r="BV764" s="234"/>
      <c r="BW764" s="234"/>
      <c r="BX764" s="1"/>
      <c r="BY764" s="1"/>
      <c r="BZ764" s="1"/>
      <c r="CA764" s="1"/>
      <c r="CB764" s="1"/>
      <c r="CC764" s="1"/>
      <c r="CD764" s="1"/>
      <c r="CE764" s="1"/>
      <c r="CF764" s="1"/>
      <c r="CG764" s="1"/>
    </row>
    <row r="765" spans="1:85" ht="15.75" customHeight="1">
      <c r="A765" s="313"/>
      <c r="B765" s="418"/>
      <c r="C765" s="418"/>
      <c r="D765" s="221"/>
      <c r="E765" s="335"/>
      <c r="F765" s="234"/>
      <c r="G765" s="234"/>
      <c r="H765" s="234"/>
      <c r="I765" s="331"/>
      <c r="J765" s="331"/>
      <c r="K765" s="234"/>
      <c r="L765" s="332"/>
      <c r="M765" s="234"/>
      <c r="N765" s="234"/>
      <c r="O765" s="234"/>
      <c r="P765" s="234"/>
      <c r="Q765" s="234"/>
      <c r="R765" s="234"/>
      <c r="S765" s="234"/>
      <c r="T765" s="234"/>
      <c r="U765" s="388"/>
      <c r="V765" s="388"/>
      <c r="W765" s="388"/>
      <c r="X765" s="331"/>
      <c r="Y765" s="331"/>
      <c r="Z765" s="331"/>
      <c r="AA765" s="234"/>
      <c r="AB765" s="234"/>
      <c r="AC765" s="234"/>
      <c r="AD765" s="234"/>
      <c r="AE765" s="334"/>
      <c r="AF765" s="334"/>
      <c r="AG765" s="334"/>
      <c r="AH765" s="334"/>
      <c r="AI765" s="234"/>
      <c r="AJ765" s="234"/>
      <c r="AK765" s="234"/>
      <c r="AL765" s="234"/>
      <c r="AM765" s="234"/>
      <c r="AN765" s="234"/>
      <c r="AO765" s="234"/>
      <c r="AP765" s="234"/>
      <c r="AQ765" s="234"/>
      <c r="AR765" s="234"/>
      <c r="AS765" s="234"/>
      <c r="AT765" s="234"/>
      <c r="AU765" s="234"/>
      <c r="AV765" s="234"/>
      <c r="AW765" s="234"/>
      <c r="AX765" s="234"/>
      <c r="AY765" s="234"/>
      <c r="AZ765" s="234"/>
      <c r="BA765" s="234"/>
      <c r="BB765" s="234"/>
      <c r="BC765" s="234"/>
      <c r="BD765" s="234"/>
      <c r="BE765" s="234"/>
      <c r="BF765" s="234"/>
      <c r="BG765" s="234"/>
      <c r="BH765" s="234"/>
      <c r="BI765" s="234"/>
      <c r="BJ765" s="234"/>
      <c r="BK765" s="234"/>
      <c r="BL765" s="234"/>
      <c r="BM765" s="234"/>
      <c r="BN765" s="234"/>
      <c r="BO765" s="235"/>
      <c r="BP765" s="234"/>
      <c r="BQ765" s="234"/>
      <c r="BR765" s="234"/>
      <c r="BS765" s="234"/>
      <c r="BT765" s="234"/>
      <c r="BU765" s="234"/>
      <c r="BV765" s="234"/>
      <c r="BW765" s="234"/>
      <c r="BX765" s="1"/>
      <c r="BY765" s="1"/>
      <c r="BZ765" s="1"/>
      <c r="CA765" s="1"/>
      <c r="CB765" s="1"/>
      <c r="CC765" s="1"/>
      <c r="CD765" s="1"/>
      <c r="CE765" s="1"/>
      <c r="CF765" s="1"/>
      <c r="CG765" s="1"/>
    </row>
    <row r="766" spans="1:85" ht="15.75" customHeight="1">
      <c r="A766" s="313"/>
      <c r="B766" s="418"/>
      <c r="C766" s="418"/>
      <c r="D766" s="221"/>
      <c r="E766" s="335"/>
      <c r="F766" s="234"/>
      <c r="G766" s="234"/>
      <c r="H766" s="234"/>
      <c r="I766" s="331"/>
      <c r="J766" s="331"/>
      <c r="K766" s="234"/>
      <c r="L766" s="332"/>
      <c r="M766" s="234"/>
      <c r="N766" s="234"/>
      <c r="O766" s="234"/>
      <c r="P766" s="234"/>
      <c r="Q766" s="234"/>
      <c r="R766" s="234"/>
      <c r="S766" s="234"/>
      <c r="T766" s="234"/>
      <c r="U766" s="388"/>
      <c r="V766" s="388"/>
      <c r="W766" s="388"/>
      <c r="X766" s="331"/>
      <c r="Y766" s="331"/>
      <c r="Z766" s="331"/>
      <c r="AA766" s="234"/>
      <c r="AB766" s="234"/>
      <c r="AC766" s="234"/>
      <c r="AD766" s="234"/>
      <c r="AE766" s="334"/>
      <c r="AF766" s="334"/>
      <c r="AG766" s="334"/>
      <c r="AH766" s="334"/>
      <c r="AI766" s="234"/>
      <c r="AJ766" s="234"/>
      <c r="AK766" s="234"/>
      <c r="AL766" s="234"/>
      <c r="AM766" s="234"/>
      <c r="AN766" s="234"/>
      <c r="AO766" s="234"/>
      <c r="AP766" s="234"/>
      <c r="AQ766" s="234"/>
      <c r="AR766" s="234"/>
      <c r="AS766" s="234"/>
      <c r="AT766" s="234"/>
      <c r="AU766" s="234"/>
      <c r="AV766" s="234"/>
      <c r="AW766" s="234"/>
      <c r="AX766" s="234"/>
      <c r="AY766" s="234"/>
      <c r="AZ766" s="234"/>
      <c r="BA766" s="234"/>
      <c r="BB766" s="234"/>
      <c r="BC766" s="234"/>
      <c r="BD766" s="234"/>
      <c r="BE766" s="234"/>
      <c r="BF766" s="234"/>
      <c r="BG766" s="234"/>
      <c r="BH766" s="234"/>
      <c r="BI766" s="234"/>
      <c r="BJ766" s="234"/>
      <c r="BK766" s="234"/>
      <c r="BL766" s="234"/>
      <c r="BM766" s="234"/>
      <c r="BN766" s="234"/>
      <c r="BO766" s="235"/>
      <c r="BP766" s="234"/>
      <c r="BQ766" s="234"/>
      <c r="BR766" s="234"/>
      <c r="BS766" s="234"/>
      <c r="BT766" s="234"/>
      <c r="BU766" s="234"/>
      <c r="BV766" s="234"/>
      <c r="BW766" s="234"/>
      <c r="BX766" s="1"/>
      <c r="BY766" s="1"/>
      <c r="BZ766" s="1"/>
      <c r="CA766" s="1"/>
      <c r="CB766" s="1"/>
      <c r="CC766" s="1"/>
      <c r="CD766" s="1"/>
      <c r="CE766" s="1"/>
      <c r="CF766" s="1"/>
      <c r="CG766" s="1"/>
    </row>
    <row r="767" spans="1:85" ht="15.75" customHeight="1">
      <c r="A767" s="313"/>
      <c r="B767" s="418"/>
      <c r="C767" s="418"/>
      <c r="D767" s="221"/>
      <c r="E767" s="335"/>
      <c r="F767" s="234"/>
      <c r="G767" s="234"/>
      <c r="H767" s="234"/>
      <c r="I767" s="331"/>
      <c r="J767" s="331"/>
      <c r="K767" s="234"/>
      <c r="L767" s="332"/>
      <c r="M767" s="234"/>
      <c r="N767" s="234"/>
      <c r="O767" s="234"/>
      <c r="P767" s="234"/>
      <c r="Q767" s="234"/>
      <c r="R767" s="234"/>
      <c r="S767" s="234"/>
      <c r="T767" s="234"/>
      <c r="U767" s="388"/>
      <c r="V767" s="388"/>
      <c r="W767" s="388"/>
      <c r="X767" s="331"/>
      <c r="Y767" s="331"/>
      <c r="Z767" s="331"/>
      <c r="AA767" s="234"/>
      <c r="AB767" s="234"/>
      <c r="AC767" s="234"/>
      <c r="AD767" s="234"/>
      <c r="AE767" s="334"/>
      <c r="AF767" s="334"/>
      <c r="AG767" s="334"/>
      <c r="AH767" s="334"/>
      <c r="AI767" s="234"/>
      <c r="AJ767" s="234"/>
      <c r="AK767" s="234"/>
      <c r="AL767" s="234"/>
      <c r="AM767" s="234"/>
      <c r="AN767" s="234"/>
      <c r="AO767" s="234"/>
      <c r="AP767" s="234"/>
      <c r="AQ767" s="234"/>
      <c r="AR767" s="234"/>
      <c r="AS767" s="234"/>
      <c r="AT767" s="234"/>
      <c r="AU767" s="234"/>
      <c r="AV767" s="234"/>
      <c r="AW767" s="234"/>
      <c r="AX767" s="234"/>
      <c r="AY767" s="234"/>
      <c r="AZ767" s="234"/>
      <c r="BA767" s="234"/>
      <c r="BB767" s="234"/>
      <c r="BC767" s="234"/>
      <c r="BD767" s="234"/>
      <c r="BE767" s="234"/>
      <c r="BF767" s="234"/>
      <c r="BG767" s="234"/>
      <c r="BH767" s="234"/>
      <c r="BI767" s="234"/>
      <c r="BJ767" s="234"/>
      <c r="BK767" s="234"/>
      <c r="BL767" s="234"/>
      <c r="BM767" s="234"/>
      <c r="BN767" s="234"/>
      <c r="BO767" s="235"/>
      <c r="BP767" s="234"/>
      <c r="BQ767" s="234"/>
      <c r="BR767" s="234"/>
      <c r="BS767" s="234"/>
      <c r="BT767" s="234"/>
      <c r="BU767" s="234"/>
      <c r="BV767" s="234"/>
      <c r="BW767" s="234"/>
      <c r="BX767" s="1"/>
      <c r="BY767" s="1"/>
      <c r="BZ767" s="1"/>
      <c r="CA767" s="1"/>
      <c r="CB767" s="1"/>
      <c r="CC767" s="1"/>
      <c r="CD767" s="1"/>
      <c r="CE767" s="1"/>
      <c r="CF767" s="1"/>
      <c r="CG767" s="1"/>
    </row>
    <row r="768" spans="1:85" ht="15.75" customHeight="1">
      <c r="A768" s="313"/>
      <c r="B768" s="418"/>
      <c r="C768" s="418"/>
      <c r="D768" s="221"/>
      <c r="E768" s="335"/>
      <c r="F768" s="234"/>
      <c r="G768" s="234"/>
      <c r="H768" s="234"/>
      <c r="I768" s="331"/>
      <c r="J768" s="331"/>
      <c r="K768" s="234"/>
      <c r="L768" s="332"/>
      <c r="M768" s="234"/>
      <c r="N768" s="234"/>
      <c r="O768" s="234"/>
      <c r="P768" s="234"/>
      <c r="Q768" s="234"/>
      <c r="R768" s="234"/>
      <c r="S768" s="234"/>
      <c r="T768" s="234"/>
      <c r="U768" s="388"/>
      <c r="V768" s="388"/>
      <c r="W768" s="388"/>
      <c r="X768" s="331"/>
      <c r="Y768" s="331"/>
      <c r="Z768" s="331"/>
      <c r="AA768" s="234"/>
      <c r="AB768" s="234"/>
      <c r="AC768" s="234"/>
      <c r="AD768" s="234"/>
      <c r="AE768" s="334"/>
      <c r="AF768" s="334"/>
      <c r="AG768" s="334"/>
      <c r="AH768" s="334"/>
      <c r="AI768" s="234"/>
      <c r="AJ768" s="234"/>
      <c r="AK768" s="234"/>
      <c r="AL768" s="234"/>
      <c r="AM768" s="234"/>
      <c r="AN768" s="234"/>
      <c r="AO768" s="234"/>
      <c r="AP768" s="234"/>
      <c r="AQ768" s="234"/>
      <c r="AR768" s="234"/>
      <c r="AS768" s="234"/>
      <c r="AT768" s="234"/>
      <c r="AU768" s="234"/>
      <c r="AV768" s="234"/>
      <c r="AW768" s="234"/>
      <c r="AX768" s="234"/>
      <c r="AY768" s="234"/>
      <c r="AZ768" s="234"/>
      <c r="BA768" s="234"/>
      <c r="BB768" s="234"/>
      <c r="BC768" s="234"/>
      <c r="BD768" s="234"/>
      <c r="BE768" s="234"/>
      <c r="BF768" s="234"/>
      <c r="BG768" s="234"/>
      <c r="BH768" s="234"/>
      <c r="BI768" s="234"/>
      <c r="BJ768" s="234"/>
      <c r="BK768" s="234"/>
      <c r="BL768" s="234"/>
      <c r="BM768" s="234"/>
      <c r="BN768" s="234"/>
      <c r="BO768" s="235"/>
      <c r="BP768" s="234"/>
      <c r="BQ768" s="234"/>
      <c r="BR768" s="234"/>
      <c r="BS768" s="234"/>
      <c r="BT768" s="234"/>
      <c r="BU768" s="234"/>
      <c r="BV768" s="234"/>
      <c r="BW768" s="234"/>
      <c r="BX768" s="1"/>
      <c r="BY768" s="1"/>
      <c r="BZ768" s="1"/>
      <c r="CA768" s="1"/>
      <c r="CB768" s="1"/>
      <c r="CC768" s="1"/>
      <c r="CD768" s="1"/>
      <c r="CE768" s="1"/>
      <c r="CF768" s="1"/>
      <c r="CG768" s="1"/>
    </row>
    <row r="769" spans="1:85" ht="15.75" customHeight="1">
      <c r="A769" s="313"/>
      <c r="B769" s="418"/>
      <c r="C769" s="418"/>
      <c r="D769" s="221"/>
      <c r="E769" s="335"/>
      <c r="F769" s="234"/>
      <c r="G769" s="234"/>
      <c r="H769" s="234"/>
      <c r="I769" s="331"/>
      <c r="J769" s="331"/>
      <c r="K769" s="234"/>
      <c r="L769" s="332"/>
      <c r="M769" s="234"/>
      <c r="N769" s="234"/>
      <c r="O769" s="234"/>
      <c r="P769" s="234"/>
      <c r="Q769" s="234"/>
      <c r="R769" s="234"/>
      <c r="S769" s="234"/>
      <c r="T769" s="234"/>
      <c r="U769" s="388"/>
      <c r="V769" s="388"/>
      <c r="W769" s="388"/>
      <c r="X769" s="331"/>
      <c r="Y769" s="331"/>
      <c r="Z769" s="331"/>
      <c r="AA769" s="234"/>
      <c r="AB769" s="234"/>
      <c r="AC769" s="234"/>
      <c r="AD769" s="234"/>
      <c r="AE769" s="334"/>
      <c r="AF769" s="334"/>
      <c r="AG769" s="334"/>
      <c r="AH769" s="334"/>
      <c r="AI769" s="234"/>
      <c r="AJ769" s="234"/>
      <c r="AK769" s="234"/>
      <c r="AL769" s="234"/>
      <c r="AM769" s="234"/>
      <c r="AN769" s="234"/>
      <c r="AO769" s="234"/>
      <c r="AP769" s="234"/>
      <c r="AQ769" s="234"/>
      <c r="AR769" s="234"/>
      <c r="AS769" s="234"/>
      <c r="AT769" s="234"/>
      <c r="AU769" s="234"/>
      <c r="AV769" s="234"/>
      <c r="AW769" s="234"/>
      <c r="AX769" s="234"/>
      <c r="AY769" s="234"/>
      <c r="AZ769" s="234"/>
      <c r="BA769" s="234"/>
      <c r="BB769" s="234"/>
      <c r="BC769" s="234"/>
      <c r="BD769" s="234"/>
      <c r="BE769" s="234"/>
      <c r="BF769" s="234"/>
      <c r="BG769" s="234"/>
      <c r="BH769" s="234"/>
      <c r="BI769" s="234"/>
      <c r="BJ769" s="234"/>
      <c r="BK769" s="234"/>
      <c r="BL769" s="234"/>
      <c r="BM769" s="234"/>
      <c r="BN769" s="234"/>
      <c r="BO769" s="235"/>
      <c r="BP769" s="234"/>
      <c r="BQ769" s="234"/>
      <c r="BR769" s="234"/>
      <c r="BS769" s="234"/>
      <c r="BT769" s="234"/>
      <c r="BU769" s="234"/>
      <c r="BV769" s="234"/>
      <c r="BW769" s="234"/>
      <c r="BX769" s="1"/>
      <c r="BY769" s="1"/>
      <c r="BZ769" s="1"/>
      <c r="CA769" s="1"/>
      <c r="CB769" s="1"/>
      <c r="CC769" s="1"/>
      <c r="CD769" s="1"/>
      <c r="CE769" s="1"/>
      <c r="CF769" s="1"/>
      <c r="CG769" s="1"/>
    </row>
    <row r="770" spans="1:85" ht="15.75" customHeight="1">
      <c r="A770" s="313"/>
      <c r="B770" s="418"/>
      <c r="C770" s="418"/>
      <c r="D770" s="221"/>
      <c r="E770" s="335"/>
      <c r="F770" s="234"/>
      <c r="G770" s="234"/>
      <c r="H770" s="234"/>
      <c r="I770" s="331"/>
      <c r="J770" s="331"/>
      <c r="K770" s="234"/>
      <c r="L770" s="332"/>
      <c r="M770" s="234"/>
      <c r="N770" s="234"/>
      <c r="O770" s="234"/>
      <c r="P770" s="234"/>
      <c r="Q770" s="234"/>
      <c r="R770" s="234"/>
      <c r="S770" s="234"/>
      <c r="T770" s="234"/>
      <c r="U770" s="388"/>
      <c r="V770" s="388"/>
      <c r="W770" s="388"/>
      <c r="X770" s="331"/>
      <c r="Y770" s="331"/>
      <c r="Z770" s="331"/>
      <c r="AA770" s="234"/>
      <c r="AB770" s="234"/>
      <c r="AC770" s="234"/>
      <c r="AD770" s="234"/>
      <c r="AE770" s="334"/>
      <c r="AF770" s="334"/>
      <c r="AG770" s="334"/>
      <c r="AH770" s="334"/>
      <c r="AI770" s="234"/>
      <c r="AJ770" s="234"/>
      <c r="AK770" s="234"/>
      <c r="AL770" s="234"/>
      <c r="AM770" s="234"/>
      <c r="AN770" s="234"/>
      <c r="AO770" s="234"/>
      <c r="AP770" s="234"/>
      <c r="AQ770" s="234"/>
      <c r="AR770" s="234"/>
      <c r="AS770" s="234"/>
      <c r="AT770" s="234"/>
      <c r="AU770" s="234"/>
      <c r="AV770" s="234"/>
      <c r="AW770" s="234"/>
      <c r="AX770" s="234"/>
      <c r="AY770" s="234"/>
      <c r="AZ770" s="234"/>
      <c r="BA770" s="234"/>
      <c r="BB770" s="234"/>
      <c r="BC770" s="234"/>
      <c r="BD770" s="234"/>
      <c r="BE770" s="234"/>
      <c r="BF770" s="234"/>
      <c r="BG770" s="234"/>
      <c r="BH770" s="234"/>
      <c r="BI770" s="234"/>
      <c r="BJ770" s="234"/>
      <c r="BK770" s="234"/>
      <c r="BL770" s="234"/>
      <c r="BM770" s="234"/>
      <c r="BN770" s="234"/>
      <c r="BO770" s="235"/>
      <c r="BP770" s="234"/>
      <c r="BQ770" s="234"/>
      <c r="BR770" s="234"/>
      <c r="BS770" s="234"/>
      <c r="BT770" s="234"/>
      <c r="BU770" s="234"/>
      <c r="BV770" s="234"/>
      <c r="BW770" s="234"/>
      <c r="BX770" s="1"/>
      <c r="BY770" s="1"/>
      <c r="BZ770" s="1"/>
      <c r="CA770" s="1"/>
      <c r="CB770" s="1"/>
      <c r="CC770" s="1"/>
      <c r="CD770" s="1"/>
      <c r="CE770" s="1"/>
      <c r="CF770" s="1"/>
      <c r="CG770" s="1"/>
    </row>
    <row r="771" spans="1:85" ht="15.75" customHeight="1">
      <c r="A771" s="313"/>
      <c r="B771" s="418"/>
      <c r="C771" s="418"/>
      <c r="D771" s="221"/>
      <c r="E771" s="335"/>
      <c r="F771" s="234"/>
      <c r="G771" s="234"/>
      <c r="H771" s="234"/>
      <c r="I771" s="331"/>
      <c r="J771" s="331"/>
      <c r="K771" s="234"/>
      <c r="L771" s="332"/>
      <c r="M771" s="234"/>
      <c r="N771" s="234"/>
      <c r="O771" s="234"/>
      <c r="P771" s="234"/>
      <c r="Q771" s="234"/>
      <c r="R771" s="234"/>
      <c r="S771" s="234"/>
      <c r="T771" s="234"/>
      <c r="U771" s="388"/>
      <c r="V771" s="388"/>
      <c r="W771" s="388"/>
      <c r="X771" s="331"/>
      <c r="Y771" s="331"/>
      <c r="Z771" s="331"/>
      <c r="AA771" s="234"/>
      <c r="AB771" s="234"/>
      <c r="AC771" s="234"/>
      <c r="AD771" s="234"/>
      <c r="AE771" s="334"/>
      <c r="AF771" s="334"/>
      <c r="AG771" s="334"/>
      <c r="AH771" s="334"/>
      <c r="AI771" s="234"/>
      <c r="AJ771" s="234"/>
      <c r="AK771" s="234"/>
      <c r="AL771" s="234"/>
      <c r="AM771" s="234"/>
      <c r="AN771" s="234"/>
      <c r="AO771" s="234"/>
      <c r="AP771" s="234"/>
      <c r="AQ771" s="234"/>
      <c r="AR771" s="234"/>
      <c r="AS771" s="234"/>
      <c r="AT771" s="234"/>
      <c r="AU771" s="234"/>
      <c r="AV771" s="234"/>
      <c r="AW771" s="234"/>
      <c r="AX771" s="234"/>
      <c r="AY771" s="234"/>
      <c r="AZ771" s="234"/>
      <c r="BA771" s="234"/>
      <c r="BB771" s="234"/>
      <c r="BC771" s="234"/>
      <c r="BD771" s="234"/>
      <c r="BE771" s="234"/>
      <c r="BF771" s="234"/>
      <c r="BG771" s="234"/>
      <c r="BH771" s="234"/>
      <c r="BI771" s="234"/>
      <c r="BJ771" s="234"/>
      <c r="BK771" s="234"/>
      <c r="BL771" s="234"/>
      <c r="BM771" s="234"/>
      <c r="BN771" s="234"/>
      <c r="BO771" s="235"/>
      <c r="BP771" s="234"/>
      <c r="BQ771" s="234"/>
      <c r="BR771" s="234"/>
      <c r="BS771" s="234"/>
      <c r="BT771" s="234"/>
      <c r="BU771" s="234"/>
      <c r="BV771" s="234"/>
      <c r="BW771" s="234"/>
      <c r="BX771" s="1"/>
      <c r="BY771" s="1"/>
      <c r="BZ771" s="1"/>
      <c r="CA771" s="1"/>
      <c r="CB771" s="1"/>
      <c r="CC771" s="1"/>
      <c r="CD771" s="1"/>
      <c r="CE771" s="1"/>
      <c r="CF771" s="1"/>
      <c r="CG771" s="1"/>
    </row>
    <row r="772" spans="1:85" ht="15.75" customHeight="1">
      <c r="A772" s="313"/>
      <c r="B772" s="418"/>
      <c r="C772" s="418"/>
      <c r="D772" s="221"/>
      <c r="E772" s="335"/>
      <c r="F772" s="234"/>
      <c r="G772" s="234"/>
      <c r="H772" s="234"/>
      <c r="I772" s="331"/>
      <c r="J772" s="331"/>
      <c r="K772" s="234"/>
      <c r="L772" s="332"/>
      <c r="M772" s="234"/>
      <c r="N772" s="234"/>
      <c r="O772" s="234"/>
      <c r="P772" s="234"/>
      <c r="Q772" s="234"/>
      <c r="R772" s="234"/>
      <c r="S772" s="234"/>
      <c r="T772" s="234"/>
      <c r="U772" s="388"/>
      <c r="V772" s="388"/>
      <c r="W772" s="388"/>
      <c r="X772" s="331"/>
      <c r="Y772" s="331"/>
      <c r="Z772" s="331"/>
      <c r="AA772" s="234"/>
      <c r="AB772" s="234"/>
      <c r="AC772" s="234"/>
      <c r="AD772" s="234"/>
      <c r="AE772" s="334"/>
      <c r="AF772" s="334"/>
      <c r="AG772" s="334"/>
      <c r="AH772" s="334"/>
      <c r="AI772" s="234"/>
      <c r="AJ772" s="234"/>
      <c r="AK772" s="234"/>
      <c r="AL772" s="234"/>
      <c r="AM772" s="234"/>
      <c r="AN772" s="234"/>
      <c r="AO772" s="234"/>
      <c r="AP772" s="234"/>
      <c r="AQ772" s="234"/>
      <c r="AR772" s="234"/>
      <c r="AS772" s="234"/>
      <c r="AT772" s="234"/>
      <c r="AU772" s="234"/>
      <c r="AV772" s="234"/>
      <c r="AW772" s="234"/>
      <c r="AX772" s="234"/>
      <c r="AY772" s="234"/>
      <c r="AZ772" s="234"/>
      <c r="BA772" s="234"/>
      <c r="BB772" s="234"/>
      <c r="BC772" s="234"/>
      <c r="BD772" s="234"/>
      <c r="BE772" s="234"/>
      <c r="BF772" s="234"/>
      <c r="BG772" s="234"/>
      <c r="BH772" s="234"/>
      <c r="BI772" s="234"/>
      <c r="BJ772" s="234"/>
      <c r="BK772" s="234"/>
      <c r="BL772" s="234"/>
      <c r="BM772" s="234"/>
      <c r="BN772" s="234"/>
      <c r="BO772" s="235"/>
      <c r="BP772" s="234"/>
      <c r="BQ772" s="234"/>
      <c r="BR772" s="234"/>
      <c r="BS772" s="234"/>
      <c r="BT772" s="234"/>
      <c r="BU772" s="234"/>
      <c r="BV772" s="234"/>
      <c r="BW772" s="234"/>
      <c r="BX772" s="1"/>
      <c r="BY772" s="1"/>
      <c r="BZ772" s="1"/>
      <c r="CA772" s="1"/>
      <c r="CB772" s="1"/>
      <c r="CC772" s="1"/>
      <c r="CD772" s="1"/>
      <c r="CE772" s="1"/>
      <c r="CF772" s="1"/>
      <c r="CG772" s="1"/>
    </row>
    <row r="773" spans="1:85" ht="15.75" customHeight="1">
      <c r="A773" s="313"/>
      <c r="B773" s="418"/>
      <c r="C773" s="418"/>
      <c r="D773" s="221"/>
      <c r="E773" s="335"/>
      <c r="F773" s="234"/>
      <c r="G773" s="234"/>
      <c r="H773" s="234"/>
      <c r="I773" s="331"/>
      <c r="J773" s="331"/>
      <c r="K773" s="234"/>
      <c r="L773" s="332"/>
      <c r="M773" s="234"/>
      <c r="N773" s="234"/>
      <c r="O773" s="234"/>
      <c r="P773" s="234"/>
      <c r="Q773" s="234"/>
      <c r="R773" s="234"/>
      <c r="S773" s="234"/>
      <c r="T773" s="234"/>
      <c r="U773" s="388"/>
      <c r="V773" s="388"/>
      <c r="W773" s="388"/>
      <c r="X773" s="331"/>
      <c r="Y773" s="331"/>
      <c r="Z773" s="331"/>
      <c r="AA773" s="234"/>
      <c r="AB773" s="234"/>
      <c r="AC773" s="234"/>
      <c r="AD773" s="234"/>
      <c r="AE773" s="334"/>
      <c r="AF773" s="334"/>
      <c r="AG773" s="334"/>
      <c r="AH773" s="334"/>
      <c r="AI773" s="234"/>
      <c r="AJ773" s="234"/>
      <c r="AK773" s="234"/>
      <c r="AL773" s="234"/>
      <c r="AM773" s="234"/>
      <c r="AN773" s="234"/>
      <c r="AO773" s="234"/>
      <c r="AP773" s="234"/>
      <c r="AQ773" s="234"/>
      <c r="AR773" s="234"/>
      <c r="AS773" s="234"/>
      <c r="AT773" s="234"/>
      <c r="AU773" s="234"/>
      <c r="AV773" s="234"/>
      <c r="AW773" s="234"/>
      <c r="AX773" s="234"/>
      <c r="AY773" s="234"/>
      <c r="AZ773" s="234"/>
      <c r="BA773" s="234"/>
      <c r="BB773" s="234"/>
      <c r="BC773" s="234"/>
      <c r="BD773" s="234"/>
      <c r="BE773" s="234"/>
      <c r="BF773" s="234"/>
      <c r="BG773" s="234"/>
      <c r="BH773" s="234"/>
      <c r="BI773" s="234"/>
      <c r="BJ773" s="234"/>
      <c r="BK773" s="234"/>
      <c r="BL773" s="234"/>
      <c r="BM773" s="234"/>
      <c r="BN773" s="234"/>
      <c r="BO773" s="235"/>
      <c r="BP773" s="234"/>
      <c r="BQ773" s="234"/>
      <c r="BR773" s="234"/>
      <c r="BS773" s="234"/>
      <c r="BT773" s="234"/>
      <c r="BU773" s="234"/>
      <c r="BV773" s="234"/>
      <c r="BW773" s="234"/>
      <c r="BX773" s="1"/>
      <c r="BY773" s="1"/>
      <c r="BZ773" s="1"/>
      <c r="CA773" s="1"/>
      <c r="CB773" s="1"/>
      <c r="CC773" s="1"/>
      <c r="CD773" s="1"/>
      <c r="CE773" s="1"/>
      <c r="CF773" s="1"/>
      <c r="CG773" s="1"/>
    </row>
    <row r="774" spans="1:85" ht="15.75" customHeight="1">
      <c r="A774" s="313"/>
      <c r="B774" s="418"/>
      <c r="C774" s="418"/>
      <c r="D774" s="221"/>
      <c r="E774" s="335"/>
      <c r="F774" s="234"/>
      <c r="G774" s="234"/>
      <c r="H774" s="234"/>
      <c r="I774" s="331"/>
      <c r="J774" s="331"/>
      <c r="K774" s="234"/>
      <c r="L774" s="332"/>
      <c r="M774" s="234"/>
      <c r="N774" s="234"/>
      <c r="O774" s="234"/>
      <c r="P774" s="234"/>
      <c r="Q774" s="234"/>
      <c r="R774" s="234"/>
      <c r="S774" s="234"/>
      <c r="T774" s="234"/>
      <c r="U774" s="388"/>
      <c r="V774" s="388"/>
      <c r="W774" s="388"/>
      <c r="X774" s="331"/>
      <c r="Y774" s="331"/>
      <c r="Z774" s="331"/>
      <c r="AA774" s="234"/>
      <c r="AB774" s="234"/>
      <c r="AC774" s="234"/>
      <c r="AD774" s="234"/>
      <c r="AE774" s="334"/>
      <c r="AF774" s="334"/>
      <c r="AG774" s="334"/>
      <c r="AH774" s="334"/>
      <c r="AI774" s="234"/>
      <c r="AJ774" s="234"/>
      <c r="AK774" s="234"/>
      <c r="AL774" s="234"/>
      <c r="AM774" s="234"/>
      <c r="AN774" s="234"/>
      <c r="AO774" s="234"/>
      <c r="AP774" s="234"/>
      <c r="AQ774" s="234"/>
      <c r="AR774" s="234"/>
      <c r="AS774" s="234"/>
      <c r="AT774" s="234"/>
      <c r="AU774" s="234"/>
      <c r="AV774" s="234"/>
      <c r="AW774" s="234"/>
      <c r="AX774" s="234"/>
      <c r="AY774" s="234"/>
      <c r="AZ774" s="234"/>
      <c r="BA774" s="234"/>
      <c r="BB774" s="234"/>
      <c r="BC774" s="234"/>
      <c r="BD774" s="234"/>
      <c r="BE774" s="234"/>
      <c r="BF774" s="234"/>
      <c r="BG774" s="234"/>
      <c r="BH774" s="234"/>
      <c r="BI774" s="234"/>
      <c r="BJ774" s="234"/>
      <c r="BK774" s="234"/>
      <c r="BL774" s="234"/>
      <c r="BM774" s="234"/>
      <c r="BN774" s="234"/>
      <c r="BO774" s="235"/>
      <c r="BP774" s="234"/>
      <c r="BQ774" s="234"/>
      <c r="BR774" s="234"/>
      <c r="BS774" s="234"/>
      <c r="BT774" s="234"/>
      <c r="BU774" s="234"/>
      <c r="BV774" s="234"/>
      <c r="BW774" s="234"/>
      <c r="BX774" s="1"/>
      <c r="BY774" s="1"/>
      <c r="BZ774" s="1"/>
      <c r="CA774" s="1"/>
      <c r="CB774" s="1"/>
      <c r="CC774" s="1"/>
      <c r="CD774" s="1"/>
      <c r="CE774" s="1"/>
      <c r="CF774" s="1"/>
      <c r="CG774" s="1"/>
    </row>
    <row r="775" spans="1:85" ht="15.75" customHeight="1">
      <c r="A775" s="313"/>
      <c r="B775" s="418"/>
      <c r="C775" s="418"/>
      <c r="D775" s="221"/>
      <c r="E775" s="335"/>
      <c r="F775" s="234"/>
      <c r="G775" s="234"/>
      <c r="H775" s="234"/>
      <c r="I775" s="331"/>
      <c r="J775" s="331"/>
      <c r="K775" s="234"/>
      <c r="L775" s="332"/>
      <c r="M775" s="234"/>
      <c r="N775" s="234"/>
      <c r="O775" s="234"/>
      <c r="P775" s="234"/>
      <c r="Q775" s="234"/>
      <c r="R775" s="234"/>
      <c r="S775" s="234"/>
      <c r="T775" s="234"/>
      <c r="U775" s="388"/>
      <c r="V775" s="388"/>
      <c r="W775" s="388"/>
      <c r="X775" s="331"/>
      <c r="Y775" s="331"/>
      <c r="Z775" s="331"/>
      <c r="AA775" s="234"/>
      <c r="AB775" s="234"/>
      <c r="AC775" s="234"/>
      <c r="AD775" s="234"/>
      <c r="AE775" s="334"/>
      <c r="AF775" s="334"/>
      <c r="AG775" s="334"/>
      <c r="AH775" s="334"/>
      <c r="AI775" s="234"/>
      <c r="AJ775" s="234"/>
      <c r="AK775" s="234"/>
      <c r="AL775" s="234"/>
      <c r="AM775" s="234"/>
      <c r="AN775" s="234"/>
      <c r="AO775" s="234"/>
      <c r="AP775" s="234"/>
      <c r="AQ775" s="234"/>
      <c r="AR775" s="234"/>
      <c r="AS775" s="234"/>
      <c r="AT775" s="234"/>
      <c r="AU775" s="234"/>
      <c r="AV775" s="234"/>
      <c r="AW775" s="234"/>
      <c r="AX775" s="234"/>
      <c r="AY775" s="234"/>
      <c r="AZ775" s="234"/>
      <c r="BA775" s="234"/>
      <c r="BB775" s="234"/>
      <c r="BC775" s="234"/>
      <c r="BD775" s="234"/>
      <c r="BE775" s="234"/>
      <c r="BF775" s="234"/>
      <c r="BG775" s="234"/>
      <c r="BH775" s="234"/>
      <c r="BI775" s="234"/>
      <c r="BJ775" s="234"/>
      <c r="BK775" s="234"/>
      <c r="BL775" s="234"/>
      <c r="BM775" s="234"/>
      <c r="BN775" s="234"/>
      <c r="BO775" s="235"/>
      <c r="BP775" s="234"/>
      <c r="BQ775" s="234"/>
      <c r="BR775" s="234"/>
      <c r="BS775" s="234"/>
      <c r="BT775" s="234"/>
      <c r="BU775" s="234"/>
      <c r="BV775" s="234"/>
      <c r="BW775" s="234"/>
      <c r="BX775" s="1"/>
      <c r="BY775" s="1"/>
      <c r="BZ775" s="1"/>
      <c r="CA775" s="1"/>
      <c r="CB775" s="1"/>
      <c r="CC775" s="1"/>
      <c r="CD775" s="1"/>
      <c r="CE775" s="1"/>
      <c r="CF775" s="1"/>
      <c r="CG775" s="1"/>
    </row>
    <row r="776" spans="1:85" ht="15.75" customHeight="1">
      <c r="A776" s="313"/>
      <c r="B776" s="418"/>
      <c r="C776" s="418"/>
      <c r="D776" s="221"/>
      <c r="E776" s="335"/>
      <c r="F776" s="234"/>
      <c r="G776" s="234"/>
      <c r="H776" s="234"/>
      <c r="I776" s="331"/>
      <c r="J776" s="331"/>
      <c r="K776" s="234"/>
      <c r="L776" s="332"/>
      <c r="M776" s="234"/>
      <c r="N776" s="234"/>
      <c r="O776" s="234"/>
      <c r="P776" s="234"/>
      <c r="Q776" s="234"/>
      <c r="R776" s="234"/>
      <c r="S776" s="234"/>
      <c r="T776" s="234"/>
      <c r="U776" s="388"/>
      <c r="V776" s="388"/>
      <c r="W776" s="388"/>
      <c r="X776" s="331"/>
      <c r="Y776" s="331"/>
      <c r="Z776" s="331"/>
      <c r="AA776" s="234"/>
      <c r="AB776" s="234"/>
      <c r="AC776" s="234"/>
      <c r="AD776" s="234"/>
      <c r="AE776" s="334"/>
      <c r="AF776" s="334"/>
      <c r="AG776" s="334"/>
      <c r="AH776" s="334"/>
      <c r="AI776" s="234"/>
      <c r="AJ776" s="234"/>
      <c r="AK776" s="234"/>
      <c r="AL776" s="234"/>
      <c r="AM776" s="234"/>
      <c r="AN776" s="234"/>
      <c r="AO776" s="234"/>
      <c r="AP776" s="234"/>
      <c r="AQ776" s="234"/>
      <c r="AR776" s="234"/>
      <c r="AS776" s="234"/>
      <c r="AT776" s="234"/>
      <c r="AU776" s="234"/>
      <c r="AV776" s="234"/>
      <c r="AW776" s="234"/>
      <c r="AX776" s="234"/>
      <c r="AY776" s="234"/>
      <c r="AZ776" s="234"/>
      <c r="BA776" s="234"/>
      <c r="BB776" s="234"/>
      <c r="BC776" s="234"/>
      <c r="BD776" s="234"/>
      <c r="BE776" s="234"/>
      <c r="BF776" s="234"/>
      <c r="BG776" s="234"/>
      <c r="BH776" s="234"/>
      <c r="BI776" s="234"/>
      <c r="BJ776" s="234"/>
      <c r="BK776" s="234"/>
      <c r="BL776" s="234"/>
      <c r="BM776" s="234"/>
      <c r="BN776" s="234"/>
      <c r="BO776" s="235"/>
      <c r="BP776" s="234"/>
      <c r="BQ776" s="234"/>
      <c r="BR776" s="234"/>
      <c r="BS776" s="234"/>
      <c r="BT776" s="234"/>
      <c r="BU776" s="234"/>
      <c r="BV776" s="234"/>
      <c r="BW776" s="234"/>
      <c r="BX776" s="1"/>
      <c r="BY776" s="1"/>
      <c r="BZ776" s="1"/>
      <c r="CA776" s="1"/>
      <c r="CB776" s="1"/>
      <c r="CC776" s="1"/>
      <c r="CD776" s="1"/>
      <c r="CE776" s="1"/>
      <c r="CF776" s="1"/>
      <c r="CG776" s="1"/>
    </row>
    <row r="777" spans="1:85" ht="15.75" customHeight="1">
      <c r="A777" s="313"/>
      <c r="B777" s="418"/>
      <c r="C777" s="418"/>
      <c r="D777" s="221"/>
      <c r="E777" s="335"/>
      <c r="F777" s="234"/>
      <c r="G777" s="234"/>
      <c r="H777" s="234"/>
      <c r="I777" s="331"/>
      <c r="J777" s="331"/>
      <c r="K777" s="234"/>
      <c r="L777" s="332"/>
      <c r="M777" s="234"/>
      <c r="N777" s="234"/>
      <c r="O777" s="234"/>
      <c r="P777" s="234"/>
      <c r="Q777" s="234"/>
      <c r="R777" s="234"/>
      <c r="S777" s="234"/>
      <c r="T777" s="234"/>
      <c r="U777" s="388"/>
      <c r="V777" s="388"/>
      <c r="W777" s="388"/>
      <c r="X777" s="331"/>
      <c r="Y777" s="331"/>
      <c r="Z777" s="331"/>
      <c r="AA777" s="234"/>
      <c r="AB777" s="234"/>
      <c r="AC777" s="234"/>
      <c r="AD777" s="234"/>
      <c r="AE777" s="334"/>
      <c r="AF777" s="334"/>
      <c r="AG777" s="334"/>
      <c r="AH777" s="334"/>
      <c r="AI777" s="234"/>
      <c r="AJ777" s="234"/>
      <c r="AK777" s="234"/>
      <c r="AL777" s="234"/>
      <c r="AM777" s="234"/>
      <c r="AN777" s="234"/>
      <c r="AO777" s="234"/>
      <c r="AP777" s="234"/>
      <c r="AQ777" s="234"/>
      <c r="AR777" s="234"/>
      <c r="AS777" s="234"/>
      <c r="AT777" s="234"/>
      <c r="AU777" s="234"/>
      <c r="AV777" s="234"/>
      <c r="AW777" s="234"/>
      <c r="AX777" s="234"/>
      <c r="AY777" s="234"/>
      <c r="AZ777" s="234"/>
      <c r="BA777" s="234"/>
      <c r="BB777" s="234"/>
      <c r="BC777" s="234"/>
      <c r="BD777" s="234"/>
      <c r="BE777" s="234"/>
      <c r="BF777" s="234"/>
      <c r="BG777" s="234"/>
      <c r="BH777" s="234"/>
      <c r="BI777" s="234"/>
      <c r="BJ777" s="234"/>
      <c r="BK777" s="234"/>
      <c r="BL777" s="234"/>
      <c r="BM777" s="234"/>
      <c r="BN777" s="234"/>
      <c r="BO777" s="235"/>
      <c r="BP777" s="234"/>
      <c r="BQ777" s="234"/>
      <c r="BR777" s="234"/>
      <c r="BS777" s="234"/>
      <c r="BT777" s="234"/>
      <c r="BU777" s="234"/>
      <c r="BV777" s="234"/>
      <c r="BW777" s="234"/>
      <c r="BX777" s="1"/>
      <c r="BY777" s="1"/>
      <c r="BZ777" s="1"/>
      <c r="CA777" s="1"/>
      <c r="CB777" s="1"/>
      <c r="CC777" s="1"/>
      <c r="CD777" s="1"/>
      <c r="CE777" s="1"/>
      <c r="CF777" s="1"/>
      <c r="CG777" s="1"/>
    </row>
    <row r="778" spans="1:85" ht="15.75" customHeight="1">
      <c r="A778" s="313"/>
      <c r="B778" s="418"/>
      <c r="C778" s="418"/>
      <c r="D778" s="221"/>
      <c r="E778" s="335"/>
      <c r="F778" s="234"/>
      <c r="G778" s="234"/>
      <c r="H778" s="234"/>
      <c r="I778" s="331"/>
      <c r="J778" s="331"/>
      <c r="K778" s="234"/>
      <c r="L778" s="332"/>
      <c r="M778" s="234"/>
      <c r="N778" s="234"/>
      <c r="O778" s="234"/>
      <c r="P778" s="234"/>
      <c r="Q778" s="234"/>
      <c r="R778" s="234"/>
      <c r="S778" s="234"/>
      <c r="T778" s="234"/>
      <c r="U778" s="388"/>
      <c r="V778" s="388"/>
      <c r="W778" s="388"/>
      <c r="X778" s="331"/>
      <c r="Y778" s="331"/>
      <c r="Z778" s="331"/>
      <c r="AA778" s="234"/>
      <c r="AB778" s="234"/>
      <c r="AC778" s="234"/>
      <c r="AD778" s="234"/>
      <c r="AE778" s="334"/>
      <c r="AF778" s="334"/>
      <c r="AG778" s="334"/>
      <c r="AH778" s="334"/>
      <c r="AI778" s="234"/>
      <c r="AJ778" s="234"/>
      <c r="AK778" s="234"/>
      <c r="AL778" s="234"/>
      <c r="AM778" s="234"/>
      <c r="AN778" s="234"/>
      <c r="AO778" s="234"/>
      <c r="AP778" s="234"/>
      <c r="AQ778" s="234"/>
      <c r="AR778" s="234"/>
      <c r="AS778" s="234"/>
      <c r="AT778" s="234"/>
      <c r="AU778" s="234"/>
      <c r="AV778" s="234"/>
      <c r="AW778" s="234"/>
      <c r="AX778" s="234"/>
      <c r="AY778" s="234"/>
      <c r="AZ778" s="234"/>
      <c r="BA778" s="234"/>
      <c r="BB778" s="234"/>
      <c r="BC778" s="234"/>
      <c r="BD778" s="234"/>
      <c r="BE778" s="234"/>
      <c r="BF778" s="234"/>
      <c r="BG778" s="234"/>
      <c r="BH778" s="234"/>
      <c r="BI778" s="234"/>
      <c r="BJ778" s="234"/>
      <c r="BK778" s="234"/>
      <c r="BL778" s="234"/>
      <c r="BM778" s="234"/>
      <c r="BN778" s="234"/>
      <c r="BO778" s="235"/>
      <c r="BP778" s="234"/>
      <c r="BQ778" s="234"/>
      <c r="BR778" s="234"/>
      <c r="BS778" s="234"/>
      <c r="BT778" s="234"/>
      <c r="BU778" s="234"/>
      <c r="BV778" s="234"/>
      <c r="BW778" s="234"/>
      <c r="BX778" s="1"/>
      <c r="BY778" s="1"/>
      <c r="BZ778" s="1"/>
      <c r="CA778" s="1"/>
      <c r="CB778" s="1"/>
      <c r="CC778" s="1"/>
      <c r="CD778" s="1"/>
      <c r="CE778" s="1"/>
      <c r="CF778" s="1"/>
      <c r="CG778" s="1"/>
    </row>
    <row r="779" spans="1:85" ht="15.75" customHeight="1">
      <c r="A779" s="313"/>
      <c r="B779" s="418"/>
      <c r="C779" s="418"/>
      <c r="D779" s="221"/>
      <c r="E779" s="335"/>
      <c r="F779" s="234"/>
      <c r="G779" s="234"/>
      <c r="H779" s="234"/>
      <c r="I779" s="331"/>
      <c r="J779" s="331"/>
      <c r="K779" s="234"/>
      <c r="L779" s="332"/>
      <c r="M779" s="234"/>
      <c r="N779" s="234"/>
      <c r="O779" s="234"/>
      <c r="P779" s="234"/>
      <c r="Q779" s="234"/>
      <c r="R779" s="234"/>
      <c r="S779" s="234"/>
      <c r="T779" s="234"/>
      <c r="U779" s="388"/>
      <c r="V779" s="388"/>
      <c r="W779" s="388"/>
      <c r="X779" s="331"/>
      <c r="Y779" s="331"/>
      <c r="Z779" s="331"/>
      <c r="AA779" s="234"/>
      <c r="AB779" s="234"/>
      <c r="AC779" s="234"/>
      <c r="AD779" s="234"/>
      <c r="AE779" s="334"/>
      <c r="AF779" s="334"/>
      <c r="AG779" s="334"/>
      <c r="AH779" s="334"/>
      <c r="AI779" s="234"/>
      <c r="AJ779" s="234"/>
      <c r="AK779" s="234"/>
      <c r="AL779" s="234"/>
      <c r="AM779" s="234"/>
      <c r="AN779" s="234"/>
      <c r="AO779" s="234"/>
      <c r="AP779" s="234"/>
      <c r="AQ779" s="234"/>
      <c r="AR779" s="234"/>
      <c r="AS779" s="234"/>
      <c r="AT779" s="234"/>
      <c r="AU779" s="234"/>
      <c r="AV779" s="234"/>
      <c r="AW779" s="234"/>
      <c r="AX779" s="234"/>
      <c r="AY779" s="234"/>
      <c r="AZ779" s="234"/>
      <c r="BA779" s="234"/>
      <c r="BB779" s="234"/>
      <c r="BC779" s="234"/>
      <c r="BD779" s="234"/>
      <c r="BE779" s="234"/>
      <c r="BF779" s="234"/>
      <c r="BG779" s="234"/>
      <c r="BH779" s="234"/>
      <c r="BI779" s="234"/>
      <c r="BJ779" s="234"/>
      <c r="BK779" s="234"/>
      <c r="BL779" s="234"/>
      <c r="BM779" s="234"/>
      <c r="BN779" s="234"/>
      <c r="BO779" s="235"/>
      <c r="BP779" s="234"/>
      <c r="BQ779" s="234"/>
      <c r="BR779" s="234"/>
      <c r="BS779" s="234"/>
      <c r="BT779" s="234"/>
      <c r="BU779" s="234"/>
      <c r="BV779" s="234"/>
      <c r="BW779" s="234"/>
      <c r="BX779" s="1"/>
      <c r="BY779" s="1"/>
      <c r="BZ779" s="1"/>
      <c r="CA779" s="1"/>
      <c r="CB779" s="1"/>
      <c r="CC779" s="1"/>
      <c r="CD779" s="1"/>
      <c r="CE779" s="1"/>
      <c r="CF779" s="1"/>
      <c r="CG779" s="1"/>
    </row>
    <row r="780" spans="1:85" ht="15.75" customHeight="1">
      <c r="A780" s="313"/>
      <c r="B780" s="418"/>
      <c r="C780" s="418"/>
      <c r="D780" s="221"/>
      <c r="E780" s="335"/>
      <c r="F780" s="234"/>
      <c r="G780" s="234"/>
      <c r="H780" s="234"/>
      <c r="I780" s="331"/>
      <c r="J780" s="331"/>
      <c r="K780" s="234"/>
      <c r="L780" s="332"/>
      <c r="M780" s="234"/>
      <c r="N780" s="234"/>
      <c r="O780" s="234"/>
      <c r="P780" s="234"/>
      <c r="Q780" s="234"/>
      <c r="R780" s="234"/>
      <c r="S780" s="234"/>
      <c r="T780" s="234"/>
      <c r="U780" s="388"/>
      <c r="V780" s="388"/>
      <c r="W780" s="388"/>
      <c r="X780" s="331"/>
      <c r="Y780" s="331"/>
      <c r="Z780" s="331"/>
      <c r="AA780" s="234"/>
      <c r="AB780" s="234"/>
      <c r="AC780" s="234"/>
      <c r="AD780" s="234"/>
      <c r="AE780" s="334"/>
      <c r="AF780" s="334"/>
      <c r="AG780" s="334"/>
      <c r="AH780" s="334"/>
      <c r="AI780" s="234"/>
      <c r="AJ780" s="234"/>
      <c r="AK780" s="234"/>
      <c r="AL780" s="234"/>
      <c r="AM780" s="234"/>
      <c r="AN780" s="234"/>
      <c r="AO780" s="234"/>
      <c r="AP780" s="234"/>
      <c r="AQ780" s="234"/>
      <c r="AR780" s="234"/>
      <c r="AS780" s="234"/>
      <c r="AT780" s="234"/>
      <c r="AU780" s="234"/>
      <c r="AV780" s="234"/>
      <c r="AW780" s="234"/>
      <c r="AX780" s="234"/>
      <c r="AY780" s="234"/>
      <c r="AZ780" s="234"/>
      <c r="BA780" s="234"/>
      <c r="BB780" s="234"/>
      <c r="BC780" s="234"/>
      <c r="BD780" s="234"/>
      <c r="BE780" s="234"/>
      <c r="BF780" s="234"/>
      <c r="BG780" s="234"/>
      <c r="BH780" s="234"/>
      <c r="BI780" s="234"/>
      <c r="BJ780" s="234"/>
      <c r="BK780" s="234"/>
      <c r="BL780" s="234"/>
      <c r="BM780" s="234"/>
      <c r="BN780" s="234"/>
      <c r="BO780" s="235"/>
      <c r="BP780" s="234"/>
      <c r="BQ780" s="234"/>
      <c r="BR780" s="234"/>
      <c r="BS780" s="234"/>
      <c r="BT780" s="234"/>
      <c r="BU780" s="234"/>
      <c r="BV780" s="234"/>
      <c r="BW780" s="234"/>
      <c r="BX780" s="1"/>
      <c r="BY780" s="1"/>
      <c r="BZ780" s="1"/>
      <c r="CA780" s="1"/>
      <c r="CB780" s="1"/>
      <c r="CC780" s="1"/>
      <c r="CD780" s="1"/>
      <c r="CE780" s="1"/>
      <c r="CF780" s="1"/>
      <c r="CG780" s="1"/>
    </row>
    <row r="781" spans="1:85" ht="15.75" customHeight="1">
      <c r="A781" s="313"/>
      <c r="B781" s="418"/>
      <c r="C781" s="418"/>
      <c r="D781" s="221"/>
      <c r="E781" s="335"/>
      <c r="F781" s="234"/>
      <c r="G781" s="234"/>
      <c r="H781" s="234"/>
      <c r="I781" s="331"/>
      <c r="J781" s="331"/>
      <c r="K781" s="234"/>
      <c r="L781" s="332"/>
      <c r="M781" s="234"/>
      <c r="N781" s="234"/>
      <c r="O781" s="234"/>
      <c r="P781" s="234"/>
      <c r="Q781" s="234"/>
      <c r="R781" s="234"/>
      <c r="S781" s="234"/>
      <c r="T781" s="234"/>
      <c r="U781" s="388"/>
      <c r="V781" s="388"/>
      <c r="W781" s="388"/>
      <c r="X781" s="331"/>
      <c r="Y781" s="331"/>
      <c r="Z781" s="331"/>
      <c r="AA781" s="234"/>
      <c r="AB781" s="234"/>
      <c r="AC781" s="234"/>
      <c r="AD781" s="234"/>
      <c r="AE781" s="334"/>
      <c r="AF781" s="334"/>
      <c r="AG781" s="334"/>
      <c r="AH781" s="334"/>
      <c r="AI781" s="234"/>
      <c r="AJ781" s="234"/>
      <c r="AK781" s="234"/>
      <c r="AL781" s="234"/>
      <c r="AM781" s="234"/>
      <c r="AN781" s="234"/>
      <c r="AO781" s="234"/>
      <c r="AP781" s="234"/>
      <c r="AQ781" s="234"/>
      <c r="AR781" s="234"/>
      <c r="AS781" s="234"/>
      <c r="AT781" s="234"/>
      <c r="AU781" s="234"/>
      <c r="AV781" s="234"/>
      <c r="AW781" s="234"/>
      <c r="AX781" s="234"/>
      <c r="AY781" s="234"/>
      <c r="AZ781" s="234"/>
      <c r="BA781" s="234"/>
      <c r="BB781" s="234"/>
      <c r="BC781" s="234"/>
      <c r="BD781" s="234"/>
      <c r="BE781" s="234"/>
      <c r="BF781" s="234"/>
      <c r="BG781" s="234"/>
      <c r="BH781" s="234"/>
      <c r="BI781" s="234"/>
      <c r="BJ781" s="234"/>
      <c r="BK781" s="234"/>
      <c r="BL781" s="234"/>
      <c r="BM781" s="234"/>
      <c r="BN781" s="234"/>
      <c r="BO781" s="235"/>
      <c r="BP781" s="234"/>
      <c r="BQ781" s="234"/>
      <c r="BR781" s="234"/>
      <c r="BS781" s="234"/>
      <c r="BT781" s="234"/>
      <c r="BU781" s="234"/>
      <c r="BV781" s="234"/>
      <c r="BW781" s="234"/>
      <c r="BX781" s="1"/>
      <c r="BY781" s="1"/>
      <c r="BZ781" s="1"/>
      <c r="CA781" s="1"/>
      <c r="CB781" s="1"/>
      <c r="CC781" s="1"/>
      <c r="CD781" s="1"/>
      <c r="CE781" s="1"/>
      <c r="CF781" s="1"/>
      <c r="CG781" s="1"/>
    </row>
    <row r="782" spans="1:85" ht="15.75" customHeight="1">
      <c r="A782" s="313"/>
      <c r="B782" s="418"/>
      <c r="C782" s="418"/>
      <c r="D782" s="221"/>
      <c r="E782" s="335"/>
      <c r="F782" s="234"/>
      <c r="G782" s="234"/>
      <c r="H782" s="234"/>
      <c r="I782" s="331"/>
      <c r="J782" s="331"/>
      <c r="K782" s="234"/>
      <c r="L782" s="332"/>
      <c r="M782" s="234"/>
      <c r="N782" s="234"/>
      <c r="O782" s="234"/>
      <c r="P782" s="234"/>
      <c r="Q782" s="234"/>
      <c r="R782" s="234"/>
      <c r="S782" s="234"/>
      <c r="T782" s="234"/>
      <c r="U782" s="388"/>
      <c r="V782" s="388"/>
      <c r="W782" s="388"/>
      <c r="X782" s="331"/>
      <c r="Y782" s="331"/>
      <c r="Z782" s="331"/>
      <c r="AA782" s="234"/>
      <c r="AB782" s="234"/>
      <c r="AC782" s="234"/>
      <c r="AD782" s="234"/>
      <c r="AE782" s="334"/>
      <c r="AF782" s="334"/>
      <c r="AG782" s="334"/>
      <c r="AH782" s="334"/>
      <c r="AI782" s="234"/>
      <c r="AJ782" s="234"/>
      <c r="AK782" s="234"/>
      <c r="AL782" s="234"/>
      <c r="AM782" s="234"/>
      <c r="AN782" s="234"/>
      <c r="AO782" s="234"/>
      <c r="AP782" s="234"/>
      <c r="AQ782" s="234"/>
      <c r="AR782" s="234"/>
      <c r="AS782" s="234"/>
      <c r="AT782" s="234"/>
      <c r="AU782" s="234"/>
      <c r="AV782" s="234"/>
      <c r="AW782" s="234"/>
      <c r="AX782" s="234"/>
      <c r="AY782" s="234"/>
      <c r="AZ782" s="234"/>
      <c r="BA782" s="234"/>
      <c r="BB782" s="234"/>
      <c r="BC782" s="234"/>
      <c r="BD782" s="234"/>
      <c r="BE782" s="234"/>
      <c r="BF782" s="234"/>
      <c r="BG782" s="234"/>
      <c r="BH782" s="234"/>
      <c r="BI782" s="234"/>
      <c r="BJ782" s="234"/>
      <c r="BK782" s="234"/>
      <c r="BL782" s="234"/>
      <c r="BM782" s="234"/>
      <c r="BN782" s="234"/>
      <c r="BO782" s="235"/>
      <c r="BP782" s="234"/>
      <c r="BQ782" s="234"/>
      <c r="BR782" s="234"/>
      <c r="BS782" s="234"/>
      <c r="BT782" s="234"/>
      <c r="BU782" s="234"/>
      <c r="BV782" s="234"/>
      <c r="BW782" s="234"/>
      <c r="BX782" s="1"/>
      <c r="BY782" s="1"/>
      <c r="BZ782" s="1"/>
      <c r="CA782" s="1"/>
      <c r="CB782" s="1"/>
      <c r="CC782" s="1"/>
      <c r="CD782" s="1"/>
      <c r="CE782" s="1"/>
      <c r="CF782" s="1"/>
      <c r="CG782" s="1"/>
    </row>
    <row r="783" spans="1:85" ht="15.75" customHeight="1">
      <c r="A783" s="313"/>
      <c r="B783" s="418"/>
      <c r="C783" s="418"/>
      <c r="D783" s="221"/>
      <c r="E783" s="335"/>
      <c r="F783" s="234"/>
      <c r="G783" s="234"/>
      <c r="H783" s="234"/>
      <c r="I783" s="331"/>
      <c r="J783" s="331"/>
      <c r="K783" s="234"/>
      <c r="L783" s="332"/>
      <c r="M783" s="234"/>
      <c r="N783" s="234"/>
      <c r="O783" s="234"/>
      <c r="P783" s="234"/>
      <c r="Q783" s="234"/>
      <c r="R783" s="234"/>
      <c r="S783" s="234"/>
      <c r="T783" s="234"/>
      <c r="U783" s="388"/>
      <c r="V783" s="388"/>
      <c r="W783" s="388"/>
      <c r="X783" s="331"/>
      <c r="Y783" s="331"/>
      <c r="Z783" s="331"/>
      <c r="AA783" s="234"/>
      <c r="AB783" s="234"/>
      <c r="AC783" s="234"/>
      <c r="AD783" s="234"/>
      <c r="AE783" s="334"/>
      <c r="AF783" s="334"/>
      <c r="AG783" s="334"/>
      <c r="AH783" s="334"/>
      <c r="AI783" s="234"/>
      <c r="AJ783" s="234"/>
      <c r="AK783" s="234"/>
      <c r="AL783" s="234"/>
      <c r="AM783" s="234"/>
      <c r="AN783" s="234"/>
      <c r="AO783" s="234"/>
      <c r="AP783" s="234"/>
      <c r="AQ783" s="234"/>
      <c r="AR783" s="234"/>
      <c r="AS783" s="234"/>
      <c r="AT783" s="234"/>
      <c r="AU783" s="234"/>
      <c r="AV783" s="234"/>
      <c r="AW783" s="234"/>
      <c r="AX783" s="234"/>
      <c r="AY783" s="234"/>
      <c r="AZ783" s="234"/>
      <c r="BA783" s="234"/>
      <c r="BB783" s="234"/>
      <c r="BC783" s="234"/>
      <c r="BD783" s="234"/>
      <c r="BE783" s="234"/>
      <c r="BF783" s="234"/>
      <c r="BG783" s="234"/>
      <c r="BH783" s="234"/>
      <c r="BI783" s="234"/>
      <c r="BJ783" s="234"/>
      <c r="BK783" s="234"/>
      <c r="BL783" s="234"/>
      <c r="BM783" s="234"/>
      <c r="BN783" s="234"/>
      <c r="BO783" s="235"/>
      <c r="BP783" s="234"/>
      <c r="BQ783" s="234"/>
      <c r="BR783" s="234"/>
      <c r="BS783" s="234"/>
      <c r="BT783" s="234"/>
      <c r="BU783" s="234"/>
      <c r="BV783" s="234"/>
      <c r="BW783" s="234"/>
      <c r="BX783" s="1"/>
      <c r="BY783" s="1"/>
      <c r="BZ783" s="1"/>
      <c r="CA783" s="1"/>
      <c r="CB783" s="1"/>
      <c r="CC783" s="1"/>
      <c r="CD783" s="1"/>
      <c r="CE783" s="1"/>
      <c r="CF783" s="1"/>
      <c r="CG783" s="1"/>
    </row>
    <row r="784" spans="1:85" ht="15.75" customHeight="1">
      <c r="A784" s="313"/>
      <c r="B784" s="418"/>
      <c r="C784" s="418"/>
      <c r="D784" s="221"/>
      <c r="E784" s="335"/>
      <c r="F784" s="234"/>
      <c r="G784" s="234"/>
      <c r="H784" s="234"/>
      <c r="I784" s="331"/>
      <c r="J784" s="331"/>
      <c r="K784" s="234"/>
      <c r="L784" s="332"/>
      <c r="M784" s="234"/>
      <c r="N784" s="234"/>
      <c r="O784" s="234"/>
      <c r="P784" s="234"/>
      <c r="Q784" s="234"/>
      <c r="R784" s="234"/>
      <c r="S784" s="234"/>
      <c r="T784" s="234"/>
      <c r="U784" s="388"/>
      <c r="V784" s="388"/>
      <c r="W784" s="388"/>
      <c r="X784" s="331"/>
      <c r="Y784" s="331"/>
      <c r="Z784" s="331"/>
      <c r="AA784" s="234"/>
      <c r="AB784" s="234"/>
      <c r="AC784" s="234"/>
      <c r="AD784" s="234"/>
      <c r="AE784" s="334"/>
      <c r="AF784" s="334"/>
      <c r="AG784" s="334"/>
      <c r="AH784" s="334"/>
      <c r="AI784" s="234"/>
      <c r="AJ784" s="234"/>
      <c r="AK784" s="234"/>
      <c r="AL784" s="234"/>
      <c r="AM784" s="234"/>
      <c r="AN784" s="234"/>
      <c r="AO784" s="234"/>
      <c r="AP784" s="234"/>
      <c r="AQ784" s="234"/>
      <c r="AR784" s="234"/>
      <c r="AS784" s="234"/>
      <c r="AT784" s="234"/>
      <c r="AU784" s="234"/>
      <c r="AV784" s="234"/>
      <c r="AW784" s="234"/>
      <c r="AX784" s="234"/>
      <c r="AY784" s="234"/>
      <c r="AZ784" s="234"/>
      <c r="BA784" s="234"/>
      <c r="BB784" s="234"/>
      <c r="BC784" s="234"/>
      <c r="BD784" s="234"/>
      <c r="BE784" s="234"/>
      <c r="BF784" s="234"/>
      <c r="BG784" s="234"/>
      <c r="BH784" s="234"/>
      <c r="BI784" s="234"/>
      <c r="BJ784" s="234"/>
      <c r="BK784" s="234"/>
      <c r="BL784" s="234"/>
      <c r="BM784" s="234"/>
      <c r="BN784" s="234"/>
      <c r="BO784" s="235"/>
      <c r="BP784" s="234"/>
      <c r="BQ784" s="234"/>
      <c r="BR784" s="234"/>
      <c r="BS784" s="234"/>
      <c r="BT784" s="234"/>
      <c r="BU784" s="234"/>
      <c r="BV784" s="234"/>
      <c r="BW784" s="234"/>
      <c r="BX784" s="1"/>
      <c r="BY784" s="1"/>
      <c r="BZ784" s="1"/>
      <c r="CA784" s="1"/>
      <c r="CB784" s="1"/>
      <c r="CC784" s="1"/>
      <c r="CD784" s="1"/>
      <c r="CE784" s="1"/>
      <c r="CF784" s="1"/>
      <c r="CG784" s="1"/>
    </row>
    <row r="785" spans="1:85" ht="15.75" customHeight="1">
      <c r="A785" s="313"/>
      <c r="B785" s="418"/>
      <c r="C785" s="418"/>
      <c r="D785" s="221"/>
      <c r="E785" s="335"/>
      <c r="F785" s="234"/>
      <c r="G785" s="234"/>
      <c r="H785" s="234"/>
      <c r="I785" s="331"/>
      <c r="J785" s="331"/>
      <c r="K785" s="234"/>
      <c r="L785" s="332"/>
      <c r="M785" s="234"/>
      <c r="N785" s="234"/>
      <c r="O785" s="234"/>
      <c r="P785" s="234"/>
      <c r="Q785" s="234"/>
      <c r="R785" s="234"/>
      <c r="S785" s="234"/>
      <c r="T785" s="234"/>
      <c r="U785" s="388"/>
      <c r="V785" s="388"/>
      <c r="W785" s="388"/>
      <c r="X785" s="331"/>
      <c r="Y785" s="331"/>
      <c r="Z785" s="331"/>
      <c r="AA785" s="234"/>
      <c r="AB785" s="234"/>
      <c r="AC785" s="234"/>
      <c r="AD785" s="234"/>
      <c r="AE785" s="334"/>
      <c r="AF785" s="334"/>
      <c r="AG785" s="334"/>
      <c r="AH785" s="334"/>
      <c r="AI785" s="234"/>
      <c r="AJ785" s="234"/>
      <c r="AK785" s="234"/>
      <c r="AL785" s="234"/>
      <c r="AM785" s="234"/>
      <c r="AN785" s="234"/>
      <c r="AO785" s="234"/>
      <c r="AP785" s="234"/>
      <c r="AQ785" s="234"/>
      <c r="AR785" s="234"/>
      <c r="AS785" s="234"/>
      <c r="AT785" s="234"/>
      <c r="AU785" s="234"/>
      <c r="AV785" s="234"/>
      <c r="AW785" s="234"/>
      <c r="AX785" s="234"/>
      <c r="AY785" s="234"/>
      <c r="AZ785" s="234"/>
      <c r="BA785" s="234"/>
      <c r="BB785" s="234"/>
      <c r="BC785" s="234"/>
      <c r="BD785" s="234"/>
      <c r="BE785" s="234"/>
      <c r="BF785" s="234"/>
      <c r="BG785" s="234"/>
      <c r="BH785" s="234"/>
      <c r="BI785" s="234"/>
      <c r="BJ785" s="234"/>
      <c r="BK785" s="234"/>
      <c r="BL785" s="234"/>
      <c r="BM785" s="234"/>
      <c r="BN785" s="234"/>
      <c r="BO785" s="235"/>
      <c r="BP785" s="234"/>
      <c r="BQ785" s="234"/>
      <c r="BR785" s="234"/>
      <c r="BS785" s="234"/>
      <c r="BT785" s="234"/>
      <c r="BU785" s="234"/>
      <c r="BV785" s="234"/>
      <c r="BW785" s="234"/>
      <c r="BX785" s="1"/>
      <c r="BY785" s="1"/>
      <c r="BZ785" s="1"/>
      <c r="CA785" s="1"/>
      <c r="CB785" s="1"/>
      <c r="CC785" s="1"/>
      <c r="CD785" s="1"/>
      <c r="CE785" s="1"/>
      <c r="CF785" s="1"/>
      <c r="CG785" s="1"/>
    </row>
    <row r="786" spans="1:85" ht="15.75" customHeight="1">
      <c r="A786" s="313"/>
      <c r="B786" s="418"/>
      <c r="C786" s="418"/>
      <c r="D786" s="221"/>
      <c r="E786" s="335"/>
      <c r="F786" s="234"/>
      <c r="G786" s="234"/>
      <c r="H786" s="234"/>
      <c r="I786" s="331"/>
      <c r="J786" s="331"/>
      <c r="K786" s="234"/>
      <c r="L786" s="332"/>
      <c r="M786" s="234"/>
      <c r="N786" s="234"/>
      <c r="O786" s="234"/>
      <c r="P786" s="234"/>
      <c r="Q786" s="234"/>
      <c r="R786" s="234"/>
      <c r="S786" s="234"/>
      <c r="T786" s="234"/>
      <c r="U786" s="388"/>
      <c r="V786" s="388"/>
      <c r="W786" s="388"/>
      <c r="X786" s="331"/>
      <c r="Y786" s="331"/>
      <c r="Z786" s="331"/>
      <c r="AA786" s="234"/>
      <c r="AB786" s="234"/>
      <c r="AC786" s="234"/>
      <c r="AD786" s="234"/>
      <c r="AE786" s="334"/>
      <c r="AF786" s="334"/>
      <c r="AG786" s="334"/>
      <c r="AH786" s="334"/>
      <c r="AI786" s="234"/>
      <c r="AJ786" s="234"/>
      <c r="AK786" s="234"/>
      <c r="AL786" s="234"/>
      <c r="AM786" s="234"/>
      <c r="AN786" s="234"/>
      <c r="AO786" s="234"/>
      <c r="AP786" s="234"/>
      <c r="AQ786" s="234"/>
      <c r="AR786" s="234"/>
      <c r="AS786" s="234"/>
      <c r="AT786" s="234"/>
      <c r="AU786" s="234"/>
      <c r="AV786" s="234"/>
      <c r="AW786" s="234"/>
      <c r="AX786" s="234"/>
      <c r="AY786" s="234"/>
      <c r="AZ786" s="234"/>
      <c r="BA786" s="234"/>
      <c r="BB786" s="234"/>
      <c r="BC786" s="234"/>
      <c r="BD786" s="234"/>
      <c r="BE786" s="234"/>
      <c r="BF786" s="234"/>
      <c r="BG786" s="234"/>
      <c r="BH786" s="234"/>
      <c r="BI786" s="234"/>
      <c r="BJ786" s="234"/>
      <c r="BK786" s="234"/>
      <c r="BL786" s="234"/>
      <c r="BM786" s="234"/>
      <c r="BN786" s="234"/>
      <c r="BO786" s="235"/>
      <c r="BP786" s="234"/>
      <c r="BQ786" s="234"/>
      <c r="BR786" s="234"/>
      <c r="BS786" s="234"/>
      <c r="BT786" s="234"/>
      <c r="BU786" s="234"/>
      <c r="BV786" s="234"/>
      <c r="BW786" s="234"/>
      <c r="BX786" s="1"/>
      <c r="BY786" s="1"/>
      <c r="BZ786" s="1"/>
      <c r="CA786" s="1"/>
      <c r="CB786" s="1"/>
      <c r="CC786" s="1"/>
      <c r="CD786" s="1"/>
      <c r="CE786" s="1"/>
      <c r="CF786" s="1"/>
      <c r="CG786" s="1"/>
    </row>
    <row r="787" spans="1:85" ht="15.75" customHeight="1">
      <c r="A787" s="313"/>
      <c r="B787" s="418"/>
      <c r="C787" s="418"/>
      <c r="D787" s="221"/>
      <c r="E787" s="335"/>
      <c r="F787" s="234"/>
      <c r="G787" s="234"/>
      <c r="H787" s="234"/>
      <c r="I787" s="331"/>
      <c r="J787" s="331"/>
      <c r="K787" s="234"/>
      <c r="L787" s="332"/>
      <c r="M787" s="234"/>
      <c r="N787" s="234"/>
      <c r="O787" s="234"/>
      <c r="P787" s="234"/>
      <c r="Q787" s="234"/>
      <c r="R787" s="234"/>
      <c r="S787" s="234"/>
      <c r="T787" s="234"/>
      <c r="U787" s="388"/>
      <c r="V787" s="388"/>
      <c r="W787" s="388"/>
      <c r="X787" s="331"/>
      <c r="Y787" s="331"/>
      <c r="Z787" s="331"/>
      <c r="AA787" s="234"/>
      <c r="AB787" s="234"/>
      <c r="AC787" s="234"/>
      <c r="AD787" s="234"/>
      <c r="AE787" s="334"/>
      <c r="AF787" s="334"/>
      <c r="AG787" s="334"/>
      <c r="AH787" s="334"/>
      <c r="AI787" s="234"/>
      <c r="AJ787" s="234"/>
      <c r="AK787" s="234"/>
      <c r="AL787" s="234"/>
      <c r="AM787" s="234"/>
      <c r="AN787" s="234"/>
      <c r="AO787" s="234"/>
      <c r="AP787" s="234"/>
      <c r="AQ787" s="234"/>
      <c r="AR787" s="234"/>
      <c r="AS787" s="234"/>
      <c r="AT787" s="234"/>
      <c r="AU787" s="234"/>
      <c r="AV787" s="234"/>
      <c r="AW787" s="234"/>
      <c r="AX787" s="234"/>
      <c r="AY787" s="234"/>
      <c r="AZ787" s="234"/>
      <c r="BA787" s="234"/>
      <c r="BB787" s="234"/>
      <c r="BC787" s="234"/>
      <c r="BD787" s="234"/>
      <c r="BE787" s="234"/>
      <c r="BF787" s="234"/>
      <c r="BG787" s="234"/>
      <c r="BH787" s="234"/>
      <c r="BI787" s="234"/>
      <c r="BJ787" s="234"/>
      <c r="BK787" s="234"/>
      <c r="BL787" s="234"/>
      <c r="BM787" s="234"/>
      <c r="BN787" s="234"/>
      <c r="BO787" s="235"/>
      <c r="BP787" s="234"/>
      <c r="BQ787" s="234"/>
      <c r="BR787" s="234"/>
      <c r="BS787" s="234"/>
      <c r="BT787" s="234"/>
      <c r="BU787" s="234"/>
      <c r="BV787" s="234"/>
      <c r="BW787" s="234"/>
      <c r="BX787" s="1"/>
      <c r="BY787" s="1"/>
      <c r="BZ787" s="1"/>
      <c r="CA787" s="1"/>
      <c r="CB787" s="1"/>
      <c r="CC787" s="1"/>
      <c r="CD787" s="1"/>
      <c r="CE787" s="1"/>
      <c r="CF787" s="1"/>
      <c r="CG787" s="1"/>
    </row>
    <row r="788" spans="1:85" ht="15.75" customHeight="1">
      <c r="A788" s="313"/>
      <c r="B788" s="418"/>
      <c r="C788" s="418"/>
      <c r="D788" s="221"/>
      <c r="E788" s="335"/>
      <c r="F788" s="234"/>
      <c r="G788" s="234"/>
      <c r="H788" s="234"/>
      <c r="I788" s="331"/>
      <c r="J788" s="331"/>
      <c r="K788" s="234"/>
      <c r="L788" s="332"/>
      <c r="M788" s="234"/>
      <c r="N788" s="234"/>
      <c r="O788" s="234"/>
      <c r="P788" s="234"/>
      <c r="Q788" s="234"/>
      <c r="R788" s="234"/>
      <c r="S788" s="234"/>
      <c r="T788" s="234"/>
      <c r="U788" s="388"/>
      <c r="V788" s="388"/>
      <c r="W788" s="388"/>
      <c r="X788" s="331"/>
      <c r="Y788" s="331"/>
      <c r="Z788" s="331"/>
      <c r="AA788" s="234"/>
      <c r="AB788" s="234"/>
      <c r="AC788" s="234"/>
      <c r="AD788" s="234"/>
      <c r="AE788" s="334"/>
      <c r="AF788" s="334"/>
      <c r="AG788" s="334"/>
      <c r="AH788" s="334"/>
      <c r="AI788" s="234"/>
      <c r="AJ788" s="234"/>
      <c r="AK788" s="234"/>
      <c r="AL788" s="234"/>
      <c r="AM788" s="234"/>
      <c r="AN788" s="234"/>
      <c r="AO788" s="234"/>
      <c r="AP788" s="234"/>
      <c r="AQ788" s="234"/>
      <c r="AR788" s="234"/>
      <c r="AS788" s="234"/>
      <c r="AT788" s="234"/>
      <c r="AU788" s="234"/>
      <c r="AV788" s="234"/>
      <c r="AW788" s="234"/>
      <c r="AX788" s="234"/>
      <c r="AY788" s="234"/>
      <c r="AZ788" s="234"/>
      <c r="BA788" s="234"/>
      <c r="BB788" s="234"/>
      <c r="BC788" s="234"/>
      <c r="BD788" s="234"/>
      <c r="BE788" s="234"/>
      <c r="BF788" s="234"/>
      <c r="BG788" s="234"/>
      <c r="BH788" s="234"/>
      <c r="BI788" s="234"/>
      <c r="BJ788" s="234"/>
      <c r="BK788" s="234"/>
      <c r="BL788" s="234"/>
      <c r="BM788" s="234"/>
      <c r="BN788" s="234"/>
      <c r="BO788" s="235"/>
      <c r="BP788" s="234"/>
      <c r="BQ788" s="234"/>
      <c r="BR788" s="234"/>
      <c r="BS788" s="234"/>
      <c r="BT788" s="234"/>
      <c r="BU788" s="234"/>
      <c r="BV788" s="234"/>
      <c r="BW788" s="234"/>
      <c r="BX788" s="1"/>
      <c r="BY788" s="1"/>
      <c r="BZ788" s="1"/>
      <c r="CA788" s="1"/>
      <c r="CB788" s="1"/>
      <c r="CC788" s="1"/>
      <c r="CD788" s="1"/>
      <c r="CE788" s="1"/>
      <c r="CF788" s="1"/>
      <c r="CG788" s="1"/>
    </row>
    <row r="789" spans="1:85" ht="15.75" customHeight="1">
      <c r="A789" s="313"/>
      <c r="B789" s="418"/>
      <c r="C789" s="418"/>
      <c r="D789" s="221"/>
      <c r="E789" s="335"/>
      <c r="F789" s="234"/>
      <c r="G789" s="234"/>
      <c r="H789" s="234"/>
      <c r="I789" s="331"/>
      <c r="J789" s="331"/>
      <c r="K789" s="234"/>
      <c r="L789" s="332"/>
      <c r="M789" s="234"/>
      <c r="N789" s="234"/>
      <c r="O789" s="234"/>
      <c r="P789" s="234"/>
      <c r="Q789" s="234"/>
      <c r="R789" s="234"/>
      <c r="S789" s="234"/>
      <c r="T789" s="234"/>
      <c r="U789" s="388"/>
      <c r="V789" s="388"/>
      <c r="W789" s="388"/>
      <c r="X789" s="331"/>
      <c r="Y789" s="331"/>
      <c r="Z789" s="331"/>
      <c r="AA789" s="234"/>
      <c r="AB789" s="234"/>
      <c r="AC789" s="234"/>
      <c r="AD789" s="234"/>
      <c r="AE789" s="334"/>
      <c r="AF789" s="334"/>
      <c r="AG789" s="334"/>
      <c r="AH789" s="334"/>
      <c r="AI789" s="234"/>
      <c r="AJ789" s="234"/>
      <c r="AK789" s="234"/>
      <c r="AL789" s="234"/>
      <c r="AM789" s="234"/>
      <c r="AN789" s="234"/>
      <c r="AO789" s="234"/>
      <c r="AP789" s="234"/>
      <c r="AQ789" s="234"/>
      <c r="AR789" s="234"/>
      <c r="AS789" s="234"/>
      <c r="AT789" s="234"/>
      <c r="AU789" s="234"/>
      <c r="AV789" s="234"/>
      <c r="AW789" s="234"/>
      <c r="AX789" s="234"/>
      <c r="AY789" s="234"/>
      <c r="AZ789" s="234"/>
      <c r="BA789" s="234"/>
      <c r="BB789" s="234"/>
      <c r="BC789" s="234"/>
      <c r="BD789" s="234"/>
      <c r="BE789" s="234"/>
      <c r="BF789" s="234"/>
      <c r="BG789" s="234"/>
      <c r="BH789" s="234"/>
      <c r="BI789" s="234"/>
      <c r="BJ789" s="234"/>
      <c r="BK789" s="234"/>
      <c r="BL789" s="234"/>
      <c r="BM789" s="234"/>
      <c r="BN789" s="234"/>
      <c r="BO789" s="235"/>
      <c r="BP789" s="234"/>
      <c r="BQ789" s="234"/>
      <c r="BR789" s="234"/>
      <c r="BS789" s="234"/>
      <c r="BT789" s="234"/>
      <c r="BU789" s="234"/>
      <c r="BV789" s="234"/>
      <c r="BW789" s="234"/>
      <c r="BX789" s="1"/>
      <c r="BY789" s="1"/>
      <c r="BZ789" s="1"/>
      <c r="CA789" s="1"/>
      <c r="CB789" s="1"/>
      <c r="CC789" s="1"/>
      <c r="CD789" s="1"/>
      <c r="CE789" s="1"/>
      <c r="CF789" s="1"/>
      <c r="CG789" s="1"/>
    </row>
  </sheetData>
  <sheetProtection sheet="1" objects="1" scenarios="1" selectLockedCells="1" selectUnlockedCells="1"/>
  <customSheetViews>
    <customSheetView guid="{09FC6024-7494-4122-9390-102743B523E2}" filter="1" showAutoFilter="1">
      <pageMargins left="0.511811024" right="0.511811024" top="0.78740157499999996" bottom="0.78740157499999996" header="0.31496062000000002" footer="0.31496062000000002"/>
      <autoFilter ref="C1:C789"/>
    </customSheetView>
  </customSheetViews>
  <mergeCells count="47">
    <mergeCell ref="AM1:AO1"/>
    <mergeCell ref="AP1:AR1"/>
    <mergeCell ref="AA488:AB488"/>
    <mergeCell ref="AA493:AB493"/>
    <mergeCell ref="E497:J497"/>
    <mergeCell ref="K497:N497"/>
    <mergeCell ref="K487:N487"/>
    <mergeCell ref="K488:L488"/>
    <mergeCell ref="K489:L489"/>
    <mergeCell ref="K490:L490"/>
    <mergeCell ref="K491:L491"/>
    <mergeCell ref="K492:L492"/>
    <mergeCell ref="K493:L493"/>
    <mergeCell ref="AA491:AB491"/>
    <mergeCell ref="AA492:AB492"/>
    <mergeCell ref="X1:Z1"/>
    <mergeCell ref="AS1:AU1"/>
    <mergeCell ref="AV1:AX1"/>
    <mergeCell ref="BT1:BT2"/>
    <mergeCell ref="BU1:BU2"/>
    <mergeCell ref="BV1:BV2"/>
    <mergeCell ref="BW1:BW2"/>
    <mergeCell ref="AY1:BA1"/>
    <mergeCell ref="BB1:BD1"/>
    <mergeCell ref="BE1:BG1"/>
    <mergeCell ref="BH1:BJ1"/>
    <mergeCell ref="BK1:BM1"/>
    <mergeCell ref="BN1:BP1"/>
    <mergeCell ref="BQ1:BS1"/>
    <mergeCell ref="AA1:AC1"/>
    <mergeCell ref="I481:J481"/>
    <mergeCell ref="AA481:AF481"/>
    <mergeCell ref="AG481:AL481"/>
    <mergeCell ref="E1:J1"/>
    <mergeCell ref="K1:N1"/>
    <mergeCell ref="O1:Q1"/>
    <mergeCell ref="R1:T1"/>
    <mergeCell ref="U1:W1"/>
    <mergeCell ref="AD1:AF1"/>
    <mergeCell ref="AG1:AI1"/>
    <mergeCell ref="AJ1:AL1"/>
    <mergeCell ref="AM481:AR481"/>
    <mergeCell ref="AS481:AX481"/>
    <mergeCell ref="AY481:BD481"/>
    <mergeCell ref="AA487:AC487"/>
    <mergeCell ref="AA490:AB490"/>
    <mergeCell ref="AA489:AB489"/>
  </mergeCells>
  <conditionalFormatting sqref="I3:J138 X3:Z138 I140:J140 X140:Z140 I142:J142 I152:J222 X152:Z222 I224:J290 X224:Z290 I292:J328 X292:Z320 X323:Z327 I340:J472 X340:Z480 I474:J479 I499:J500 X499:Z593">
    <cfRule type="cellIs" dxfId="79" priority="1" operator="between">
      <formula>"0%"</formula>
      <formula>"25%"</formula>
    </cfRule>
  </conditionalFormatting>
  <conditionalFormatting sqref="I3:J138 X3:Z138 I140:J140 X140:Z140 I142:J142 I152:J222 X152:Z222 I224:J290 X224:Z290 I292:J328 X292:Z320 X323:Z327 I340:J472 X340:Z480 I474:J479 I499:J500 X499:Z593">
    <cfRule type="cellIs" dxfId="78" priority="2" operator="between">
      <formula>"25.01%"</formula>
      <formula>"50%"</formula>
    </cfRule>
  </conditionalFormatting>
  <conditionalFormatting sqref="I3:J138 X3:Z138 I140:J140 X140:Z140 I142:J142 I152:J222 X152:Z222 I224:J290 X224:Z290 I292:J328 X292:Z320 X323:Z327 I340:J472 X340:Z480 I474:J479 I499:J500 X499:Z593">
    <cfRule type="cellIs" dxfId="77" priority="3" operator="between">
      <formula>"50.01%"</formula>
      <formula>"75%"</formula>
    </cfRule>
  </conditionalFormatting>
  <conditionalFormatting sqref="I3:J138 X3:Z138 I140:J140 X140:Z140 I142:J142 I152:J222 X152:Z222 I224:J290 X224:Z290 I292:J328 X292:Z320 X323:Z327 I340:J472 X340:Z480 I474:J479 I499:J500 X499:Z593">
    <cfRule type="cellIs" dxfId="76" priority="4" operator="between">
      <formula>"75.01%"</formula>
      <formula>"99.99%"</formula>
    </cfRule>
  </conditionalFormatting>
  <conditionalFormatting sqref="I3:J138 X3:Z138 I140:J140 X140:Z140 I142:J142 I152:J222 X152:Z222 I224:J290 X224:Z290 I292:J328 X292:Z320 X323:Z327 I340:J472 X340:Z480 I474:J479 I499:J500 X499:Z593">
    <cfRule type="cellIs" dxfId="75" priority="5" operator="greaterThanOrEqual">
      <formula>"100%"</formula>
    </cfRule>
  </conditionalFormatting>
  <conditionalFormatting sqref="I334:J334">
    <cfRule type="cellIs" dxfId="74" priority="6" operator="between">
      <formula>"0%"</formula>
      <formula>"25%"</formula>
    </cfRule>
  </conditionalFormatting>
  <conditionalFormatting sqref="I334:J334">
    <cfRule type="cellIs" dxfId="73" priority="7" operator="between">
      <formula>"25.01%"</formula>
      <formula>"50%"</formula>
    </cfRule>
  </conditionalFormatting>
  <conditionalFormatting sqref="I334:J334">
    <cfRule type="cellIs" dxfId="72" priority="8" operator="between">
      <formula>"50.01%"</formula>
      <formula>"75%"</formula>
    </cfRule>
  </conditionalFormatting>
  <conditionalFormatting sqref="I334:J334">
    <cfRule type="cellIs" dxfId="71" priority="9" operator="between">
      <formula>"75.01%"</formula>
      <formula>"99.99%"</formula>
    </cfRule>
  </conditionalFormatting>
  <conditionalFormatting sqref="I334:J334">
    <cfRule type="cellIs" dxfId="70" priority="10" operator="greaterThanOrEqual">
      <formula>"100%"</formula>
    </cfRule>
  </conditionalFormatting>
  <conditionalFormatting sqref="X223:Z223">
    <cfRule type="cellIs" dxfId="69" priority="11" operator="between">
      <formula>"0%"</formula>
      <formula>"25%"</formula>
    </cfRule>
  </conditionalFormatting>
  <conditionalFormatting sqref="X223:Z223">
    <cfRule type="cellIs" dxfId="68" priority="12" operator="between">
      <formula>"25.01%"</formula>
      <formula>"50%"</formula>
    </cfRule>
  </conditionalFormatting>
  <conditionalFormatting sqref="X223:Z223">
    <cfRule type="cellIs" dxfId="67" priority="13" operator="between">
      <formula>"50.01%"</formula>
      <formula>"75%"</formula>
    </cfRule>
  </conditionalFormatting>
  <conditionalFormatting sqref="X223:Z223">
    <cfRule type="cellIs" dxfId="66" priority="14" operator="between">
      <formula>"75.01%"</formula>
      <formula>"99.99%"</formula>
    </cfRule>
  </conditionalFormatting>
  <conditionalFormatting sqref="X223:Z223">
    <cfRule type="cellIs" dxfId="65" priority="15" operator="greaterThanOrEqual">
      <formula>"100%"</formula>
    </cfRule>
  </conditionalFormatting>
  <conditionalFormatting sqref="I223:J223">
    <cfRule type="cellIs" dxfId="64" priority="16" operator="between">
      <formula>"0%"</formula>
      <formula>"25%"</formula>
    </cfRule>
  </conditionalFormatting>
  <conditionalFormatting sqref="I223:J223">
    <cfRule type="cellIs" dxfId="63" priority="17" operator="between">
      <formula>"25.01%"</formula>
      <formula>"50%"</formula>
    </cfRule>
  </conditionalFormatting>
  <conditionalFormatting sqref="I223:J223">
    <cfRule type="cellIs" dxfId="62" priority="18" operator="between">
      <formula>"50.01%"</formula>
      <formula>"75%"</formula>
    </cfRule>
  </conditionalFormatting>
  <conditionalFormatting sqref="I223:J223">
    <cfRule type="cellIs" dxfId="61" priority="19" operator="between">
      <formula>"75.01%"</formula>
      <formula>"99.99%"</formula>
    </cfRule>
  </conditionalFormatting>
  <conditionalFormatting sqref="I223:J223">
    <cfRule type="cellIs" dxfId="60" priority="20" operator="greaterThanOrEqual">
      <formula>"100%"</formula>
    </cfRule>
  </conditionalFormatting>
  <conditionalFormatting sqref="I329:J333">
    <cfRule type="cellIs" dxfId="59" priority="21" operator="between">
      <formula>"0%"</formula>
      <formula>"25%"</formula>
    </cfRule>
  </conditionalFormatting>
  <conditionalFormatting sqref="I329:J333">
    <cfRule type="cellIs" dxfId="58" priority="22" operator="between">
      <formula>"25.01%"</formula>
      <formula>"50%"</formula>
    </cfRule>
  </conditionalFormatting>
  <conditionalFormatting sqref="I329:J333">
    <cfRule type="cellIs" dxfId="57" priority="23" operator="between">
      <formula>"50.01%"</formula>
      <formula>"75%"</formula>
    </cfRule>
  </conditionalFormatting>
  <conditionalFormatting sqref="I329:J333">
    <cfRule type="cellIs" dxfId="56" priority="24" operator="between">
      <formula>"75.01%"</formula>
      <formula>"99.99%"</formula>
    </cfRule>
  </conditionalFormatting>
  <conditionalFormatting sqref="I329:J333">
    <cfRule type="cellIs" dxfId="55" priority="25" operator="greaterThanOrEqual">
      <formula>"100%"</formula>
    </cfRule>
  </conditionalFormatting>
  <conditionalFormatting sqref="I335:J339">
    <cfRule type="cellIs" dxfId="54" priority="26" operator="between">
      <formula>"0%"</formula>
      <formula>"25%"</formula>
    </cfRule>
  </conditionalFormatting>
  <conditionalFormatting sqref="I335:J339">
    <cfRule type="cellIs" dxfId="53" priority="27" operator="between">
      <formula>"25.01%"</formula>
      <formula>"50%"</formula>
    </cfRule>
  </conditionalFormatting>
  <conditionalFormatting sqref="I335:J339">
    <cfRule type="cellIs" dxfId="52" priority="28" operator="between">
      <formula>"50.01%"</formula>
      <formula>"75%"</formula>
    </cfRule>
  </conditionalFormatting>
  <conditionalFormatting sqref="I335:J339">
    <cfRule type="cellIs" dxfId="51" priority="29" operator="between">
      <formula>"75.01%"</formula>
      <formula>"99.99%"</formula>
    </cfRule>
  </conditionalFormatting>
  <conditionalFormatting sqref="I335:J339">
    <cfRule type="cellIs" dxfId="50" priority="30" operator="greaterThanOrEqual">
      <formula>"100%"</formula>
    </cfRule>
  </conditionalFormatting>
  <conditionalFormatting sqref="I143:J150 I170:J195">
    <cfRule type="cellIs" dxfId="49" priority="31" operator="between">
      <formula>"0%"</formula>
      <formula>"25%"</formula>
    </cfRule>
  </conditionalFormatting>
  <conditionalFormatting sqref="I143:J150 I170:J195">
    <cfRule type="cellIs" dxfId="48" priority="32" operator="between">
      <formula>"25.01%"</formula>
      <formula>"50%"</formula>
    </cfRule>
  </conditionalFormatting>
  <conditionalFormatting sqref="I143:J150 I170:J195">
    <cfRule type="cellIs" dxfId="47" priority="33" operator="between">
      <formula>"50.01%"</formula>
      <formula>"75%"</formula>
    </cfRule>
  </conditionalFormatting>
  <conditionalFormatting sqref="I143:J150 I170:J195">
    <cfRule type="cellIs" dxfId="46" priority="34" operator="between">
      <formula>"75.01%"</formula>
      <formula>"99.99%"</formula>
    </cfRule>
  </conditionalFormatting>
  <conditionalFormatting sqref="I143:J150 I170:J195">
    <cfRule type="cellIs" dxfId="45" priority="35" operator="greaterThanOrEqual">
      <formula>"100%"</formula>
    </cfRule>
  </conditionalFormatting>
  <conditionalFormatting sqref="I139:J139">
    <cfRule type="cellIs" dxfId="44" priority="36" operator="between">
      <formula>"0%"</formula>
      <formula>"25%"</formula>
    </cfRule>
  </conditionalFormatting>
  <conditionalFormatting sqref="I139:J139">
    <cfRule type="cellIs" dxfId="43" priority="37" operator="between">
      <formula>"25.01%"</formula>
      <formula>"50%"</formula>
    </cfRule>
  </conditionalFormatting>
  <conditionalFormatting sqref="I139:J139">
    <cfRule type="cellIs" dxfId="42" priority="38" operator="between">
      <formula>"50.01%"</formula>
      <formula>"75%"</formula>
    </cfRule>
  </conditionalFormatting>
  <conditionalFormatting sqref="I139:J139">
    <cfRule type="cellIs" dxfId="41" priority="39" operator="between">
      <formula>"75.01%"</formula>
      <formula>"99.99%"</formula>
    </cfRule>
  </conditionalFormatting>
  <conditionalFormatting sqref="I139:J139">
    <cfRule type="cellIs" dxfId="40" priority="40" operator="greaterThanOrEqual">
      <formula>"100%"</formula>
    </cfRule>
  </conditionalFormatting>
  <conditionalFormatting sqref="I141:J141">
    <cfRule type="cellIs" dxfId="39" priority="41" operator="between">
      <formula>"0%"</formula>
      <formula>"25%"</formula>
    </cfRule>
  </conditionalFormatting>
  <conditionalFormatting sqref="I141:J141">
    <cfRule type="cellIs" dxfId="38" priority="42" operator="between">
      <formula>"25.01%"</formula>
      <formula>"50%"</formula>
    </cfRule>
  </conditionalFormatting>
  <conditionalFormatting sqref="I141:J141">
    <cfRule type="cellIs" dxfId="37" priority="43" operator="between">
      <formula>"50.01%"</formula>
      <formula>"75%"</formula>
    </cfRule>
  </conditionalFormatting>
  <conditionalFormatting sqref="I141:J141">
    <cfRule type="cellIs" dxfId="36" priority="44" operator="between">
      <formula>"75.01%"</formula>
      <formula>"99.99%"</formula>
    </cfRule>
  </conditionalFormatting>
  <conditionalFormatting sqref="I141:J141">
    <cfRule type="cellIs" dxfId="35" priority="45" operator="greaterThanOrEqual">
      <formula>"100%"</formula>
    </cfRule>
  </conditionalFormatting>
  <conditionalFormatting sqref="X139:Z139">
    <cfRule type="cellIs" dxfId="34" priority="46" operator="between">
      <formula>"0%"</formula>
      <formula>"25%"</formula>
    </cfRule>
  </conditionalFormatting>
  <conditionalFormatting sqref="X139:Z139">
    <cfRule type="cellIs" dxfId="33" priority="47" operator="between">
      <formula>"25.01%"</formula>
      <formula>"50%"</formula>
    </cfRule>
  </conditionalFormatting>
  <conditionalFormatting sqref="X139:Z139">
    <cfRule type="cellIs" dxfId="32" priority="48" operator="between">
      <formula>"50.01%"</formula>
      <formula>"75%"</formula>
    </cfRule>
  </conditionalFormatting>
  <conditionalFormatting sqref="X139:Z139">
    <cfRule type="cellIs" dxfId="31" priority="49" operator="between">
      <formula>"75.01%"</formula>
      <formula>"99.99%"</formula>
    </cfRule>
  </conditionalFormatting>
  <conditionalFormatting sqref="X139:Z139">
    <cfRule type="cellIs" dxfId="30" priority="50" operator="greaterThanOrEqual">
      <formula>"100%"</formula>
    </cfRule>
  </conditionalFormatting>
  <conditionalFormatting sqref="X141:Z141">
    <cfRule type="cellIs" dxfId="29" priority="51" operator="between">
      <formula>"0%"</formula>
      <formula>"25%"</formula>
    </cfRule>
  </conditionalFormatting>
  <conditionalFormatting sqref="X141:Z141">
    <cfRule type="cellIs" dxfId="28" priority="52" operator="between">
      <formula>"25.01%"</formula>
      <formula>"50%"</formula>
    </cfRule>
  </conditionalFormatting>
  <conditionalFormatting sqref="X141:Z141">
    <cfRule type="cellIs" dxfId="27" priority="53" operator="between">
      <formula>"50.01%"</formula>
      <formula>"75%"</formula>
    </cfRule>
  </conditionalFormatting>
  <conditionalFormatting sqref="X141:Z141">
    <cfRule type="cellIs" dxfId="26" priority="54" operator="between">
      <formula>"75.01%"</formula>
      <formula>"99.99%"</formula>
    </cfRule>
  </conditionalFormatting>
  <conditionalFormatting sqref="X141:Z141">
    <cfRule type="cellIs" dxfId="25" priority="55" operator="greaterThanOrEqual">
      <formula>"100%"</formula>
    </cfRule>
  </conditionalFormatting>
  <conditionalFormatting sqref="X142:Z151 X170:Z187 X189:Z189">
    <cfRule type="cellIs" dxfId="24" priority="56" operator="between">
      <formula>"0%"</formula>
      <formula>"25%"</formula>
    </cfRule>
  </conditionalFormatting>
  <conditionalFormatting sqref="X142:Z151 X170:Z187 X189:Z189">
    <cfRule type="cellIs" dxfId="23" priority="57" operator="between">
      <formula>"25.01%"</formula>
      <formula>"50%"</formula>
    </cfRule>
  </conditionalFormatting>
  <conditionalFormatting sqref="X142:Z151 X170:Z187 X189:Z189">
    <cfRule type="cellIs" dxfId="22" priority="58" operator="between">
      <formula>"50.01%"</formula>
      <formula>"75%"</formula>
    </cfRule>
  </conditionalFormatting>
  <conditionalFormatting sqref="X142:Z151 X170:Z187 X189:Z189">
    <cfRule type="cellIs" dxfId="21" priority="59" operator="between">
      <formula>"75.01%"</formula>
      <formula>"99.99%"</formula>
    </cfRule>
  </conditionalFormatting>
  <conditionalFormatting sqref="X142:Z151 X170:Z187 X189:Z189">
    <cfRule type="cellIs" dxfId="20" priority="60" operator="greaterThanOrEqual">
      <formula>"100%"</formula>
    </cfRule>
  </conditionalFormatting>
  <conditionalFormatting sqref="I291:J291">
    <cfRule type="cellIs" dxfId="19" priority="61" operator="between">
      <formula>"0%"</formula>
      <formula>"25%"</formula>
    </cfRule>
  </conditionalFormatting>
  <conditionalFormatting sqref="I291:J291">
    <cfRule type="cellIs" dxfId="18" priority="62" operator="between">
      <formula>"25.01%"</formula>
      <formula>"50%"</formula>
    </cfRule>
  </conditionalFormatting>
  <conditionalFormatting sqref="I291:J291">
    <cfRule type="cellIs" dxfId="17" priority="63" operator="between">
      <formula>"50.01%"</formula>
      <formula>"75%"</formula>
    </cfRule>
  </conditionalFormatting>
  <conditionalFormatting sqref="I291:J291">
    <cfRule type="cellIs" dxfId="16" priority="64" operator="between">
      <formula>"75.01%"</formula>
      <formula>"99.99%"</formula>
    </cfRule>
  </conditionalFormatting>
  <conditionalFormatting sqref="I291:J291">
    <cfRule type="cellIs" dxfId="15" priority="65" operator="greaterThanOrEqual">
      <formula>"100%"</formula>
    </cfRule>
  </conditionalFormatting>
  <conditionalFormatting sqref="X291:Z291">
    <cfRule type="cellIs" dxfId="14" priority="66" operator="between">
      <formula>"0%"</formula>
      <formula>"25%"</formula>
    </cfRule>
  </conditionalFormatting>
  <conditionalFormatting sqref="X291:Z291">
    <cfRule type="cellIs" dxfId="13" priority="67" operator="between">
      <formula>"25.01%"</formula>
      <formula>"50%"</formula>
    </cfRule>
  </conditionalFormatting>
  <conditionalFormatting sqref="X291:Z291">
    <cfRule type="cellIs" dxfId="12" priority="68" operator="between">
      <formula>"50.01%"</formula>
      <formula>"75%"</formula>
    </cfRule>
  </conditionalFormatting>
  <conditionalFormatting sqref="X291:Z291">
    <cfRule type="cellIs" dxfId="11" priority="69" operator="between">
      <formula>"75.01%"</formula>
      <formula>"99.99%"</formula>
    </cfRule>
  </conditionalFormatting>
  <conditionalFormatting sqref="X291:Z291">
    <cfRule type="cellIs" dxfId="10" priority="70" operator="greaterThanOrEqual">
      <formula>"100%"</formula>
    </cfRule>
  </conditionalFormatting>
  <conditionalFormatting sqref="X329:Z333">
    <cfRule type="cellIs" dxfId="9" priority="71" operator="between">
      <formula>"0%"</formula>
      <formula>"25%"</formula>
    </cfRule>
  </conditionalFormatting>
  <conditionalFormatting sqref="X329:Z333">
    <cfRule type="cellIs" dxfId="8" priority="72" operator="between">
      <formula>"25.01%"</formula>
      <formula>"50%"</formula>
    </cfRule>
  </conditionalFormatting>
  <conditionalFormatting sqref="X329:Z333">
    <cfRule type="cellIs" dxfId="7" priority="73" operator="between">
      <formula>"50.01%"</formula>
      <formula>"75%"</formula>
    </cfRule>
  </conditionalFormatting>
  <conditionalFormatting sqref="X329:Z333">
    <cfRule type="cellIs" dxfId="6" priority="74" operator="between">
      <formula>"75.01%"</formula>
      <formula>"99.99%"</formula>
    </cfRule>
  </conditionalFormatting>
  <conditionalFormatting sqref="X329:Z333">
    <cfRule type="cellIs" dxfId="5" priority="75" operator="greaterThanOrEqual">
      <formula>"100%"</formula>
    </cfRule>
  </conditionalFormatting>
  <conditionalFormatting sqref="X335:Z339">
    <cfRule type="cellIs" dxfId="4" priority="76" operator="between">
      <formula>"0%"</formula>
      <formula>"25%"</formula>
    </cfRule>
  </conditionalFormatting>
  <conditionalFormatting sqref="X335:Z339">
    <cfRule type="cellIs" dxfId="3" priority="77" operator="between">
      <formula>"25.01%"</formula>
      <formula>"50%"</formula>
    </cfRule>
  </conditionalFormatting>
  <conditionalFormatting sqref="X335:Z339">
    <cfRule type="cellIs" dxfId="2" priority="78" operator="between">
      <formula>"50.01%"</formula>
      <formula>"75%"</formula>
    </cfRule>
  </conditionalFormatting>
  <conditionalFormatting sqref="X335:Z339">
    <cfRule type="cellIs" dxfId="1" priority="79" operator="between">
      <formula>"75.01%"</formula>
      <formula>"99.99%"</formula>
    </cfRule>
  </conditionalFormatting>
  <conditionalFormatting sqref="X335:Z339">
    <cfRule type="cellIs" dxfId="0" priority="80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3:P1000"/>
  <sheetViews>
    <sheetView showGridLines="0" tabSelected="1" topLeftCell="B10" workbookViewId="0">
      <selection activeCell="F89" sqref="F89"/>
    </sheetView>
  </sheetViews>
  <sheetFormatPr defaultColWidth="14.42578125" defaultRowHeight="15" customHeight="1"/>
  <cols>
    <col min="1" max="1" width="7.28515625" customWidth="1"/>
    <col min="2" max="2" width="57.28515625" customWidth="1"/>
    <col min="3" max="3" width="17.28515625" customWidth="1"/>
    <col min="4" max="4" width="5.85546875" customWidth="1"/>
    <col min="5" max="5" width="57.28515625" customWidth="1"/>
    <col min="6" max="6" width="17.28515625" customWidth="1"/>
    <col min="7" max="7" width="5.85546875" customWidth="1"/>
    <col min="8" max="8" width="57.28515625" customWidth="1"/>
    <col min="9" max="9" width="17.28515625" customWidth="1"/>
    <col min="10" max="10" width="5.85546875" customWidth="1"/>
    <col min="11" max="11" width="40.140625" customWidth="1"/>
    <col min="12" max="13" width="17.28515625" customWidth="1"/>
  </cols>
  <sheetData>
    <row r="3" spans="2:9">
      <c r="B3" s="527" t="s">
        <v>977</v>
      </c>
      <c r="C3" s="494"/>
      <c r="E3" s="527" t="s">
        <v>978</v>
      </c>
      <c r="F3" s="494"/>
      <c r="H3" s="527" t="s">
        <v>979</v>
      </c>
      <c r="I3" s="494"/>
    </row>
    <row r="4" spans="2:9">
      <c r="B4" s="336"/>
      <c r="C4" s="336"/>
      <c r="E4" s="337" t="s">
        <v>980</v>
      </c>
      <c r="F4" s="338">
        <f>'2022 3º Trimestre'!G3-(SUM(F5:F13))</f>
        <v>3592889.63</v>
      </c>
      <c r="H4" s="337" t="str">
        <f>'2022 3º Trimestre'!D242</f>
        <v xml:space="preserve">5% CUSTEIO DO CAMPUS </v>
      </c>
      <c r="I4" s="338">
        <f>'2022 3º Trimestre'!G242</f>
        <v>206215.96</v>
      </c>
    </row>
    <row r="5" spans="2:9">
      <c r="B5" s="339" t="str">
        <f>'2022 3º Trimestre'!G2</f>
        <v>MATRIZ ORÇAMENTÁRIA AJUSTADA</v>
      </c>
      <c r="C5" s="340">
        <f>'2022 3º Trimestre'!G3</f>
        <v>4124319.2</v>
      </c>
      <c r="E5" s="341" t="str">
        <f>'2022 3º Trimestre'!D138</f>
        <v xml:space="preserve">PIIQP </v>
      </c>
      <c r="F5" s="338">
        <f>'2022 3º Trimestre'!G138</f>
        <v>41243.192000000003</v>
      </c>
      <c r="H5" s="341" t="str">
        <f>'2022 3º Trimestre'!D253</f>
        <v>PNAES - PTRES 170804</v>
      </c>
      <c r="I5" s="338">
        <f>'2022 3º Trimestre'!H253</f>
        <v>2000000</v>
      </c>
    </row>
    <row r="6" spans="2:9">
      <c r="B6" s="341" t="str">
        <f>'2022 3º Trimestre'!D253</f>
        <v>PNAES - PTRES 170804</v>
      </c>
      <c r="C6" s="338">
        <f>'2022 3º Trimestre'!H253</f>
        <v>2000000</v>
      </c>
      <c r="E6" s="341" t="str">
        <f>'2022 3º Trimestre'!D140</f>
        <v xml:space="preserve">PIIQPPE </v>
      </c>
      <c r="F6" s="338">
        <f>'2022 3º Trimestre'!G140</f>
        <v>11039.870000000003</v>
      </c>
      <c r="H6" s="341" t="str">
        <f>'2022 3º Trimestre'!D263</f>
        <v>RIP - PTRES 170803</v>
      </c>
      <c r="I6" s="338">
        <f>'2022 3º Trimestre'!H263</f>
        <v>3249944.87</v>
      </c>
    </row>
    <row r="7" spans="2:9">
      <c r="B7" s="341" t="str">
        <f>'2022 3º Trimestre'!D302</f>
        <v>FNDE</v>
      </c>
      <c r="C7" s="338">
        <f>'2022 3º Trimestre'!H302</f>
        <v>0</v>
      </c>
      <c r="E7" s="341" t="str">
        <f>'2022 3º Trimestre'!D142</f>
        <v xml:space="preserve">FUNDO DE TI </v>
      </c>
      <c r="F7" s="338">
        <f>'2022 3º Trimestre'!G142</f>
        <v>46092.98</v>
      </c>
      <c r="H7" s="341" t="str">
        <f>'2022 3º Trimestre'!D302</f>
        <v>FNDE</v>
      </c>
      <c r="I7" s="338">
        <f>'2022 3º Trimestre'!H302</f>
        <v>0</v>
      </c>
    </row>
    <row r="8" spans="2:9">
      <c r="B8" s="339" t="str">
        <f>'2022 3º Trimestre'!H2</f>
        <v>OUTROS        (PNAES, FNDE, Extra Orçamentário, etc)</v>
      </c>
      <c r="C8" s="340">
        <f>'2022 3º Trimestre'!H3-'2022 3º Trimestre'!H253-'2022 3º Trimestre'!H302</f>
        <v>11139944.870000001</v>
      </c>
      <c r="E8" s="341" t="str">
        <f>'2022 3º Trimestre'!D151</f>
        <v>PID</v>
      </c>
      <c r="F8" s="338">
        <f>'2022 3º Trimestre'!G151</f>
        <v>0</v>
      </c>
      <c r="H8" s="339" t="str">
        <f>'2022 3º Trimestre'!H2</f>
        <v>OUTROS        (PNAES, FNDE, Extra Orçamentário, etc)</v>
      </c>
      <c r="I8" s="338">
        <f>(('2022 3º Trimestre'!H241)+('2022 3º Trimestre'!G241))-(SUM(I4:I7))</f>
        <v>10000</v>
      </c>
    </row>
    <row r="9" spans="2:9">
      <c r="B9" s="337"/>
      <c r="C9" s="337"/>
      <c r="E9" s="337" t="str">
        <f>'2022 3º Trimestre'!D236</f>
        <v xml:space="preserve">PROJETOS DE ENSINO </v>
      </c>
      <c r="F9" s="338">
        <f>'2022 3º Trimestre'!G236</f>
        <v>41243.19</v>
      </c>
      <c r="H9" s="337"/>
      <c r="I9" s="338"/>
    </row>
    <row r="10" spans="2:9">
      <c r="B10" s="336"/>
      <c r="C10" s="336"/>
      <c r="E10" s="337" t="str">
        <f>'2022 3º Trimestre'!D241</f>
        <v>ASSISTÊNCIA ESTUDANTIL</v>
      </c>
      <c r="F10" s="338">
        <f>'2022 3º Trimestre'!G242</f>
        <v>206215.96</v>
      </c>
      <c r="H10" s="337"/>
      <c r="I10" s="338"/>
    </row>
    <row r="11" spans="2:9">
      <c r="B11" s="336"/>
      <c r="C11" s="336"/>
      <c r="E11" s="337" t="str">
        <f>'2022 3º Trimestre'!D321</f>
        <v xml:space="preserve">AÇÕES INCLUSIVAS </v>
      </c>
      <c r="F11" s="338">
        <f>'2022 3º Trimestre'!G321</f>
        <v>61864.799999999996</v>
      </c>
      <c r="H11" s="337"/>
      <c r="I11" s="338"/>
    </row>
    <row r="12" spans="2:9">
      <c r="B12" s="336"/>
      <c r="C12" s="336"/>
      <c r="E12" s="337" t="str">
        <f>'2022 3º Trimestre'!D349</f>
        <v>PROJETOS DE PESQUISA</v>
      </c>
      <c r="F12" s="338">
        <f>'2022 3º Trimestre'!G349</f>
        <v>61864.788000000008</v>
      </c>
      <c r="H12" s="337"/>
      <c r="I12" s="338"/>
    </row>
    <row r="13" spans="2:9">
      <c r="B13" s="336"/>
      <c r="C13" s="336"/>
      <c r="E13" s="337" t="str">
        <f>'2022 3º Trimestre'!D368</f>
        <v>PROJETOS DE EXTENSÃO- PI - LEN09P20FAI</v>
      </c>
      <c r="F13" s="338">
        <f>'2022 3º Trimestre'!G368</f>
        <v>61864.789999999994</v>
      </c>
      <c r="H13" s="337"/>
      <c r="I13" s="338"/>
    </row>
    <row r="14" spans="2:9">
      <c r="B14" s="336"/>
      <c r="C14" s="336"/>
      <c r="E14" s="336"/>
      <c r="F14" s="336"/>
      <c r="H14" s="336"/>
      <c r="I14" s="336"/>
    </row>
    <row r="15" spans="2:9">
      <c r="B15" s="336"/>
      <c r="C15" s="336"/>
      <c r="E15" s="336"/>
      <c r="F15" s="336"/>
      <c r="H15" s="336"/>
      <c r="I15" s="336"/>
    </row>
    <row r="16" spans="2:9">
      <c r="B16" s="336"/>
      <c r="C16" s="336"/>
      <c r="E16" s="336"/>
      <c r="F16" s="336"/>
      <c r="H16" s="336"/>
      <c r="I16" s="336"/>
    </row>
    <row r="17" spans="2:13">
      <c r="B17" s="336"/>
      <c r="C17" s="336"/>
      <c r="E17" s="336"/>
      <c r="F17" s="336"/>
      <c r="H17" s="336"/>
      <c r="I17" s="336"/>
    </row>
    <row r="18" spans="2:13">
      <c r="B18" s="336"/>
      <c r="C18" s="336"/>
      <c r="E18" s="336"/>
      <c r="F18" s="336"/>
      <c r="H18" s="336"/>
      <c r="I18" s="336"/>
    </row>
    <row r="19" spans="2:13">
      <c r="B19" s="336"/>
      <c r="C19" s="336"/>
      <c r="E19" s="336"/>
      <c r="F19" s="336"/>
      <c r="H19" s="336"/>
      <c r="I19" s="336"/>
    </row>
    <row r="20" spans="2:13">
      <c r="B20" s="336"/>
      <c r="C20" s="336"/>
      <c r="E20" s="336"/>
      <c r="F20" s="336"/>
      <c r="H20" s="336"/>
      <c r="I20" s="336"/>
    </row>
    <row r="21" spans="2:13" ht="15.75" customHeight="1">
      <c r="B21" s="336"/>
      <c r="C21" s="336"/>
      <c r="E21" s="336"/>
      <c r="F21" s="336"/>
      <c r="H21" s="336"/>
      <c r="I21" s="336"/>
    </row>
    <row r="22" spans="2:13" ht="15.75" customHeight="1">
      <c r="B22" s="336"/>
      <c r="C22" s="336"/>
      <c r="E22" s="336"/>
      <c r="F22" s="336"/>
      <c r="H22" s="336"/>
      <c r="I22" s="336"/>
    </row>
    <row r="23" spans="2:13" ht="15.75" customHeight="1">
      <c r="B23" s="336"/>
      <c r="C23" s="336"/>
      <c r="E23" s="336"/>
      <c r="F23" s="336"/>
      <c r="H23" s="336"/>
      <c r="I23" s="336"/>
    </row>
    <row r="24" spans="2:13" ht="15.75" customHeight="1">
      <c r="B24" s="336"/>
      <c r="C24" s="336"/>
      <c r="E24" s="336"/>
      <c r="F24" s="336"/>
      <c r="H24" s="336"/>
      <c r="I24" s="336"/>
    </row>
    <row r="25" spans="2:13" ht="15.75" customHeight="1">
      <c r="B25" s="336"/>
      <c r="C25" s="336"/>
      <c r="E25" s="336"/>
      <c r="F25" s="336"/>
      <c r="H25" s="336"/>
      <c r="I25" s="336"/>
    </row>
    <row r="26" spans="2:13" ht="15.75" customHeight="1">
      <c r="B26" s="336"/>
      <c r="C26" s="336"/>
      <c r="E26" s="336"/>
      <c r="F26" s="336"/>
      <c r="H26" s="336"/>
      <c r="I26" s="336"/>
    </row>
    <row r="27" spans="2:13" ht="15.75" customHeight="1">
      <c r="B27" s="336"/>
      <c r="C27" s="336"/>
      <c r="E27" s="336"/>
      <c r="F27" s="336"/>
      <c r="H27" s="336"/>
      <c r="I27" s="336"/>
    </row>
    <row r="28" spans="2:13" ht="15.75" customHeight="1">
      <c r="B28" s="336"/>
      <c r="C28" s="336"/>
      <c r="E28" s="336"/>
      <c r="F28" s="336"/>
      <c r="H28" s="336"/>
      <c r="I28" s="336"/>
    </row>
    <row r="29" spans="2:13" ht="15.75" customHeight="1">
      <c r="B29" s="336"/>
      <c r="C29" s="336"/>
      <c r="E29" s="336"/>
      <c r="F29" s="336"/>
      <c r="H29" s="336"/>
      <c r="I29" s="336"/>
    </row>
    <row r="30" spans="2:13" ht="15.75" customHeight="1"/>
    <row r="31" spans="2:13" ht="15.75" customHeight="1"/>
    <row r="32" spans="2:13" ht="15.75" customHeight="1">
      <c r="B32" s="527" t="s">
        <v>981</v>
      </c>
      <c r="C32" s="494"/>
      <c r="E32" s="527" t="s">
        <v>982</v>
      </c>
      <c r="F32" s="494"/>
      <c r="H32" s="527" t="s">
        <v>983</v>
      </c>
      <c r="I32" s="494"/>
      <c r="K32" s="527" t="s">
        <v>984</v>
      </c>
      <c r="L32" s="493"/>
      <c r="M32" s="494"/>
    </row>
    <row r="33" spans="2:16" ht="15.75" customHeight="1">
      <c r="B33" s="336"/>
      <c r="C33" s="336"/>
      <c r="E33" s="336"/>
      <c r="F33" s="336"/>
      <c r="H33" s="336"/>
      <c r="I33" s="336"/>
      <c r="K33" s="342" t="s">
        <v>985</v>
      </c>
      <c r="L33" s="343" t="s">
        <v>986</v>
      </c>
      <c r="M33" s="343" t="s">
        <v>987</v>
      </c>
    </row>
    <row r="34" spans="2:16" ht="15.75" customHeight="1">
      <c r="B34" s="337" t="str">
        <f>'2022 3º Trimestre'!B4</f>
        <v>DG - DIREÇÃO GERAL</v>
      </c>
      <c r="C34" s="344">
        <f>'2022 3º Trimestre'!G4</f>
        <v>25000</v>
      </c>
      <c r="E34" s="337" t="str">
        <f>'2022 3º Trimestre'!B4</f>
        <v>DG - DIREÇÃO GERAL</v>
      </c>
      <c r="F34" s="344">
        <f>'2022 3º Trimestre'!K4</f>
        <v>4000</v>
      </c>
      <c r="H34" s="337" t="str">
        <f>'2022 3º Trimestre'!B4</f>
        <v>DG - DIREÇÃO GERAL</v>
      </c>
      <c r="I34" s="344">
        <f>'2022 3º Trimestre'!O4</f>
        <v>3026.1</v>
      </c>
      <c r="K34" s="342" t="s">
        <v>58</v>
      </c>
      <c r="L34" s="345">
        <f>'2022 3º Trimestre'!$G$482/12</f>
        <v>343693.26666666666</v>
      </c>
      <c r="M34" s="346">
        <f>'2022 3º Trimestre'!AA483</f>
        <v>1157216</v>
      </c>
    </row>
    <row r="35" spans="2:16" ht="15.75" customHeight="1">
      <c r="B35" s="347" t="str">
        <f>'2022 3º Trimestre'!B8</f>
        <v>DAD - DIRETORIA DE ADMINISTRAÇÃO</v>
      </c>
      <c r="C35" s="347">
        <f>'2022 3º Trimestre'!G8</f>
        <v>2087189.63</v>
      </c>
      <c r="E35" s="347" t="str">
        <f>'2022 3º Trimestre'!B8</f>
        <v>DAD - DIRETORIA DE ADMINISTRAÇÃO</v>
      </c>
      <c r="F35" s="347">
        <f>'2022 3º Trimestre'!K8</f>
        <v>2106858.9500000002</v>
      </c>
      <c r="H35" s="347" t="str">
        <f>'2022 3º Trimestre'!B8</f>
        <v>DAD - DIRETORIA DE ADMINISTRAÇÃO</v>
      </c>
      <c r="I35" s="347">
        <f>'2022 3º Trimestre'!O8</f>
        <v>1369003.22</v>
      </c>
      <c r="K35" s="342" t="s">
        <v>59</v>
      </c>
      <c r="L35" s="345">
        <f>'2022 3º Trimestre'!$G$482/12</f>
        <v>343693.26666666666</v>
      </c>
      <c r="M35" s="346">
        <f>'2022 3º Trimestre'!AB483</f>
        <v>385739</v>
      </c>
    </row>
    <row r="36" spans="2:16" ht="15.75" customHeight="1">
      <c r="B36" s="337" t="str">
        <f>'2022 3º Trimestre'!B116</f>
        <v>DPDI - DIRETORIA DE PLANEJ E DESENV INSTITUCIONAL</v>
      </c>
      <c r="C36" s="344">
        <f>'2022 3º Trimestre'!G116</f>
        <v>261376.04200000002</v>
      </c>
      <c r="E36" s="337" t="str">
        <f>'2022 3º Trimestre'!B116</f>
        <v>DPDI - DIRETORIA DE PLANEJ E DESENV INSTITUCIONAL</v>
      </c>
      <c r="F36" s="344">
        <f>'2022 3º Trimestre'!K116</f>
        <v>147160.45000000001</v>
      </c>
      <c r="H36" s="337" t="str">
        <f>'2022 3º Trimestre'!B116</f>
        <v>DPDI - DIRETORIA DE PLANEJ E DESENV INSTITUCIONAL</v>
      </c>
      <c r="I36" s="344">
        <f>'2022 3º Trimestre'!O116</f>
        <v>104290.34</v>
      </c>
      <c r="K36" s="342" t="s">
        <v>60</v>
      </c>
      <c r="L36" s="345">
        <f>'2022 3º Trimestre'!$G$482/12</f>
        <v>343693.26666666666</v>
      </c>
      <c r="M36" s="346">
        <f>'2022 3º Trimestre'!AC483</f>
        <v>80000</v>
      </c>
    </row>
    <row r="37" spans="2:16" ht="15.75" customHeight="1">
      <c r="B37" s="337" t="str">
        <f>'2022 3º Trimestre'!B196</f>
        <v>DE - DIRETORIA DE ENSINO</v>
      </c>
      <c r="C37" s="344">
        <f>'2022 3º Trimestre'!G196</f>
        <v>527423.95000000007</v>
      </c>
      <c r="E37" s="337" t="str">
        <f>'2022 3º Trimestre'!B196</f>
        <v>DE - DIRETORIA DE ENSINO</v>
      </c>
      <c r="F37" s="344">
        <f>'2022 3º Trimestre'!K196</f>
        <v>168454.65</v>
      </c>
      <c r="H37" s="337" t="str">
        <f>'2022 3º Trimestre'!B196</f>
        <v>DE - DIRETORIA DE ENSINO</v>
      </c>
      <c r="I37" s="344">
        <f>'2022 3º Trimestre'!O196</f>
        <v>90963.16</v>
      </c>
      <c r="K37" s="342" t="s">
        <v>61</v>
      </c>
      <c r="L37" s="345">
        <f>'2022 3º Trimestre'!$G$482/12</f>
        <v>343693.26666666666</v>
      </c>
      <c r="M37" s="348">
        <f>'2022 3º Trimestre'!AD483</f>
        <v>1928694</v>
      </c>
    </row>
    <row r="38" spans="2:16" ht="15.75" customHeight="1">
      <c r="B38" s="337" t="str">
        <f>'2022 3º Trimestre'!B347</f>
        <v>DPEP - DIRETORIA DE PESQUISA, EXTENSÃO E PRODUÇÃO</v>
      </c>
      <c r="C38" s="344">
        <f>'2022 3º Trimestre'!G347</f>
        <v>1223329.578</v>
      </c>
      <c r="E38" s="337" t="str">
        <f>'2022 3º Trimestre'!B347</f>
        <v>DPEP - DIRETORIA DE PESQUISA, EXTENSÃO E PRODUÇÃO</v>
      </c>
      <c r="F38" s="344">
        <f>'2022 3º Trimestre'!K347</f>
        <v>1210126.92</v>
      </c>
      <c r="H38" s="337" t="str">
        <f>'2022 3º Trimestre'!B347</f>
        <v>DPEP - DIRETORIA DE PESQUISA, EXTENSÃO E PRODUÇÃO</v>
      </c>
      <c r="I38" s="344">
        <f>'2022 3º Trimestre'!O347</f>
        <v>790457.3</v>
      </c>
      <c r="K38" s="342" t="s">
        <v>62</v>
      </c>
      <c r="L38" s="345">
        <f>'2022 3º Trimestre'!$G$482/12</f>
        <v>343693.26666666666</v>
      </c>
      <c r="M38" s="348">
        <f>'2022 3º Trimestre'!AE483</f>
        <v>267008.21999999997</v>
      </c>
    </row>
    <row r="39" spans="2:16" ht="15.75" customHeight="1">
      <c r="B39" s="336"/>
      <c r="C39" s="336"/>
      <c r="E39" s="336"/>
      <c r="F39" s="336"/>
      <c r="H39" s="336"/>
      <c r="I39" s="336"/>
      <c r="K39" s="342" t="s">
        <v>63</v>
      </c>
      <c r="L39" s="345">
        <f>'2022 3º Trimestre'!$G$482/12</f>
        <v>343693.26666666666</v>
      </c>
      <c r="M39" s="348">
        <f>'2022 3º Trimestre'!AF483</f>
        <v>135653.64000000001</v>
      </c>
    </row>
    <row r="40" spans="2:16" ht="15.75" customHeight="1">
      <c r="B40" s="336"/>
      <c r="C40" s="336"/>
      <c r="E40" s="336"/>
      <c r="F40" s="336"/>
      <c r="H40" s="336"/>
      <c r="I40" s="336"/>
      <c r="K40" s="342" t="s">
        <v>64</v>
      </c>
      <c r="L40" s="345">
        <f>'2022 3º Trimestre'!$G$482/12</f>
        <v>343693.26666666666</v>
      </c>
      <c r="M40" s="346">
        <f>'2022 3º Trimestre'!AA485</f>
        <v>78286.540000000008</v>
      </c>
    </row>
    <row r="41" spans="2:16" ht="15.75" customHeight="1">
      <c r="B41" s="336"/>
      <c r="C41" s="336"/>
      <c r="E41" s="336"/>
      <c r="F41" s="336"/>
      <c r="H41" s="336"/>
      <c r="I41" s="336"/>
      <c r="K41" s="342" t="s">
        <v>65</v>
      </c>
      <c r="L41" s="345">
        <f>'2022 3º Trimestre'!$G$482/12</f>
        <v>343693.26666666666</v>
      </c>
      <c r="M41" s="346">
        <f>'2022 3º Trimestre'!AB485</f>
        <v>0</v>
      </c>
    </row>
    <row r="42" spans="2:16" ht="15.75" customHeight="1">
      <c r="B42" s="336"/>
      <c r="C42" s="336"/>
      <c r="E42" s="336"/>
      <c r="F42" s="336"/>
      <c r="H42" s="336"/>
      <c r="I42" s="336"/>
      <c r="K42" s="342" t="s">
        <v>66</v>
      </c>
      <c r="L42" s="345">
        <f>'2022 3º Trimestre'!$G$482/12</f>
        <v>343693.26666666666</v>
      </c>
      <c r="M42" s="346">
        <f>'2022 3º Trimestre'!AC485</f>
        <v>203499.2</v>
      </c>
    </row>
    <row r="43" spans="2:16" ht="15.75" customHeight="1">
      <c r="B43" s="336"/>
      <c r="C43" s="336"/>
      <c r="E43" s="336"/>
      <c r="F43" s="336"/>
      <c r="H43" s="336"/>
      <c r="I43" s="336"/>
      <c r="K43" s="342" t="s">
        <v>67</v>
      </c>
      <c r="L43" s="345">
        <f>'2022 3º Trimestre'!$G$482/12</f>
        <v>343693.26666666666</v>
      </c>
      <c r="M43" s="348">
        <f>'2022 3º Trimestre'!AD485</f>
        <v>0</v>
      </c>
    </row>
    <row r="44" spans="2:16" ht="15.75" customHeight="1">
      <c r="B44" s="336"/>
      <c r="C44" s="336"/>
      <c r="E44" s="336"/>
      <c r="F44" s="336"/>
      <c r="H44" s="336"/>
      <c r="I44" s="336"/>
      <c r="K44" s="342" t="s">
        <v>68</v>
      </c>
      <c r="L44" s="345">
        <f>'2022 3º Trimestre'!$G$482/12</f>
        <v>343693.26666666666</v>
      </c>
      <c r="M44" s="348">
        <f>'2022 3º Trimestre'!AE485</f>
        <v>0</v>
      </c>
    </row>
    <row r="45" spans="2:16" ht="15.75" customHeight="1">
      <c r="B45" s="336"/>
      <c r="C45" s="336"/>
      <c r="E45" s="336"/>
      <c r="F45" s="336"/>
      <c r="H45" s="336"/>
      <c r="I45" s="336"/>
      <c r="K45" s="342" t="s">
        <v>69</v>
      </c>
      <c r="L45" s="345">
        <f>'2022 3º Trimestre'!$G$482/12</f>
        <v>343693.26666666666</v>
      </c>
      <c r="M45" s="348">
        <f>'2022 3º Trimestre'!AF485</f>
        <v>0</v>
      </c>
    </row>
    <row r="46" spans="2:16" ht="15.75" customHeight="1">
      <c r="B46" s="336"/>
      <c r="C46" s="336"/>
      <c r="E46" s="336"/>
      <c r="F46" s="336"/>
      <c r="H46" s="336"/>
      <c r="I46" s="336"/>
      <c r="K46" s="342"/>
      <c r="L46" s="342"/>
      <c r="M46" s="342"/>
      <c r="N46" s="349"/>
      <c r="P46" s="350"/>
    </row>
    <row r="47" spans="2:16" ht="15.75" customHeight="1">
      <c r="B47" s="336"/>
      <c r="C47" s="336"/>
      <c r="E47" s="336"/>
      <c r="F47" s="336"/>
      <c r="H47" s="336"/>
      <c r="I47" s="336"/>
      <c r="K47" s="342"/>
      <c r="L47" s="342"/>
      <c r="M47" s="342"/>
    </row>
    <row r="48" spans="2:16" ht="15.75" customHeight="1">
      <c r="B48" s="336"/>
      <c r="C48" s="336"/>
      <c r="E48" s="336"/>
      <c r="F48" s="336"/>
      <c r="H48" s="336"/>
      <c r="I48" s="336"/>
      <c r="K48" s="342"/>
      <c r="L48" s="342"/>
      <c r="M48" s="342"/>
    </row>
    <row r="49" spans="2:13" ht="15.75" customHeight="1">
      <c r="B49" s="336"/>
      <c r="C49" s="336"/>
      <c r="E49" s="336"/>
      <c r="F49" s="336"/>
      <c r="H49" s="336"/>
      <c r="I49" s="336"/>
      <c r="K49" s="342"/>
      <c r="L49" s="342"/>
      <c r="M49" s="342"/>
    </row>
    <row r="50" spans="2:13" ht="15.75" customHeight="1">
      <c r="B50" s="336"/>
      <c r="C50" s="336"/>
      <c r="E50" s="336"/>
      <c r="F50" s="336"/>
      <c r="H50" s="336"/>
      <c r="I50" s="336"/>
      <c r="K50" s="342"/>
      <c r="L50" s="342"/>
      <c r="M50" s="342"/>
    </row>
    <row r="51" spans="2:13" ht="15.75" customHeight="1">
      <c r="B51" s="336"/>
      <c r="C51" s="336"/>
      <c r="E51" s="336"/>
      <c r="F51" s="336"/>
      <c r="H51" s="336"/>
      <c r="I51" s="336"/>
      <c r="K51" s="342"/>
      <c r="L51" s="342"/>
      <c r="M51" s="342"/>
    </row>
    <row r="52" spans="2:13" ht="15.75" customHeight="1">
      <c r="B52" s="336"/>
      <c r="C52" s="336"/>
      <c r="E52" s="336"/>
      <c r="F52" s="336"/>
      <c r="H52" s="336"/>
      <c r="I52" s="336"/>
      <c r="K52" s="342"/>
      <c r="L52" s="342"/>
      <c r="M52" s="342"/>
    </row>
    <row r="53" spans="2:13" ht="15.75" customHeight="1">
      <c r="B53" s="336"/>
      <c r="C53" s="336"/>
      <c r="E53" s="336"/>
      <c r="F53" s="336"/>
      <c r="H53" s="336"/>
      <c r="I53" s="336"/>
      <c r="K53" s="342"/>
      <c r="L53" s="342"/>
      <c r="M53" s="342"/>
    </row>
    <row r="54" spans="2:13" ht="15.75" customHeight="1">
      <c r="B54" s="336"/>
      <c r="C54" s="336"/>
      <c r="E54" s="336"/>
      <c r="F54" s="336"/>
      <c r="H54" s="336"/>
      <c r="I54" s="336"/>
      <c r="K54" s="342"/>
      <c r="L54" s="342"/>
      <c r="M54" s="342"/>
    </row>
    <row r="55" spans="2:13" ht="15.75" customHeight="1">
      <c r="B55" s="336"/>
      <c r="C55" s="336"/>
      <c r="E55" s="336"/>
      <c r="F55" s="336"/>
      <c r="H55" s="336"/>
      <c r="I55" s="336"/>
      <c r="K55" s="342"/>
      <c r="L55" s="342"/>
      <c r="M55" s="342"/>
    </row>
    <row r="56" spans="2:13" ht="15.75" customHeight="1">
      <c r="B56" s="336"/>
      <c r="C56" s="336"/>
      <c r="E56" s="336"/>
      <c r="F56" s="336"/>
      <c r="H56" s="336"/>
      <c r="I56" s="336"/>
      <c r="K56" s="342"/>
      <c r="L56" s="342"/>
      <c r="M56" s="342"/>
    </row>
    <row r="57" spans="2:13" ht="15.75" customHeight="1">
      <c r="B57" s="336"/>
      <c r="C57" s="336"/>
      <c r="E57" s="336"/>
      <c r="F57" s="336"/>
      <c r="H57" s="336"/>
      <c r="I57" s="336"/>
      <c r="K57" s="342"/>
      <c r="L57" s="342"/>
      <c r="M57" s="342"/>
    </row>
    <row r="58" spans="2:13" ht="15.75" customHeight="1">
      <c r="B58" s="336"/>
      <c r="C58" s="336"/>
      <c r="E58" s="336"/>
      <c r="F58" s="336"/>
      <c r="H58" s="336"/>
      <c r="I58" s="336"/>
      <c r="K58" s="351"/>
      <c r="L58" s="351"/>
      <c r="M58" s="351"/>
    </row>
    <row r="59" spans="2:13" ht="15.75" customHeight="1"/>
    <row r="60" spans="2:13" ht="15.75" customHeight="1"/>
    <row r="61" spans="2:13" ht="15.75" customHeight="1">
      <c r="B61" s="526" t="s">
        <v>988</v>
      </c>
      <c r="C61" s="494"/>
      <c r="E61" s="526" t="s">
        <v>989</v>
      </c>
      <c r="F61" s="494"/>
      <c r="H61" s="526" t="s">
        <v>990</v>
      </c>
      <c r="I61" s="494"/>
      <c r="K61" s="526" t="s">
        <v>991</v>
      </c>
      <c r="L61" s="493"/>
      <c r="M61" s="494"/>
    </row>
    <row r="62" spans="2:13" ht="15.75" customHeight="1">
      <c r="B62" s="526" t="s">
        <v>992</v>
      </c>
      <c r="C62" s="494"/>
      <c r="E62" s="526" t="s">
        <v>993</v>
      </c>
      <c r="F62" s="494"/>
      <c r="H62" s="526"/>
      <c r="I62" s="494"/>
      <c r="K62" s="526"/>
      <c r="L62" s="494"/>
      <c r="M62" s="6"/>
    </row>
    <row r="63" spans="2:13" ht="15.75" customHeight="1">
      <c r="B63" s="352"/>
      <c r="C63" s="352"/>
      <c r="E63" s="352" t="str">
        <f>'2022 3º Trimestre'!D483</f>
        <v>ORÇAMENTO LIBERADO</v>
      </c>
      <c r="F63" s="353">
        <f>'2022 3º Trimestre'!G483</f>
        <v>4236096.5999999996</v>
      </c>
      <c r="H63" s="352" t="s">
        <v>994</v>
      </c>
      <c r="I63" s="353">
        <f>'2022 3º Trimestre'!L484</f>
        <v>3734259.4299999992</v>
      </c>
      <c r="K63" s="352" t="str">
        <f>'2022 3º Trimestre'!K488</f>
        <v>ORÇAMENTO MATRIZ</v>
      </c>
      <c r="L63" s="353">
        <f>'2022 3º Trimestre'!M488</f>
        <v>4236096.5999999996</v>
      </c>
      <c r="M63" s="354">
        <f>'2022 3º Trimestre'!N488</f>
        <v>0.55289786683358366</v>
      </c>
    </row>
    <row r="64" spans="2:13" ht="15.75" customHeight="1">
      <c r="B64" s="352" t="str">
        <f>'2022 3º Trimestre'!D482</f>
        <v>ORÇAMENTO PLANEJADO</v>
      </c>
      <c r="C64" s="355">
        <f>'2022 3º Trimestre'!G482</f>
        <v>4124319.2</v>
      </c>
      <c r="E64" s="352" t="str">
        <f>'2022 3º Trimestre'!D484</f>
        <v>ORÇAMENTO EMPENHADO</v>
      </c>
      <c r="F64" s="355">
        <f>'2022 3º Trimestre'!G484</f>
        <v>3636600.97</v>
      </c>
      <c r="H64" s="352" t="s">
        <v>995</v>
      </c>
      <c r="I64" s="353">
        <f>'2022 3º Trimestre'!P485</f>
        <v>2889888.38</v>
      </c>
      <c r="K64" s="352" t="str">
        <f>'2022 3º Trimestre'!K489</f>
        <v>ASSISTÊNCIA ESTUDANTIL</v>
      </c>
      <c r="L64" s="353">
        <f>'2022 3º Trimestre'!M489</f>
        <v>2938563.99</v>
      </c>
      <c r="M64" s="354">
        <f>'2022 3º Trimestre'!N489</f>
        <v>0.38354313299299747</v>
      </c>
    </row>
    <row r="65" spans="2:13" ht="15.75" customHeight="1">
      <c r="B65" s="352" t="str">
        <f>'2022 3º Trimestre'!D483</f>
        <v>ORÇAMENTO LIBERADO</v>
      </c>
      <c r="C65" s="353">
        <f>'2022 3º Trimestre'!G483</f>
        <v>4236096.5999999996</v>
      </c>
      <c r="E65" s="352" t="str">
        <f>'2022 3º Trimestre'!D485</f>
        <v>ORÇAMENTO EXECUTADO</v>
      </c>
      <c r="F65" s="355">
        <f>'2022 3º Trimestre'!G485</f>
        <v>2357740.12</v>
      </c>
      <c r="H65" s="352" t="s">
        <v>996</v>
      </c>
      <c r="I65" s="353">
        <f>'2022 3º Trimestre'!G491</f>
        <v>729849.71999999939</v>
      </c>
      <c r="K65" s="352" t="str">
        <f>'2022 3º Trimestre'!K490</f>
        <v>FNDE</v>
      </c>
      <c r="L65" s="353">
        <f>'2022 3º Trimestre'!M490</f>
        <v>203316</v>
      </c>
      <c r="M65" s="354">
        <f>'2022 3º Trimestre'!N490</f>
        <v>2.6536926162905941E-2</v>
      </c>
    </row>
    <row r="66" spans="2:13" ht="15.75" customHeight="1">
      <c r="B66" s="6"/>
      <c r="C66" s="6"/>
      <c r="E66" s="352" t="str">
        <f>'2022 3º Trimestre'!D486</f>
        <v>ORÇAMENTO PAGO</v>
      </c>
      <c r="F66" s="355">
        <f>'2022 3º Trimestre'!G486</f>
        <v>2357740.12</v>
      </c>
      <c r="H66" s="352" t="s">
        <v>997</v>
      </c>
      <c r="I66" s="355">
        <f>'2022 3º Trimestre'!G493</f>
        <v>114521.33</v>
      </c>
      <c r="K66" s="352" t="str">
        <f>'2022 3º Trimestre'!K491</f>
        <v>RECEITAS PRÓPRIAS</v>
      </c>
      <c r="L66" s="353">
        <f>'2022 3º Trimestre'!M491</f>
        <v>61482.48</v>
      </c>
      <c r="M66" s="354">
        <f>'2022 3º Trimestre'!N491</f>
        <v>8.0247301347279171E-3</v>
      </c>
    </row>
    <row r="67" spans="2:13" ht="15.75" customHeight="1">
      <c r="B67" s="6"/>
      <c r="C67" s="6"/>
      <c r="E67" s="6"/>
      <c r="F67" s="6"/>
      <c r="H67" s="6"/>
      <c r="I67" s="6"/>
      <c r="K67" s="352" t="str">
        <f>'2022 3º Trimestre'!K492</f>
        <v>OUTRAS FONTES</v>
      </c>
      <c r="L67" s="353">
        <f>'2022 3º Trimestre'!M492</f>
        <v>222166.8</v>
      </c>
      <c r="M67" s="354">
        <f>'2022 3º Trimestre'!N492</f>
        <v>2.8997343875784943E-2</v>
      </c>
    </row>
    <row r="68" spans="2:13" ht="15.75" customHeight="1">
      <c r="B68" s="6"/>
      <c r="C68" s="6"/>
      <c r="E68" s="6"/>
      <c r="F68" s="6"/>
      <c r="H68" s="6"/>
      <c r="I68" s="6"/>
      <c r="K68" s="6"/>
      <c r="L68" s="6"/>
      <c r="M68" s="6"/>
    </row>
    <row r="69" spans="2:13" ht="15.75" customHeight="1">
      <c r="B69" s="6"/>
      <c r="C69" s="6"/>
      <c r="E69" s="6"/>
      <c r="F69" s="6"/>
      <c r="H69" s="6"/>
      <c r="I69" s="6"/>
      <c r="K69" s="6"/>
      <c r="L69" s="6"/>
      <c r="M69" s="6"/>
    </row>
    <row r="70" spans="2:13" ht="15.75" customHeight="1">
      <c r="B70" s="6"/>
      <c r="C70" s="6"/>
      <c r="E70" s="6"/>
      <c r="F70" s="6"/>
      <c r="H70" s="6"/>
      <c r="I70" s="6"/>
      <c r="K70" s="6"/>
      <c r="L70" s="6"/>
      <c r="M70" s="6"/>
    </row>
    <row r="71" spans="2:13" ht="15.75" customHeight="1">
      <c r="B71" s="6"/>
      <c r="C71" s="6"/>
      <c r="E71" s="6"/>
      <c r="F71" s="6"/>
      <c r="H71" s="6"/>
      <c r="I71" s="6"/>
      <c r="K71" s="6"/>
      <c r="L71" s="6"/>
      <c r="M71" s="6"/>
    </row>
    <row r="72" spans="2:13" ht="15.75" customHeight="1">
      <c r="B72" s="6"/>
      <c r="C72" s="6"/>
      <c r="E72" s="6"/>
      <c r="F72" s="6"/>
      <c r="H72" s="6"/>
      <c r="I72" s="6"/>
      <c r="K72" s="6"/>
      <c r="L72" s="6"/>
      <c r="M72" s="6"/>
    </row>
    <row r="73" spans="2:13" ht="15.75" customHeight="1">
      <c r="B73" s="6"/>
      <c r="C73" s="6"/>
      <c r="E73" s="6"/>
      <c r="F73" s="6"/>
      <c r="H73" s="6"/>
      <c r="I73" s="6"/>
      <c r="K73" s="6"/>
      <c r="L73" s="6"/>
      <c r="M73" s="6"/>
    </row>
    <row r="74" spans="2:13" ht="15.75" customHeight="1">
      <c r="B74" s="6"/>
      <c r="C74" s="6"/>
      <c r="E74" s="6"/>
      <c r="F74" s="6"/>
      <c r="H74" s="6"/>
      <c r="I74" s="6"/>
      <c r="K74" s="6"/>
      <c r="L74" s="6"/>
      <c r="M74" s="6"/>
    </row>
    <row r="75" spans="2:13" ht="15.75" customHeight="1">
      <c r="B75" s="6"/>
      <c r="C75" s="6"/>
      <c r="E75" s="6"/>
      <c r="F75" s="6"/>
      <c r="H75" s="6"/>
      <c r="I75" s="6"/>
      <c r="K75" s="6"/>
      <c r="L75" s="6"/>
      <c r="M75" s="6"/>
    </row>
    <row r="76" spans="2:13" ht="15.75" customHeight="1">
      <c r="B76" s="6"/>
      <c r="C76" s="6"/>
      <c r="E76" s="6"/>
      <c r="F76" s="6"/>
      <c r="H76" s="6"/>
      <c r="I76" s="6"/>
      <c r="K76" s="6"/>
      <c r="L76" s="6"/>
      <c r="M76" s="6"/>
    </row>
    <row r="77" spans="2:13" ht="15.75" customHeight="1">
      <c r="B77" s="6"/>
      <c r="C77" s="6"/>
      <c r="E77" s="6"/>
      <c r="F77" s="6"/>
      <c r="H77" s="6"/>
      <c r="I77" s="6"/>
      <c r="K77" s="6"/>
      <c r="L77" s="6"/>
      <c r="M77" s="6"/>
    </row>
    <row r="78" spans="2:13" ht="15.75" customHeight="1">
      <c r="B78" s="6"/>
      <c r="C78" s="6"/>
      <c r="E78" s="6"/>
      <c r="F78" s="6"/>
      <c r="H78" s="6"/>
      <c r="I78" s="6"/>
      <c r="K78" s="6"/>
      <c r="L78" s="6"/>
      <c r="M78" s="6"/>
    </row>
    <row r="79" spans="2:13" ht="15.75" customHeight="1">
      <c r="B79" s="6"/>
      <c r="C79" s="6"/>
      <c r="E79" s="6"/>
      <c r="F79" s="6"/>
      <c r="H79" s="6"/>
      <c r="I79" s="6"/>
      <c r="K79" s="6"/>
      <c r="L79" s="6"/>
      <c r="M79" s="6"/>
    </row>
    <row r="80" spans="2:13" ht="15.75" customHeight="1">
      <c r="B80" s="6"/>
      <c r="C80" s="6"/>
      <c r="E80" s="6"/>
      <c r="F80" s="6"/>
      <c r="H80" s="6"/>
      <c r="I80" s="6"/>
      <c r="K80" s="6"/>
      <c r="L80" s="6"/>
      <c r="M80" s="6"/>
    </row>
    <row r="81" spans="2:15" ht="15.75" customHeight="1">
      <c r="B81" s="6"/>
      <c r="C81" s="6"/>
      <c r="E81" s="6"/>
      <c r="F81" s="6"/>
      <c r="H81" s="6"/>
      <c r="I81" s="6"/>
      <c r="K81" s="6"/>
      <c r="L81" s="6"/>
      <c r="M81" s="6"/>
    </row>
    <row r="82" spans="2:15" ht="15.75" customHeight="1">
      <c r="B82" s="6"/>
      <c r="C82" s="6"/>
      <c r="E82" s="6"/>
      <c r="F82" s="6"/>
      <c r="H82" s="6"/>
      <c r="I82" s="6"/>
      <c r="K82" s="6"/>
      <c r="L82" s="6"/>
      <c r="M82" s="6"/>
    </row>
    <row r="83" spans="2:15" ht="15.75" customHeight="1">
      <c r="B83" s="6"/>
      <c r="C83" s="6"/>
      <c r="E83" s="6"/>
      <c r="F83" s="6"/>
      <c r="H83" s="6"/>
      <c r="I83" s="6"/>
      <c r="K83" s="6"/>
      <c r="L83" s="6"/>
      <c r="M83" s="6"/>
    </row>
    <row r="84" spans="2:15" ht="15.75" customHeight="1">
      <c r="B84" s="6"/>
      <c r="C84" s="6"/>
      <c r="E84" s="6"/>
      <c r="F84" s="6"/>
      <c r="H84" s="6"/>
      <c r="I84" s="6"/>
      <c r="K84" s="6"/>
      <c r="L84" s="6"/>
      <c r="M84" s="6"/>
    </row>
    <row r="85" spans="2:15" ht="15.75" customHeight="1">
      <c r="B85" s="6"/>
      <c r="C85" s="6"/>
      <c r="E85" s="6"/>
      <c r="F85" s="6"/>
      <c r="H85" s="6"/>
      <c r="I85" s="6"/>
      <c r="K85" s="6"/>
      <c r="L85" s="6"/>
      <c r="M85" s="6"/>
    </row>
    <row r="86" spans="2:15" ht="15.75" customHeight="1"/>
    <row r="87" spans="2:15" ht="15.75" customHeight="1"/>
    <row r="88" spans="2:15" ht="15.75" customHeight="1"/>
    <row r="89" spans="2:15" ht="15.75" customHeight="1">
      <c r="K89" s="525" t="s">
        <v>998</v>
      </c>
      <c r="L89" s="519"/>
      <c r="M89" s="519"/>
      <c r="N89" s="357"/>
      <c r="O89" s="357"/>
    </row>
    <row r="90" spans="2:15" ht="15.75" customHeight="1">
      <c r="K90" s="358"/>
      <c r="L90" s="356" t="s">
        <v>999</v>
      </c>
      <c r="M90" s="356" t="s">
        <v>1000</v>
      </c>
      <c r="N90" s="357"/>
      <c r="O90" s="357"/>
    </row>
    <row r="91" spans="2:15" ht="15.75" customHeight="1">
      <c r="K91" s="359" t="s">
        <v>916</v>
      </c>
      <c r="L91" s="364">
        <f>'2022 3º Trimestre'!M488</f>
        <v>4236096.5999999996</v>
      </c>
      <c r="M91" s="364">
        <f>'2022 3º Trimestre'!AA483+'2022 3º Trimestre'!AB483+'2022 3º Trimestre'!AC483+'2022 3º Trimestre'!AD483+'2022 3º Trimestre'!AE483+'2022 3º Trimestre'!AF483+'2022 3º Trimestre'!AA485+'2022 3º Trimestre'!AB485+'2022 3º Trimestre'!AC485+'2022 3º Trimestre'!AD485+'2022 3º Trimestre'!AE485+'2022 3º Trimestre'!AF485</f>
        <v>4236096.5999999996</v>
      </c>
      <c r="N91" s="357"/>
      <c r="O91" s="357"/>
    </row>
    <row r="92" spans="2:15" ht="15.75" customHeight="1">
      <c r="K92" s="359" t="s">
        <v>553</v>
      </c>
      <c r="L92" s="364">
        <f>'2022 3º Trimestre'!M489</f>
        <v>2938563.99</v>
      </c>
      <c r="M92" s="364">
        <f>'2022 3º Trimestre'!N253+'2022 3º Trimestre'!N263</f>
        <v>3184136.87</v>
      </c>
      <c r="N92" s="357"/>
      <c r="O92" s="357"/>
    </row>
    <row r="93" spans="2:15" ht="15.75" customHeight="1">
      <c r="K93" s="359" t="s">
        <v>650</v>
      </c>
      <c r="L93" s="364">
        <f>'2022 3º Trimestre'!M490</f>
        <v>203316</v>
      </c>
      <c r="M93" s="359" t="s">
        <v>1002</v>
      </c>
      <c r="N93" s="357"/>
      <c r="O93" s="357"/>
    </row>
    <row r="94" spans="2:15" ht="15.75" customHeight="1">
      <c r="K94" s="359" t="s">
        <v>923</v>
      </c>
      <c r="L94" s="364">
        <f>'2022 3º Trimestre'!M491</f>
        <v>61482.48</v>
      </c>
      <c r="M94" s="359" t="s">
        <v>1003</v>
      </c>
      <c r="N94" s="357"/>
      <c r="O94" s="357"/>
    </row>
    <row r="95" spans="2:15" ht="15.75" customHeight="1">
      <c r="K95" s="359" t="s">
        <v>926</v>
      </c>
      <c r="L95" s="364">
        <f>'2022 3º Trimestre'!M492</f>
        <v>222166.8</v>
      </c>
      <c r="M95" s="359" t="s">
        <v>1004</v>
      </c>
      <c r="N95" s="357"/>
      <c r="O95" s="357"/>
    </row>
    <row r="96" spans="2:15" ht="15.75" customHeight="1">
      <c r="K96" s="360"/>
      <c r="L96" s="360"/>
      <c r="M96" s="360"/>
      <c r="N96" s="357"/>
      <c r="O96" s="357"/>
    </row>
    <row r="97" spans="11:15" ht="15.75" customHeight="1">
      <c r="K97" s="361"/>
      <c r="L97" s="360"/>
      <c r="M97" s="360"/>
      <c r="N97" s="357"/>
      <c r="O97" s="357"/>
    </row>
    <row r="98" spans="11:15" ht="15.75" customHeight="1">
      <c r="K98" s="360"/>
      <c r="L98" s="360"/>
      <c r="M98" s="360"/>
      <c r="N98" s="357"/>
      <c r="O98" s="357"/>
    </row>
    <row r="99" spans="11:15" ht="15.75" customHeight="1">
      <c r="K99" s="360"/>
      <c r="L99" s="360"/>
      <c r="M99" s="360"/>
      <c r="N99" s="357"/>
      <c r="O99" s="357"/>
    </row>
    <row r="100" spans="11:15" ht="15.75" customHeight="1">
      <c r="K100" s="360"/>
      <c r="L100" s="360"/>
      <c r="M100" s="360"/>
      <c r="N100" s="357"/>
      <c r="O100" s="357"/>
    </row>
    <row r="101" spans="11:15" ht="15.75" customHeight="1">
      <c r="K101" s="360"/>
      <c r="L101" s="360"/>
      <c r="M101" s="360"/>
      <c r="N101" s="357"/>
      <c r="O101" s="357"/>
    </row>
    <row r="102" spans="11:15" ht="15.75" customHeight="1">
      <c r="K102" s="360"/>
      <c r="L102" s="360"/>
      <c r="M102" s="360"/>
      <c r="N102" s="357"/>
      <c r="O102" s="357"/>
    </row>
    <row r="103" spans="11:15" ht="15.75" customHeight="1">
      <c r="K103" s="360"/>
      <c r="L103" s="360"/>
      <c r="M103" s="360"/>
      <c r="N103" s="357"/>
      <c r="O103" s="357"/>
    </row>
    <row r="104" spans="11:15" ht="15.75" customHeight="1">
      <c r="K104" s="360"/>
      <c r="L104" s="360"/>
      <c r="M104" s="360"/>
      <c r="N104" s="357"/>
      <c r="O104" s="357"/>
    </row>
    <row r="105" spans="11:15" ht="15.75" customHeight="1">
      <c r="K105" s="360"/>
      <c r="L105" s="360"/>
      <c r="M105" s="360"/>
      <c r="N105" s="357"/>
      <c r="O105" s="357"/>
    </row>
    <row r="106" spans="11:15" ht="15.75" customHeight="1">
      <c r="K106" s="360"/>
      <c r="L106" s="360"/>
      <c r="M106" s="360"/>
      <c r="N106" s="357"/>
      <c r="O106" s="357"/>
    </row>
    <row r="107" spans="11:15" ht="15.75" customHeight="1">
      <c r="K107" s="360"/>
      <c r="L107" s="360"/>
      <c r="M107" s="360"/>
      <c r="N107" s="357"/>
      <c r="O107" s="357"/>
    </row>
    <row r="108" spans="11:15" ht="15.75" customHeight="1">
      <c r="K108" s="360"/>
      <c r="L108" s="360"/>
      <c r="M108" s="360"/>
      <c r="N108" s="357"/>
      <c r="O108" s="357"/>
    </row>
    <row r="109" spans="11:15" ht="15.75" customHeight="1">
      <c r="K109" s="360"/>
      <c r="L109" s="360"/>
      <c r="M109" s="360"/>
      <c r="N109" s="357"/>
      <c r="O109" s="357"/>
    </row>
    <row r="110" spans="11:15" ht="15.75" customHeight="1">
      <c r="K110" s="360"/>
      <c r="L110" s="360"/>
      <c r="M110" s="360"/>
      <c r="N110" s="357"/>
      <c r="O110" s="357"/>
    </row>
    <row r="111" spans="11:15" ht="15.75" customHeight="1">
      <c r="K111" s="360"/>
      <c r="L111" s="360"/>
      <c r="M111" s="360"/>
      <c r="N111" s="357"/>
      <c r="O111" s="357"/>
    </row>
    <row r="112" spans="11:15" ht="15.75" customHeight="1">
      <c r="K112" s="360"/>
      <c r="L112" s="360"/>
      <c r="M112" s="360"/>
      <c r="N112" s="357"/>
      <c r="O112" s="357"/>
    </row>
    <row r="113" spans="11:15" ht="15.75" customHeight="1">
      <c r="K113" s="360"/>
      <c r="L113" s="360"/>
      <c r="M113" s="360"/>
      <c r="N113" s="357"/>
      <c r="O113" s="357"/>
    </row>
    <row r="114" spans="11:15" ht="15.75" customHeight="1">
      <c r="K114" s="357"/>
      <c r="L114" s="357"/>
      <c r="M114" s="357"/>
      <c r="N114" s="357"/>
      <c r="O114" s="357"/>
    </row>
    <row r="115" spans="11:15" ht="15.75" customHeight="1">
      <c r="K115" s="357"/>
      <c r="L115" s="357"/>
      <c r="M115" s="357"/>
      <c r="N115" s="357"/>
      <c r="O115" s="357"/>
    </row>
    <row r="116" spans="11:15" ht="15.75" customHeight="1">
      <c r="K116" s="525" t="s">
        <v>1005</v>
      </c>
      <c r="L116" s="519"/>
      <c r="M116" s="519"/>
      <c r="N116" s="519"/>
      <c r="O116" s="357"/>
    </row>
    <row r="117" spans="11:15" ht="15.75" customHeight="1">
      <c r="K117" s="358"/>
      <c r="L117" s="356" t="s">
        <v>1006</v>
      </c>
      <c r="M117" s="356" t="s">
        <v>1007</v>
      </c>
      <c r="N117" s="356" t="s">
        <v>1008</v>
      </c>
      <c r="O117" s="357"/>
    </row>
    <row r="118" spans="11:15" ht="15.75" customHeight="1">
      <c r="K118" s="359" t="s">
        <v>916</v>
      </c>
      <c r="L118" s="359" t="s">
        <v>1009</v>
      </c>
      <c r="M118" s="359" t="s">
        <v>1010</v>
      </c>
      <c r="N118" s="359" t="s">
        <v>1011</v>
      </c>
      <c r="O118" s="357"/>
    </row>
    <row r="119" spans="11:15" ht="15.75" customHeight="1">
      <c r="K119" s="359" t="s">
        <v>553</v>
      </c>
      <c r="L119" s="359" t="s">
        <v>1001</v>
      </c>
      <c r="M119" s="359" t="s">
        <v>1012</v>
      </c>
      <c r="N119" s="359" t="s">
        <v>1013</v>
      </c>
      <c r="O119" s="357"/>
    </row>
    <row r="120" spans="11:15" ht="15.75" customHeight="1">
      <c r="K120" s="359" t="s">
        <v>650</v>
      </c>
      <c r="L120" s="359" t="s">
        <v>1002</v>
      </c>
      <c r="M120" s="359" t="s">
        <v>1014</v>
      </c>
      <c r="N120" s="359" t="s">
        <v>1015</v>
      </c>
      <c r="O120" s="357"/>
    </row>
    <row r="121" spans="11:15" ht="15.75" customHeight="1">
      <c r="K121" s="359" t="s">
        <v>926</v>
      </c>
      <c r="L121" s="362" t="s">
        <v>1004</v>
      </c>
      <c r="M121" s="362" t="s">
        <v>1016</v>
      </c>
      <c r="N121" s="362" t="s">
        <v>1017</v>
      </c>
      <c r="O121" s="357"/>
    </row>
    <row r="122" spans="11:15" ht="15.75" customHeight="1">
      <c r="K122" s="363" t="s">
        <v>1018</v>
      </c>
      <c r="L122" s="363" t="s">
        <v>1019</v>
      </c>
      <c r="M122" s="363" t="s">
        <v>1020</v>
      </c>
      <c r="N122" s="363" t="s">
        <v>1021</v>
      </c>
      <c r="O122" s="357"/>
    </row>
    <row r="123" spans="11:15" ht="15.75" customHeight="1">
      <c r="K123" s="360"/>
      <c r="L123" s="360"/>
      <c r="M123" s="360"/>
      <c r="N123" s="360"/>
      <c r="O123" s="357"/>
    </row>
    <row r="124" spans="11:15" ht="15.75" customHeight="1">
      <c r="K124" s="361"/>
      <c r="L124" s="360"/>
      <c r="M124" s="360"/>
      <c r="N124" s="360"/>
      <c r="O124" s="357"/>
    </row>
    <row r="125" spans="11:15" ht="15.75" customHeight="1">
      <c r="K125" s="360"/>
      <c r="L125" s="360"/>
      <c r="M125" s="360"/>
      <c r="N125" s="360"/>
      <c r="O125" s="357"/>
    </row>
    <row r="126" spans="11:15" ht="15.75" customHeight="1">
      <c r="K126" s="360"/>
      <c r="L126" s="360"/>
      <c r="M126" s="360"/>
      <c r="N126" s="360"/>
      <c r="O126" s="357"/>
    </row>
    <row r="127" spans="11:15" ht="15.75" customHeight="1">
      <c r="K127" s="360"/>
      <c r="L127" s="360"/>
      <c r="M127" s="360"/>
      <c r="N127" s="360"/>
      <c r="O127" s="357"/>
    </row>
    <row r="128" spans="11:15" ht="15.75" customHeight="1">
      <c r="K128" s="360"/>
      <c r="L128" s="360"/>
      <c r="M128" s="360"/>
      <c r="N128" s="360"/>
      <c r="O128" s="357"/>
    </row>
    <row r="129" spans="11:15" ht="15.75" customHeight="1">
      <c r="K129" s="360"/>
      <c r="L129" s="360"/>
      <c r="M129" s="360"/>
      <c r="N129" s="360"/>
      <c r="O129" s="357"/>
    </row>
    <row r="130" spans="11:15" ht="15.75" customHeight="1">
      <c r="K130" s="360"/>
      <c r="L130" s="360"/>
      <c r="M130" s="360"/>
      <c r="N130" s="360"/>
      <c r="O130" s="357"/>
    </row>
    <row r="131" spans="11:15" ht="15.75" customHeight="1">
      <c r="K131" s="360"/>
      <c r="L131" s="360"/>
      <c r="M131" s="360"/>
      <c r="N131" s="360"/>
      <c r="O131" s="357"/>
    </row>
    <row r="132" spans="11:15" ht="15.75" customHeight="1">
      <c r="K132" s="360"/>
      <c r="L132" s="360"/>
      <c r="M132" s="360"/>
      <c r="N132" s="360"/>
      <c r="O132" s="357"/>
    </row>
    <row r="133" spans="11:15" ht="15.75" customHeight="1">
      <c r="K133" s="360"/>
      <c r="L133" s="360"/>
      <c r="M133" s="360"/>
      <c r="N133" s="360"/>
      <c r="O133" s="357"/>
    </row>
    <row r="134" spans="11:15" ht="15.75" customHeight="1">
      <c r="K134" s="360"/>
      <c r="L134" s="360"/>
      <c r="M134" s="360"/>
      <c r="N134" s="360"/>
      <c r="O134" s="357"/>
    </row>
    <row r="135" spans="11:15" ht="15.75" customHeight="1">
      <c r="K135" s="360"/>
      <c r="L135" s="360"/>
      <c r="M135" s="360"/>
      <c r="N135" s="360"/>
      <c r="O135" s="357"/>
    </row>
    <row r="136" spans="11:15" ht="15.75" customHeight="1">
      <c r="K136" s="360"/>
      <c r="L136" s="360"/>
      <c r="M136" s="360"/>
      <c r="N136" s="360"/>
      <c r="O136" s="357"/>
    </row>
    <row r="137" spans="11:15" ht="15.75" customHeight="1">
      <c r="K137" s="360"/>
      <c r="L137" s="360"/>
      <c r="M137" s="360"/>
      <c r="N137" s="360"/>
      <c r="O137" s="357"/>
    </row>
    <row r="138" spans="11:15" ht="15.75" customHeight="1">
      <c r="K138" s="360"/>
      <c r="L138" s="360"/>
      <c r="M138" s="360"/>
      <c r="N138" s="360"/>
      <c r="O138" s="357"/>
    </row>
    <row r="139" spans="11:15" ht="15.75" customHeight="1">
      <c r="K139" s="360"/>
      <c r="L139" s="360"/>
      <c r="M139" s="360"/>
      <c r="N139" s="360"/>
      <c r="O139" s="357"/>
    </row>
    <row r="140" spans="11:15" ht="15.75" customHeight="1">
      <c r="K140" s="357"/>
      <c r="L140" s="357"/>
      <c r="M140" s="357"/>
      <c r="N140" s="357"/>
      <c r="O140" s="357"/>
    </row>
    <row r="141" spans="11:15" ht="15.75" customHeight="1">
      <c r="K141" s="357"/>
      <c r="L141" s="357"/>
      <c r="M141" s="357"/>
      <c r="N141" s="357"/>
      <c r="O141" s="357"/>
    </row>
    <row r="142" spans="11:15" ht="15.75" customHeight="1">
      <c r="K142" s="525" t="s">
        <v>1022</v>
      </c>
      <c r="L142" s="519"/>
      <c r="M142" s="519"/>
      <c r="N142" s="519"/>
      <c r="O142" s="357"/>
    </row>
    <row r="143" spans="11:15" ht="15.75" customHeight="1">
      <c r="K143" s="358"/>
      <c r="L143" s="356" t="s">
        <v>1023</v>
      </c>
      <c r="M143" s="356" t="s">
        <v>1024</v>
      </c>
      <c r="N143" s="356" t="s">
        <v>114</v>
      </c>
      <c r="O143" s="357"/>
    </row>
    <row r="144" spans="11:15" ht="15.75" customHeight="1">
      <c r="K144" s="359" t="s">
        <v>916</v>
      </c>
      <c r="L144" s="359" t="s">
        <v>1025</v>
      </c>
      <c r="M144" s="359" t="s">
        <v>1010</v>
      </c>
      <c r="N144" s="359" t="s">
        <v>1026</v>
      </c>
      <c r="O144" s="357"/>
    </row>
    <row r="145" spans="11:15" ht="15.75" customHeight="1">
      <c r="K145" s="359" t="s">
        <v>553</v>
      </c>
      <c r="L145" s="359" t="s">
        <v>1027</v>
      </c>
      <c r="M145" s="359" t="s">
        <v>1012</v>
      </c>
      <c r="N145" s="359" t="s">
        <v>1028</v>
      </c>
      <c r="O145" s="357"/>
    </row>
    <row r="146" spans="11:15" ht="15.75" customHeight="1">
      <c r="K146" s="359" t="s">
        <v>650</v>
      </c>
      <c r="L146" s="359" t="s">
        <v>1029</v>
      </c>
      <c r="M146" s="359" t="s">
        <v>1014</v>
      </c>
      <c r="N146" s="359" t="s">
        <v>1030</v>
      </c>
      <c r="O146" s="357"/>
    </row>
    <row r="147" spans="11:15" ht="15.75" customHeight="1">
      <c r="K147" s="363" t="s">
        <v>923</v>
      </c>
      <c r="L147" s="359" t="s">
        <v>1003</v>
      </c>
      <c r="M147" s="359" t="s">
        <v>1003</v>
      </c>
      <c r="N147" s="359" t="s">
        <v>1003</v>
      </c>
      <c r="O147" s="357"/>
    </row>
    <row r="148" spans="11:15" ht="15.75" customHeight="1">
      <c r="K148" s="359" t="s">
        <v>926</v>
      </c>
      <c r="L148" s="362" t="s">
        <v>1031</v>
      </c>
      <c r="M148" s="362" t="s">
        <v>1016</v>
      </c>
      <c r="N148" s="359" t="s">
        <v>1032</v>
      </c>
      <c r="O148" s="357"/>
    </row>
    <row r="149" spans="11:15" ht="15.75" customHeight="1">
      <c r="K149" s="363" t="s">
        <v>1018</v>
      </c>
      <c r="L149" s="363" t="s">
        <v>1033</v>
      </c>
      <c r="M149" s="363" t="s">
        <v>1020</v>
      </c>
      <c r="N149" s="363" t="s">
        <v>1034</v>
      </c>
      <c r="O149" s="357"/>
    </row>
    <row r="150" spans="11:15" ht="15.75" customHeight="1">
      <c r="K150" s="360"/>
      <c r="L150" s="360"/>
      <c r="M150" s="360"/>
      <c r="N150" s="360"/>
      <c r="O150" s="357"/>
    </row>
    <row r="151" spans="11:15" ht="15.75" customHeight="1">
      <c r="K151" s="361"/>
      <c r="L151" s="360"/>
      <c r="M151" s="360"/>
      <c r="N151" s="360"/>
      <c r="O151" s="357"/>
    </row>
    <row r="152" spans="11:15" ht="15.75" customHeight="1">
      <c r="K152" s="360"/>
      <c r="L152" s="360"/>
      <c r="M152" s="360"/>
      <c r="N152" s="360"/>
      <c r="O152" s="357"/>
    </row>
    <row r="153" spans="11:15" ht="15.75" customHeight="1">
      <c r="K153" s="360"/>
      <c r="L153" s="360"/>
      <c r="M153" s="360"/>
      <c r="N153" s="360"/>
      <c r="O153" s="357"/>
    </row>
    <row r="154" spans="11:15" ht="15.75" customHeight="1">
      <c r="K154" s="360"/>
      <c r="L154" s="360"/>
      <c r="M154" s="360"/>
      <c r="N154" s="360"/>
      <c r="O154" s="357"/>
    </row>
    <row r="155" spans="11:15" ht="15.75" customHeight="1">
      <c r="K155" s="360"/>
      <c r="L155" s="360"/>
      <c r="M155" s="360"/>
      <c r="N155" s="360"/>
      <c r="O155" s="357"/>
    </row>
    <row r="156" spans="11:15" ht="15.75" customHeight="1">
      <c r="K156" s="360"/>
      <c r="L156" s="360"/>
      <c r="M156" s="360"/>
      <c r="N156" s="360"/>
      <c r="O156" s="357"/>
    </row>
    <row r="157" spans="11:15" ht="15.75" customHeight="1">
      <c r="K157" s="360"/>
      <c r="L157" s="360"/>
      <c r="M157" s="360"/>
      <c r="N157" s="360"/>
      <c r="O157" s="357"/>
    </row>
    <row r="158" spans="11:15" ht="15.75" customHeight="1">
      <c r="K158" s="360"/>
      <c r="L158" s="360"/>
      <c r="M158" s="360"/>
      <c r="N158" s="360"/>
      <c r="O158" s="357"/>
    </row>
    <row r="159" spans="11:15" ht="15.75" customHeight="1">
      <c r="K159" s="360"/>
      <c r="L159" s="360"/>
      <c r="M159" s="360"/>
      <c r="N159" s="360"/>
      <c r="O159" s="357"/>
    </row>
    <row r="160" spans="11:15" ht="15.75" customHeight="1">
      <c r="K160" s="360"/>
      <c r="L160" s="360"/>
      <c r="M160" s="360"/>
      <c r="N160" s="360"/>
      <c r="O160" s="357"/>
    </row>
    <row r="161" spans="11:15" ht="15.75" customHeight="1">
      <c r="K161" s="360"/>
      <c r="L161" s="360"/>
      <c r="M161" s="360"/>
      <c r="N161" s="360"/>
      <c r="O161" s="357"/>
    </row>
    <row r="162" spans="11:15" ht="15.75" customHeight="1">
      <c r="K162" s="360"/>
      <c r="L162" s="360"/>
      <c r="M162" s="360"/>
      <c r="N162" s="360"/>
      <c r="O162" s="357"/>
    </row>
    <row r="163" spans="11:15" ht="15.75" customHeight="1">
      <c r="K163" s="360"/>
      <c r="L163" s="360"/>
      <c r="M163" s="360"/>
      <c r="N163" s="360"/>
      <c r="O163" s="357"/>
    </row>
    <row r="164" spans="11:15" ht="15.75" customHeight="1">
      <c r="K164" s="360"/>
      <c r="L164" s="360"/>
      <c r="M164" s="360"/>
      <c r="N164" s="360"/>
      <c r="O164" s="357"/>
    </row>
    <row r="165" spans="11:15" ht="15.75" customHeight="1">
      <c r="K165" s="360"/>
      <c r="L165" s="360"/>
      <c r="M165" s="360"/>
      <c r="N165" s="360"/>
      <c r="O165" s="357"/>
    </row>
    <row r="166" spans="11:15" ht="15.75" customHeight="1">
      <c r="K166" s="360"/>
      <c r="L166" s="360"/>
      <c r="M166" s="360"/>
      <c r="N166" s="360"/>
      <c r="O166" s="357"/>
    </row>
    <row r="167" spans="11:15" ht="15.75" customHeight="1">
      <c r="K167" s="357"/>
      <c r="L167" s="357"/>
      <c r="M167" s="357"/>
      <c r="N167" s="357"/>
      <c r="O167" s="357"/>
    </row>
    <row r="168" spans="11:15" ht="15.75" customHeight="1">
      <c r="K168" s="357"/>
      <c r="L168" s="357"/>
      <c r="M168" s="357"/>
      <c r="N168" s="357"/>
      <c r="O168" s="357"/>
    </row>
    <row r="169" spans="11:15" ht="15.75" customHeight="1">
      <c r="K169" s="525" t="s">
        <v>1035</v>
      </c>
      <c r="L169" s="519"/>
      <c r="M169" s="519"/>
      <c r="N169" s="519"/>
      <c r="O169" s="357"/>
    </row>
    <row r="170" spans="11:15" ht="15.75" customHeight="1">
      <c r="K170" s="358"/>
      <c r="L170" s="356" t="s">
        <v>1023</v>
      </c>
      <c r="M170" s="356" t="s">
        <v>1024</v>
      </c>
      <c r="N170" s="356" t="s">
        <v>114</v>
      </c>
      <c r="O170" s="357"/>
    </row>
    <row r="171" spans="11:15" ht="15.75" customHeight="1">
      <c r="K171" s="363" t="s">
        <v>1036</v>
      </c>
      <c r="L171" s="359" t="s">
        <v>1037</v>
      </c>
      <c r="M171" s="359" t="s">
        <v>1038</v>
      </c>
      <c r="N171" s="359" t="s">
        <v>1039</v>
      </c>
      <c r="O171" s="357"/>
    </row>
    <row r="172" spans="11:15" ht="15.75" customHeight="1">
      <c r="K172" s="363" t="s">
        <v>1040</v>
      </c>
      <c r="L172" s="359" t="s">
        <v>1041</v>
      </c>
      <c r="M172" s="359" t="s">
        <v>1042</v>
      </c>
      <c r="N172" s="359" t="s">
        <v>1043</v>
      </c>
      <c r="O172" s="357"/>
    </row>
    <row r="173" spans="11:15" ht="15.75" customHeight="1">
      <c r="K173" s="363" t="s">
        <v>1044</v>
      </c>
      <c r="L173" s="359" t="s">
        <v>1045</v>
      </c>
      <c r="M173" s="359" t="s">
        <v>1046</v>
      </c>
      <c r="N173" s="359" t="s">
        <v>1047</v>
      </c>
      <c r="O173" s="357"/>
    </row>
    <row r="174" spans="11:15" ht="15.75" customHeight="1">
      <c r="K174" s="363" t="s">
        <v>1048</v>
      </c>
      <c r="L174" s="359" t="s">
        <v>1003</v>
      </c>
      <c r="M174" s="359" t="s">
        <v>1049</v>
      </c>
      <c r="N174" s="359" t="s">
        <v>1049</v>
      </c>
      <c r="O174" s="357"/>
    </row>
    <row r="175" spans="11:15" ht="15.75" customHeight="1">
      <c r="K175" s="363" t="s">
        <v>1050</v>
      </c>
      <c r="L175" s="359" t="s">
        <v>1051</v>
      </c>
      <c r="M175" s="359" t="s">
        <v>1052</v>
      </c>
      <c r="N175" s="359" t="s">
        <v>1053</v>
      </c>
      <c r="O175" s="357"/>
    </row>
    <row r="176" spans="11:15" ht="15.75" customHeight="1">
      <c r="K176" s="363" t="s">
        <v>1054</v>
      </c>
      <c r="L176" s="359" t="s">
        <v>1055</v>
      </c>
      <c r="M176" s="359" t="s">
        <v>1056</v>
      </c>
      <c r="N176" s="359" t="s">
        <v>1057</v>
      </c>
      <c r="O176" s="357"/>
    </row>
    <row r="177" spans="11:15" ht="15.75" customHeight="1">
      <c r="K177" s="363" t="s">
        <v>1058</v>
      </c>
      <c r="L177" s="359" t="s">
        <v>1059</v>
      </c>
      <c r="M177" s="359" t="s">
        <v>1060</v>
      </c>
      <c r="N177" s="359" t="s">
        <v>1061</v>
      </c>
      <c r="O177" s="357"/>
    </row>
    <row r="178" spans="11:15" ht="15.75" customHeight="1">
      <c r="K178" s="363" t="s">
        <v>1062</v>
      </c>
      <c r="L178" s="359" t="s">
        <v>1063</v>
      </c>
      <c r="M178" s="359" t="s">
        <v>1064</v>
      </c>
      <c r="N178" s="359" t="s">
        <v>1065</v>
      </c>
      <c r="O178" s="357"/>
    </row>
    <row r="179" spans="11:15" ht="15.75" customHeight="1">
      <c r="K179" s="363" t="s">
        <v>1066</v>
      </c>
      <c r="L179" s="359" t="s">
        <v>1067</v>
      </c>
      <c r="M179" s="359" t="s">
        <v>1068</v>
      </c>
      <c r="N179" s="359" t="s">
        <v>1069</v>
      </c>
      <c r="O179" s="357"/>
    </row>
    <row r="180" spans="11:15" ht="15.75" customHeight="1">
      <c r="K180" s="363" t="s">
        <v>1070</v>
      </c>
      <c r="L180" s="362" t="s">
        <v>1071</v>
      </c>
      <c r="M180" s="362" t="s">
        <v>1072</v>
      </c>
      <c r="N180" s="359" t="s">
        <v>1073</v>
      </c>
      <c r="O180" s="357"/>
    </row>
    <row r="181" spans="11:15" ht="15.75" customHeight="1">
      <c r="K181" s="363" t="s">
        <v>1018</v>
      </c>
      <c r="L181" s="363" t="s">
        <v>1033</v>
      </c>
      <c r="M181" s="363" t="s">
        <v>1020</v>
      </c>
      <c r="N181" s="363" t="s">
        <v>1034</v>
      </c>
      <c r="O181" s="357"/>
    </row>
    <row r="182" spans="11:15" ht="15.75" customHeight="1">
      <c r="K182" s="360"/>
      <c r="L182" s="360"/>
      <c r="M182" s="360"/>
      <c r="N182" s="360"/>
      <c r="O182" s="357"/>
    </row>
    <row r="183" spans="11:15" ht="15.75" customHeight="1">
      <c r="K183" s="360"/>
      <c r="L183" s="360"/>
      <c r="M183" s="360"/>
      <c r="N183" s="360"/>
      <c r="O183" s="357"/>
    </row>
    <row r="184" spans="11:15" ht="15.75" customHeight="1">
      <c r="K184" s="361"/>
      <c r="L184" s="360"/>
      <c r="M184" s="360"/>
      <c r="N184" s="360"/>
      <c r="O184" s="357"/>
    </row>
    <row r="185" spans="11:15" ht="15.75" customHeight="1">
      <c r="K185" s="360"/>
      <c r="L185" s="360"/>
      <c r="M185" s="360"/>
      <c r="N185" s="360"/>
      <c r="O185" s="357"/>
    </row>
    <row r="186" spans="11:15" ht="15.75" customHeight="1">
      <c r="K186" s="360"/>
      <c r="L186" s="360"/>
      <c r="M186" s="360"/>
      <c r="N186" s="360"/>
      <c r="O186" s="357"/>
    </row>
    <row r="187" spans="11:15" ht="15.75" customHeight="1">
      <c r="K187" s="360"/>
      <c r="L187" s="360"/>
      <c r="M187" s="360"/>
      <c r="N187" s="360"/>
      <c r="O187" s="357"/>
    </row>
    <row r="188" spans="11:15" ht="15.75" customHeight="1">
      <c r="K188" s="360"/>
      <c r="L188" s="360"/>
      <c r="M188" s="360"/>
      <c r="N188" s="360"/>
      <c r="O188" s="357"/>
    </row>
    <row r="189" spans="11:15" ht="15.75" customHeight="1">
      <c r="K189" s="360"/>
      <c r="L189" s="360"/>
      <c r="M189" s="360"/>
      <c r="N189" s="360"/>
      <c r="O189" s="357"/>
    </row>
    <row r="190" spans="11:15" ht="15.75" customHeight="1">
      <c r="K190" s="360"/>
      <c r="L190" s="360"/>
      <c r="M190" s="360"/>
      <c r="N190" s="360"/>
      <c r="O190" s="357"/>
    </row>
    <row r="191" spans="11:15" ht="15.75" customHeight="1">
      <c r="K191" s="360"/>
      <c r="L191" s="360"/>
      <c r="M191" s="360"/>
      <c r="N191" s="360"/>
      <c r="O191" s="357"/>
    </row>
    <row r="192" spans="11:15" ht="15.75" customHeight="1">
      <c r="K192" s="360"/>
      <c r="L192" s="360"/>
      <c r="M192" s="360"/>
      <c r="N192" s="360"/>
      <c r="O192" s="357"/>
    </row>
    <row r="193" spans="11:15" ht="15.75" customHeight="1">
      <c r="K193" s="360"/>
      <c r="L193" s="360"/>
      <c r="M193" s="360"/>
      <c r="N193" s="360"/>
      <c r="O193" s="357"/>
    </row>
    <row r="194" spans="11:15" ht="15.75" customHeight="1">
      <c r="K194" s="360"/>
      <c r="L194" s="360"/>
      <c r="M194" s="360"/>
      <c r="N194" s="360"/>
      <c r="O194" s="357"/>
    </row>
    <row r="195" spans="11:15" ht="15.75" customHeight="1">
      <c r="K195" s="360"/>
      <c r="L195" s="360"/>
      <c r="M195" s="360"/>
      <c r="N195" s="360"/>
      <c r="O195" s="357"/>
    </row>
    <row r="196" spans="11:15" ht="15.75" customHeight="1">
      <c r="K196" s="360"/>
      <c r="L196" s="360"/>
      <c r="M196" s="360"/>
      <c r="N196" s="360"/>
      <c r="O196" s="357"/>
    </row>
    <row r="197" spans="11:15" ht="15.75" customHeight="1">
      <c r="K197" s="360"/>
      <c r="L197" s="360"/>
      <c r="M197" s="360"/>
      <c r="N197" s="360"/>
      <c r="O197" s="357"/>
    </row>
    <row r="198" spans="11:15" ht="15.75" customHeight="1">
      <c r="K198" s="360"/>
      <c r="L198" s="360"/>
      <c r="M198" s="360"/>
      <c r="N198" s="360"/>
      <c r="O198" s="357"/>
    </row>
    <row r="199" spans="11:15" ht="15.75" customHeight="1">
      <c r="K199" s="357"/>
      <c r="L199" s="357"/>
      <c r="M199" s="357"/>
      <c r="N199" s="357"/>
      <c r="O199" s="357"/>
    </row>
    <row r="200" spans="11:15" ht="15.75" customHeight="1"/>
    <row r="201" spans="11:15" ht="15.75" customHeight="1"/>
    <row r="202" spans="11:15" ht="15.75" customHeight="1"/>
    <row r="203" spans="11:15" ht="15.75" customHeight="1"/>
    <row r="204" spans="11:15" ht="15.75" customHeight="1"/>
    <row r="205" spans="11:15" ht="15.75" customHeight="1"/>
    <row r="206" spans="11:15" ht="15.75" customHeight="1"/>
    <row r="207" spans="11:15" ht="15.75" customHeight="1"/>
    <row r="208" spans="11:1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sheet="1" objects="1" scenarios="1" selectLockedCells="1" selectUnlockedCells="1"/>
  <mergeCells count="19">
    <mergeCell ref="B3:C3"/>
    <mergeCell ref="E3:F3"/>
    <mergeCell ref="H3:I3"/>
    <mergeCell ref="B32:C32"/>
    <mergeCell ref="E32:F32"/>
    <mergeCell ref="H32:I32"/>
    <mergeCell ref="K32:M32"/>
    <mergeCell ref="K62:L62"/>
    <mergeCell ref="K89:M89"/>
    <mergeCell ref="K116:N116"/>
    <mergeCell ref="K142:N142"/>
    <mergeCell ref="K169:N169"/>
    <mergeCell ref="B61:C61"/>
    <mergeCell ref="E61:F61"/>
    <mergeCell ref="H61:I61"/>
    <mergeCell ref="K61:M61"/>
    <mergeCell ref="B62:C62"/>
    <mergeCell ref="E62:F62"/>
    <mergeCell ref="H62:I62"/>
  </mergeCells>
  <pageMargins left="0.511811024" right="0.511811024" top="0.78740157499999996" bottom="0.78740157499999996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2022 3º Trimestre</vt:lpstr>
      <vt:lpstr>Gráficos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Edo Alves Parodes</dc:creator>
  <cp:lastModifiedBy>Gilson Edo Alves Parodes</cp:lastModifiedBy>
  <dcterms:created xsi:type="dcterms:W3CDTF">2022-01-11T20:44:27Z</dcterms:created>
  <dcterms:modified xsi:type="dcterms:W3CDTF">2023-09-04T12:46:36Z</dcterms:modified>
</cp:coreProperties>
</file>